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0"/>
  </bookViews>
  <sheets>
    <sheet name="Start" sheetId="1" r:id="rId1"/>
    <sheet name="Optaflexx info" sheetId="2" r:id="rId2"/>
    <sheet name="Zilmax info" sheetId="3" r:id="rId3"/>
    <sheet name="Input" sheetId="4" r:id="rId4"/>
    <sheet name="BA_Live Basis Results" sheetId="5" r:id="rId5"/>
    <sheet name="BA_Grid Basis Results" sheetId="6" r:id="rId6"/>
  </sheets>
  <definedNames>
    <definedName name="_xlnm.Print_Area" localSheetId="5">'BA_Grid Basis Results'!$A$1:$H$28</definedName>
    <definedName name="_xlnm.Print_Area" localSheetId="4">'BA_Live Basis Results'!$A$1:$H$28</definedName>
  </definedNames>
  <calcPr fullCalcOnLoad="1"/>
</workbook>
</file>

<file path=xl/sharedStrings.xml><?xml version="1.0" encoding="utf-8"?>
<sst xmlns="http://schemas.openxmlformats.org/spreadsheetml/2006/main" count="177" uniqueCount="132">
  <si>
    <t>Optaflexx</t>
  </si>
  <si>
    <t>Zilmax</t>
  </si>
  <si>
    <t>Days on feed</t>
  </si>
  <si>
    <t>Texas Tech University</t>
  </si>
  <si>
    <t>None</t>
  </si>
  <si>
    <t>Initial BW, lb</t>
  </si>
  <si>
    <t>Purchase price, $/cwt</t>
  </si>
  <si>
    <t>Final BW, lb</t>
  </si>
  <si>
    <t>Diet cost, $/ton, DM basis</t>
  </si>
  <si>
    <t>Interest rate, %</t>
  </si>
  <si>
    <t>Optaflexx:</t>
  </si>
  <si>
    <t>Zilmax:</t>
  </si>
  <si>
    <t>Days on Optaflexx</t>
  </si>
  <si>
    <t>Days on Zilmax</t>
  </si>
  <si>
    <t>If sold in-the-beef, $/cwt carcass</t>
  </si>
  <si>
    <t>If sold live, $/cwt live =</t>
  </si>
  <si>
    <t>% Choice</t>
  </si>
  <si>
    <t>% Prime</t>
  </si>
  <si>
    <t>% Select</t>
  </si>
  <si>
    <t>Choice carcass price, $/cwt</t>
  </si>
  <si>
    <t>Select carcass price, $/cwt</t>
  </si>
  <si>
    <t>No roll discount, $/cwt</t>
  </si>
  <si>
    <t>Light carcass discount, $/cwt</t>
  </si>
  <si>
    <t>Heavy carcass discount, $/cwt</t>
  </si>
  <si>
    <t>Hot carcass weight, lb</t>
  </si>
  <si>
    <t>% No Roll</t>
  </si>
  <si>
    <t>Item</t>
  </si>
  <si>
    <t>Feed cost, $/animal</t>
  </si>
  <si>
    <t>Beta Agonist</t>
  </si>
  <si>
    <t>Total sale value, $</t>
  </si>
  <si>
    <t>Death loss, $/animal</t>
  </si>
  <si>
    <t>Interest, $/animal</t>
  </si>
  <si>
    <t>Beta agonist, $/animal</t>
  </si>
  <si>
    <t>Processing fees, $/animal</t>
  </si>
  <si>
    <t>Yardage and other fees, $/day</t>
  </si>
  <si>
    <t>Purchase cost,$</t>
  </si>
  <si>
    <t>Total costs, $/animal</t>
  </si>
  <si>
    <t>Feed cost of gain, $/lb</t>
  </si>
  <si>
    <t>Total cost of gain, $/lb</t>
  </si>
  <si>
    <t>Profit/Loss, $/animal</t>
  </si>
  <si>
    <t>Difference, $</t>
  </si>
  <si>
    <t>Prime carcass premium, $/cwt</t>
  </si>
  <si>
    <t>High-Choice premium, $/cwt</t>
  </si>
  <si>
    <t>Prime</t>
  </si>
  <si>
    <t>Choice</t>
  </si>
  <si>
    <t>Select</t>
  </si>
  <si>
    <t>% Light carcasses</t>
  </si>
  <si>
    <t>% Heavy carcasses</t>
  </si>
  <si>
    <t>% High Choice</t>
  </si>
  <si>
    <t>% Death loss</t>
  </si>
  <si>
    <t>Overall DM intake, lb</t>
  </si>
  <si>
    <t>No Beta</t>
  </si>
  <si>
    <t>Agonist</t>
  </si>
  <si>
    <t>Intial BW, lb</t>
  </si>
  <si>
    <t>Base values and premiums:</t>
  </si>
  <si>
    <t>General Data Input</t>
  </si>
  <si>
    <t>Added cost for product use, $/animal</t>
  </si>
  <si>
    <t>Discounts:</t>
  </si>
  <si>
    <t>Product use and cost information</t>
  </si>
  <si>
    <t>Medical costs, $/animal</t>
  </si>
  <si>
    <t>Opta-</t>
  </si>
  <si>
    <t>flexx</t>
  </si>
  <si>
    <t>Implant costs, $/animal</t>
  </si>
  <si>
    <t>Yardage costs, $/animal</t>
  </si>
  <si>
    <t>Processing costs, $/animal</t>
  </si>
  <si>
    <t>Carcass values</t>
  </si>
  <si>
    <t>Grid basis value data</t>
  </si>
  <si>
    <t>General and financial data</t>
  </si>
  <si>
    <t>High Choice</t>
  </si>
  <si>
    <t>% Other Premium Choice</t>
  </si>
  <si>
    <t>Other Premium Choice</t>
  </si>
  <si>
    <t>No Roll</t>
  </si>
  <si>
    <t>Heavy carcasses</t>
  </si>
  <si>
    <t>Light carcasses</t>
  </si>
  <si>
    <t>Grid Basis Sale Results for Beta Agonists</t>
  </si>
  <si>
    <t>Live or In-the-Beef Basis Sale Results for Beta Agonists</t>
  </si>
  <si>
    <r>
      <t xml:space="preserve">ADG, lb </t>
    </r>
    <r>
      <rPr>
        <sz val="9"/>
        <color indexed="10"/>
        <rFont val="Arial"/>
        <family val="2"/>
      </rPr>
      <t>(</t>
    </r>
    <r>
      <rPr>
        <i/>
        <sz val="9"/>
        <color indexed="10"/>
        <rFont val="Arial"/>
        <family val="2"/>
      </rPr>
      <t>calculated automatically</t>
    </r>
    <r>
      <rPr>
        <sz val="9"/>
        <color indexed="10"/>
        <rFont val="Arial"/>
        <family val="2"/>
      </rPr>
      <t>)</t>
    </r>
  </si>
  <si>
    <r>
      <t xml:space="preserve">Dressing % </t>
    </r>
    <r>
      <rPr>
        <sz val="9"/>
        <color indexed="10"/>
        <rFont val="Arial"/>
        <family val="2"/>
      </rPr>
      <t>(</t>
    </r>
    <r>
      <rPr>
        <i/>
        <sz val="9"/>
        <color indexed="10"/>
        <rFont val="Arial"/>
        <family val="2"/>
      </rPr>
      <t>calculated automatically</t>
    </r>
    <r>
      <rPr>
        <sz val="9"/>
        <color indexed="10"/>
        <rFont val="Arial"/>
        <family val="2"/>
      </rPr>
      <t>)</t>
    </r>
  </si>
  <si>
    <t>Concentration, g/ton in finished feed</t>
  </si>
  <si>
    <t>Final shrunk live weight, lb</t>
  </si>
  <si>
    <t>Final shrunk BW, lb</t>
  </si>
  <si>
    <t>Other quality grade premium, $/cwt</t>
  </si>
  <si>
    <t>% Yield Grade 1 carcasses</t>
  </si>
  <si>
    <t>% Yield Grade 2 carcasses</t>
  </si>
  <si>
    <t>% Yield Grade 4 carcasses</t>
  </si>
  <si>
    <t>% Yield Grade 5 carcasses</t>
  </si>
  <si>
    <t>Yield Grade 1  premium, $/cwt</t>
  </si>
  <si>
    <t>Yield Grade 2  premium, $/cwt</t>
  </si>
  <si>
    <t>Yield Grade 5 discount, $/cwt</t>
  </si>
  <si>
    <t>Yield Grade 4 discount, $/cwt</t>
  </si>
  <si>
    <t>YG 1</t>
  </si>
  <si>
    <t>YG 2</t>
  </si>
  <si>
    <t>YG 4</t>
  </si>
  <si>
    <t>YG5</t>
  </si>
  <si>
    <t>% Dark cutting carcasses</t>
  </si>
  <si>
    <t>% Hardbone carcasses</t>
  </si>
  <si>
    <t>Dark cutting carcass discount, $/cwt</t>
  </si>
  <si>
    <t>Hardbone carcass discount, $/cwt</t>
  </si>
  <si>
    <t>Dark cutting carcasses</t>
  </si>
  <si>
    <t>Hardbone carcasses</t>
  </si>
  <si>
    <t>Equity, % of feed</t>
  </si>
  <si>
    <t>Equity, % of cattle</t>
  </si>
  <si>
    <r>
      <t>Optaflexx 45</t>
    </r>
    <r>
      <rPr>
        <sz val="10"/>
        <color indexed="10"/>
        <rFont val="Arial"/>
        <family val="2"/>
      </rPr>
      <t>*</t>
    </r>
    <r>
      <rPr>
        <sz val="10"/>
        <rFont val="Arial"/>
        <family val="2"/>
      </rPr>
      <t xml:space="preserve"> premix cost, $/lb </t>
    </r>
  </si>
  <si>
    <t>*Contains 10% ractopamine hydrochloride</t>
  </si>
  <si>
    <r>
      <t>Zilmax Type A</t>
    </r>
    <r>
      <rPr>
        <sz val="10"/>
        <color indexed="10"/>
        <rFont val="Arial"/>
        <family val="2"/>
      </rPr>
      <t>**</t>
    </r>
    <r>
      <rPr>
        <sz val="10"/>
        <rFont val="Arial"/>
        <family val="2"/>
      </rPr>
      <t xml:space="preserve"> premix cost, $/lb</t>
    </r>
  </si>
  <si>
    <t>**Contains 4.8% zilpaterol hydrochloride</t>
  </si>
  <si>
    <t>" Dressing percent +1.2 percentage units</t>
  </si>
  <si>
    <t>Performance and Carcass Responses with Zilmax*</t>
  </si>
  <si>
    <t>Live Performance - Native Heifers - 5-Trial Summary</t>
  </si>
  <si>
    <t>Carcass Traits - Native Steers - 6-Trial Summary</t>
  </si>
  <si>
    <t>Live Performance - Native Steers - 6-Trial Summary</t>
  </si>
  <si>
    <t>Carcass Traits - Native Heifers - 5-Trial Summary</t>
  </si>
  <si>
    <t>Average daily gain improved 3.2%</t>
  </si>
  <si>
    <t>Feed-to-gain improved 2.7%</t>
  </si>
  <si>
    <t>No change in feed intake</t>
  </si>
  <si>
    <t>Dressing percent +1.3 percentage units</t>
  </si>
  <si>
    <t>Select increased by 8 percentage units</t>
  </si>
  <si>
    <t>Yield Grade 1 increased 7 percentage units</t>
  </si>
  <si>
    <t>Yield Grade 2 increased 7 percentage units</t>
  </si>
  <si>
    <t>Yield Grade 3 decreased 6 percentage units</t>
  </si>
  <si>
    <t xml:space="preserve">Yield Grade 4+5 decreased 7 percentage units </t>
  </si>
  <si>
    <t>Hot Carcass Weight +30 lb</t>
  </si>
  <si>
    <t>Final live weight +18 lb</t>
  </si>
  <si>
    <t>" Hot Carcass Weight +23 lb</t>
  </si>
  <si>
    <t>Choice or &gt; reduced by 8 percentage units (i.e., 61 vs. 54%)</t>
  </si>
  <si>
    <t>Yield Grade 1 increased 6 percentage units</t>
  </si>
  <si>
    <t>Yield Grade 3 decreased 7 percentage units</t>
  </si>
  <si>
    <t>Final live weight +11 lb</t>
  </si>
  <si>
    <t>Average daily gain improved 2.0%</t>
  </si>
  <si>
    <t>Feed-to-gain improved 2.4%</t>
  </si>
  <si>
    <t>Beta Agonist Value Calculator*</t>
  </si>
  <si>
    <t>*First released May 2009 by M. L. Galyean and S. E. Bachman.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</si>
</sst>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
    <numFmt numFmtId="173" formatCode="&quot;$&quot;#,##0.0000"/>
  </numFmts>
  <fonts count="58">
    <font>
      <sz val="10"/>
      <name val="Arial"/>
      <family val="0"/>
    </font>
    <font>
      <b/>
      <sz val="10"/>
      <name val="Arial"/>
      <family val="2"/>
    </font>
    <font>
      <u val="single"/>
      <sz val="10"/>
      <color indexed="12"/>
      <name val="Arial"/>
      <family val="2"/>
    </font>
    <font>
      <b/>
      <sz val="12"/>
      <name val="Arial"/>
      <family val="2"/>
    </font>
    <font>
      <u val="single"/>
      <sz val="10"/>
      <color indexed="36"/>
      <name val="Arial"/>
      <family val="2"/>
    </font>
    <font>
      <b/>
      <i/>
      <sz val="10"/>
      <name val="Arial"/>
      <family val="2"/>
    </font>
    <font>
      <sz val="8"/>
      <name val="Tahoma"/>
      <family val="2"/>
    </font>
    <font>
      <b/>
      <i/>
      <sz val="10"/>
      <color indexed="18"/>
      <name val="Arial"/>
      <family val="2"/>
    </font>
    <font>
      <b/>
      <i/>
      <sz val="11"/>
      <name val="Arial Rounded MT Bold"/>
      <family val="2"/>
    </font>
    <font>
      <sz val="9"/>
      <color indexed="10"/>
      <name val="Arial"/>
      <family val="2"/>
    </font>
    <font>
      <i/>
      <sz val="9"/>
      <color indexed="10"/>
      <name val="Arial"/>
      <family val="2"/>
    </font>
    <font>
      <sz val="10"/>
      <color indexed="10"/>
      <name val="Arial"/>
      <family val="2"/>
    </font>
    <font>
      <sz val="14"/>
      <name val="Arial Black"/>
      <family val="2"/>
    </font>
    <font>
      <b/>
      <u val="single"/>
      <sz val="11"/>
      <name val="Arial"/>
      <family val="2"/>
    </font>
    <font>
      <sz val="11"/>
      <name val="Arial"/>
      <family val="2"/>
    </font>
    <font>
      <sz val="11"/>
      <name val="Times New Roman"/>
      <family val="1"/>
    </font>
    <font>
      <b/>
      <i/>
      <sz val="11"/>
      <color indexed="10"/>
      <name val="Arial Rounded MT Bold"/>
      <family val="2"/>
    </font>
    <font>
      <b/>
      <sz val="10"/>
      <color indexed="10"/>
      <name val="Arial"/>
      <family val="2"/>
    </font>
    <font>
      <i/>
      <sz val="10"/>
      <color indexed="10"/>
      <name val="Arial"/>
      <family val="2"/>
    </font>
    <font>
      <i/>
      <sz val="10"/>
      <color indexed="5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color indexed="8"/>
      <name val="Calibri"/>
      <family val="0"/>
    </font>
    <font>
      <b/>
      <sz val="14"/>
      <color indexed="8"/>
      <name val="Arial Black"/>
      <family val="0"/>
    </font>
    <font>
      <sz val="12"/>
      <color indexed="8"/>
      <name val="Arial"/>
      <family val="0"/>
    </font>
    <font>
      <sz val="12"/>
      <color indexed="8"/>
      <name val="Helvetica"/>
      <family val="0"/>
    </font>
    <font>
      <sz val="9"/>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62"/>
      </right>
      <top>
        <color indexed="63"/>
      </top>
      <bottom>
        <color indexed="63"/>
      </bottom>
    </border>
    <border>
      <left>
        <color indexed="63"/>
      </left>
      <right style="thin">
        <color indexed="62"/>
      </right>
      <top style="thin"/>
      <bottom>
        <color indexed="63"/>
      </bottom>
    </border>
    <border>
      <left>
        <color indexed="63"/>
      </left>
      <right style="thin">
        <color indexed="62"/>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3">
    <xf numFmtId="0" fontId="0" fillId="0" borderId="0" xfId="0" applyAlignment="1">
      <alignment/>
    </xf>
    <xf numFmtId="0" fontId="0" fillId="0" borderId="0" xfId="0"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lignment/>
    </xf>
    <xf numFmtId="0" fontId="0" fillId="0" borderId="10" xfId="0" applyBorder="1" applyAlignment="1">
      <alignment/>
    </xf>
    <xf numFmtId="0" fontId="5" fillId="0" borderId="10" xfId="0" applyFont="1" applyBorder="1" applyAlignment="1">
      <alignment/>
    </xf>
    <xf numFmtId="0" fontId="0" fillId="0" borderId="0" xfId="0" applyBorder="1" applyAlignment="1">
      <alignment/>
    </xf>
    <xf numFmtId="0" fontId="0" fillId="0" borderId="0" xfId="0" applyAlignment="1">
      <alignment horizontal="center"/>
    </xf>
    <xf numFmtId="0" fontId="0" fillId="33" borderId="11" xfId="0" applyFill="1" applyBorder="1" applyAlignment="1">
      <alignment horizontal="center"/>
    </xf>
    <xf numFmtId="172" fontId="0" fillId="0" borderId="0" xfId="0" applyNumberFormat="1" applyBorder="1" applyAlignment="1" applyProtection="1">
      <alignment/>
      <protection hidden="1"/>
    </xf>
    <xf numFmtId="0" fontId="0" fillId="0" borderId="12" xfId="0" applyFont="1" applyBorder="1" applyAlignment="1">
      <alignment/>
    </xf>
    <xf numFmtId="0" fontId="0" fillId="0" borderId="12" xfId="0" applyBorder="1" applyAlignment="1">
      <alignment/>
    </xf>
    <xf numFmtId="0" fontId="0" fillId="0" borderId="0" xfId="0" applyFill="1" applyBorder="1" applyAlignment="1">
      <alignment horizontal="center"/>
    </xf>
    <xf numFmtId="0" fontId="1" fillId="0" borderId="13" xfId="0" applyFont="1" applyBorder="1" applyAlignment="1">
      <alignment horizontal="center"/>
    </xf>
    <xf numFmtId="0" fontId="1" fillId="0" borderId="0" xfId="0" applyFont="1" applyAlignment="1">
      <alignment horizontal="centerContinuous"/>
    </xf>
    <xf numFmtId="164" fontId="0" fillId="0" borderId="0" xfId="0" applyNumberFormat="1" applyAlignment="1">
      <alignment horizontal="center"/>
    </xf>
    <xf numFmtId="0" fontId="0" fillId="0" borderId="0" xfId="0" applyFont="1" applyAlignment="1">
      <alignment/>
    </xf>
    <xf numFmtId="0" fontId="0" fillId="0" borderId="0" xfId="0" applyAlignment="1">
      <alignment/>
    </xf>
    <xf numFmtId="1" fontId="0" fillId="0" borderId="0" xfId="0" applyNumberFormat="1" applyAlignment="1">
      <alignment horizontal="center"/>
    </xf>
    <xf numFmtId="164" fontId="0" fillId="34" borderId="0" xfId="0" applyNumberFormat="1" applyFont="1" applyFill="1" applyAlignment="1">
      <alignment horizontal="center"/>
    </xf>
    <xf numFmtId="0" fontId="0" fillId="0" borderId="0" xfId="0" applyAlignment="1" applyProtection="1">
      <alignment/>
      <protection/>
    </xf>
    <xf numFmtId="0" fontId="1" fillId="0" borderId="0" xfId="0" applyFont="1" applyBorder="1" applyAlignment="1">
      <alignment horizontal="centerContinuous"/>
    </xf>
    <xf numFmtId="0" fontId="0" fillId="0" borderId="0" xfId="0" applyFont="1" applyBorder="1" applyAlignment="1">
      <alignment/>
    </xf>
    <xf numFmtId="0" fontId="1" fillId="0" borderId="0" xfId="0" applyFon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ont="1" applyFill="1" applyAlignment="1">
      <alignment/>
    </xf>
    <xf numFmtId="164" fontId="0" fillId="34" borderId="0" xfId="0" applyNumberFormat="1" applyFill="1" applyAlignment="1">
      <alignment horizontal="center"/>
    </xf>
    <xf numFmtId="0" fontId="3" fillId="0" borderId="0" xfId="0" applyFont="1" applyAlignment="1">
      <alignment/>
    </xf>
    <xf numFmtId="0" fontId="8" fillId="0" borderId="0" xfId="0" applyFont="1" applyAlignment="1">
      <alignment/>
    </xf>
    <xf numFmtId="0" fontId="16" fillId="0" borderId="0" xfId="0" applyFont="1" applyAlignment="1">
      <alignment/>
    </xf>
    <xf numFmtId="0" fontId="0" fillId="0" borderId="11" xfId="0" applyFill="1" applyBorder="1" applyAlignment="1" applyProtection="1">
      <alignment horizontal="center"/>
      <protection locked="0"/>
    </xf>
    <xf numFmtId="0" fontId="0" fillId="0" borderId="11" xfId="0" applyFill="1" applyBorder="1" applyAlignment="1">
      <alignment horizontal="center"/>
    </xf>
    <xf numFmtId="2" fontId="0" fillId="33" borderId="11" xfId="0" applyNumberFormat="1" applyFill="1" applyBorder="1" applyAlignment="1" applyProtection="1">
      <alignment horizontal="center"/>
      <protection/>
    </xf>
    <xf numFmtId="0" fontId="11" fillId="0" borderId="0" xfId="0" applyFont="1" applyFill="1" applyAlignment="1">
      <alignment/>
    </xf>
    <xf numFmtId="0" fontId="0" fillId="0" borderId="14" xfId="0" applyBorder="1" applyAlignment="1">
      <alignment/>
    </xf>
    <xf numFmtId="0" fontId="0" fillId="0" borderId="0" xfId="0" applyFill="1" applyBorder="1" applyAlignment="1">
      <alignment/>
    </xf>
    <xf numFmtId="164" fontId="17" fillId="0" borderId="0" xfId="0" applyNumberFormat="1" applyFont="1" applyFill="1" applyBorder="1" applyAlignment="1">
      <alignment horizontal="center"/>
    </xf>
    <xf numFmtId="0" fontId="0" fillId="0" borderId="10" xfId="0" applyFill="1" applyBorder="1" applyAlignment="1">
      <alignment horizontal="center"/>
    </xf>
    <xf numFmtId="0" fontId="0" fillId="34" borderId="11" xfId="0" applyNumberFormat="1" applyFill="1" applyBorder="1" applyAlignment="1" applyProtection="1">
      <alignment horizontal="center"/>
      <protection locked="0"/>
    </xf>
    <xf numFmtId="164" fontId="0" fillId="34" borderId="11" xfId="0" applyNumberFormat="1" applyFill="1" applyBorder="1" applyAlignment="1" applyProtection="1">
      <alignment horizontal="center"/>
      <protection locked="0"/>
    </xf>
    <xf numFmtId="0" fontId="0" fillId="34" borderId="11" xfId="0" applyFill="1" applyBorder="1" applyAlignment="1" applyProtection="1">
      <alignment horizontal="center"/>
      <protection locked="0"/>
    </xf>
    <xf numFmtId="164" fontId="0" fillId="35" borderId="15" xfId="0" applyNumberFormat="1" applyFont="1" applyFill="1" applyBorder="1" applyAlignment="1" applyProtection="1">
      <alignment horizontal="center"/>
      <protection locked="0"/>
    </xf>
    <xf numFmtId="164" fontId="0" fillId="35" borderId="11" xfId="0" applyNumberFormat="1" applyFont="1" applyFill="1" applyBorder="1" applyAlignment="1" applyProtection="1">
      <alignment horizontal="center"/>
      <protection locked="0"/>
    </xf>
    <xf numFmtId="164" fontId="0" fillId="35" borderId="15" xfId="0" applyNumberFormat="1" applyFill="1" applyBorder="1" applyAlignment="1" applyProtection="1">
      <alignment horizontal="center"/>
      <protection locked="0"/>
    </xf>
    <xf numFmtId="164" fontId="0" fillId="35" borderId="11" xfId="0" applyNumberFormat="1" applyFill="1" applyBorder="1" applyAlignment="1" applyProtection="1">
      <alignment horizontal="center"/>
      <protection locked="0"/>
    </xf>
    <xf numFmtId="0" fontId="0" fillId="36" borderId="11" xfId="0" applyFont="1" applyFill="1" applyBorder="1" applyAlignment="1" applyProtection="1">
      <alignment horizontal="center"/>
      <protection locked="0"/>
    </xf>
    <xf numFmtId="164" fontId="0" fillId="36" borderId="11" xfId="0" applyNumberFormat="1" applyFont="1" applyFill="1" applyBorder="1" applyAlignment="1" applyProtection="1">
      <alignment horizontal="center"/>
      <protection locked="0"/>
    </xf>
    <xf numFmtId="0" fontId="0" fillId="36" borderId="11" xfId="0" applyFill="1" applyBorder="1" applyAlignment="1" applyProtection="1">
      <alignment horizontal="center"/>
      <protection locked="0"/>
    </xf>
    <xf numFmtId="164" fontId="0" fillId="36" borderId="11" xfId="0" applyNumberFormat="1" applyFill="1" applyBorder="1" applyAlignment="1" applyProtection="1">
      <alignment horizontal="center"/>
      <protection locked="0"/>
    </xf>
    <xf numFmtId="0" fontId="0" fillId="36" borderId="14" xfId="0" applyFill="1" applyBorder="1" applyAlignment="1">
      <alignment/>
    </xf>
    <xf numFmtId="0" fontId="0" fillId="35" borderId="14" xfId="0" applyFill="1" applyBorder="1" applyAlignment="1">
      <alignment/>
    </xf>
    <xf numFmtId="0" fontId="0" fillId="35" borderId="16" xfId="0" applyFill="1" applyBorder="1" applyAlignment="1">
      <alignment horizontal="center"/>
    </xf>
    <xf numFmtId="0" fontId="1" fillId="36" borderId="17" xfId="0" applyFont="1" applyFill="1" applyBorder="1" applyAlignment="1">
      <alignment/>
    </xf>
    <xf numFmtId="0" fontId="0" fillId="36" borderId="16" xfId="0" applyFill="1" applyBorder="1" applyAlignment="1">
      <alignment/>
    </xf>
    <xf numFmtId="0" fontId="0" fillId="34" borderId="14" xfId="0" applyFill="1" applyBorder="1" applyAlignment="1">
      <alignment/>
    </xf>
    <xf numFmtId="0" fontId="0" fillId="34" borderId="16" xfId="0" applyFill="1" applyBorder="1" applyAlignment="1">
      <alignment/>
    </xf>
    <xf numFmtId="0" fontId="0" fillId="0" borderId="18" xfId="0" applyBorder="1" applyAlignment="1">
      <alignment/>
    </xf>
    <xf numFmtId="0" fontId="0" fillId="0" borderId="0" xfId="0" applyFont="1" applyBorder="1" applyAlignment="1">
      <alignment horizontal="center"/>
    </xf>
    <xf numFmtId="0" fontId="0" fillId="0" borderId="0" xfId="0" applyNumberFormat="1" applyBorder="1" applyAlignment="1">
      <alignment horizontal="center"/>
    </xf>
    <xf numFmtId="0" fontId="5" fillId="0" borderId="0" xfId="0" applyFont="1" applyFill="1" applyBorder="1" applyAlignment="1">
      <alignment/>
    </xf>
    <xf numFmtId="3" fontId="0" fillId="0" borderId="0" xfId="0" applyNumberFormat="1" applyAlignment="1">
      <alignment horizontal="center"/>
    </xf>
    <xf numFmtId="0" fontId="1" fillId="35" borderId="17" xfId="0" applyFont="1" applyFill="1" applyBorder="1" applyAlignment="1">
      <alignment/>
    </xf>
    <xf numFmtId="0" fontId="1" fillId="34" borderId="17" xfId="0" applyFont="1" applyFill="1" applyBorder="1" applyAlignment="1">
      <alignment/>
    </xf>
    <xf numFmtId="0" fontId="0" fillId="34" borderId="19" xfId="0" applyFill="1" applyBorder="1" applyAlignment="1">
      <alignment/>
    </xf>
    <xf numFmtId="0" fontId="0" fillId="34" borderId="20" xfId="0" applyFill="1" applyBorder="1" applyAlignment="1">
      <alignment/>
    </xf>
    <xf numFmtId="0" fontId="1" fillId="34" borderId="20" xfId="0" applyFont="1" applyFill="1" applyBorder="1" applyAlignment="1">
      <alignment horizontal="center"/>
    </xf>
    <xf numFmtId="0" fontId="1" fillId="34" borderId="21" xfId="0" applyFont="1" applyFill="1" applyBorder="1" applyAlignment="1">
      <alignment horizontal="center"/>
    </xf>
    <xf numFmtId="0" fontId="5" fillId="34" borderId="22" xfId="0" applyFont="1" applyFill="1" applyBorder="1" applyAlignment="1">
      <alignment/>
    </xf>
    <xf numFmtId="0" fontId="0" fillId="34" borderId="10" xfId="0" applyFill="1" applyBorder="1" applyAlignment="1">
      <alignment/>
    </xf>
    <xf numFmtId="0" fontId="1" fillId="34" borderId="10" xfId="0" applyFont="1" applyFill="1" applyBorder="1" applyAlignment="1">
      <alignment horizontal="center"/>
    </xf>
    <xf numFmtId="0" fontId="1" fillId="34" borderId="18" xfId="0" applyFont="1" applyFill="1" applyBorder="1" applyAlignment="1">
      <alignment horizontal="center"/>
    </xf>
    <xf numFmtId="3" fontId="0" fillId="0" borderId="11" xfId="0" applyNumberFormat="1" applyFill="1" applyBorder="1" applyAlignment="1" applyProtection="1">
      <alignment horizontal="center"/>
      <protection locked="0"/>
    </xf>
    <xf numFmtId="173" fontId="0" fillId="0" borderId="0" xfId="0" applyNumberFormat="1" applyFill="1" applyAlignment="1">
      <alignment horizontal="center"/>
    </xf>
    <xf numFmtId="0" fontId="0" fillId="0" borderId="0" xfId="0" applyFont="1" applyFill="1" applyBorder="1" applyAlignment="1">
      <alignment/>
    </xf>
    <xf numFmtId="2" fontId="0" fillId="33" borderId="11" xfId="0" applyNumberFormat="1" applyFont="1" applyFill="1" applyBorder="1" applyAlignment="1" applyProtection="1">
      <alignment horizontal="center"/>
      <protection/>
    </xf>
    <xf numFmtId="2" fontId="0" fillId="0" borderId="11" xfId="0" applyNumberFormat="1" applyFill="1" applyBorder="1" applyAlignment="1" applyProtection="1">
      <alignment horizontal="center"/>
      <protection locked="0"/>
    </xf>
    <xf numFmtId="0" fontId="18" fillId="0" borderId="0" xfId="0" applyFont="1" applyAlignment="1">
      <alignment/>
    </xf>
    <xf numFmtId="0" fontId="12" fillId="0" borderId="0" xfId="0" applyFont="1" applyAlignment="1">
      <alignment/>
    </xf>
    <xf numFmtId="0" fontId="19"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3" fillId="0" borderId="23" xfId="0" applyFont="1" applyBorder="1" applyAlignment="1">
      <alignment/>
    </xf>
    <xf numFmtId="0" fontId="14" fillId="0" borderId="0" xfId="0" applyFont="1" applyBorder="1" applyAlignment="1">
      <alignment/>
    </xf>
    <xf numFmtId="0" fontId="13" fillId="0" borderId="0" xfId="0" applyFont="1" applyBorder="1" applyAlignment="1">
      <alignment/>
    </xf>
    <xf numFmtId="0" fontId="0" fillId="0" borderId="24" xfId="0" applyBorder="1" applyAlignment="1">
      <alignment/>
    </xf>
    <xf numFmtId="0" fontId="14" fillId="0" borderId="23" xfId="0" applyFont="1" applyBorder="1" applyAlignment="1">
      <alignment/>
    </xf>
    <xf numFmtId="0" fontId="15" fillId="0" borderId="23" xfId="0" applyFont="1" applyBorder="1" applyAlignment="1">
      <alignment/>
    </xf>
    <xf numFmtId="0" fontId="14" fillId="0" borderId="22" xfId="0" applyFont="1" applyBorder="1" applyAlignment="1">
      <alignment/>
    </xf>
    <xf numFmtId="0" fontId="14" fillId="0" borderId="10"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2</xdr:row>
      <xdr:rowOff>114300</xdr:rowOff>
    </xdr:from>
    <xdr:to>
      <xdr:col>5</xdr:col>
      <xdr:colOff>381000</xdr:colOff>
      <xdr:row>9</xdr:row>
      <xdr:rowOff>57150</xdr:rowOff>
    </xdr:to>
    <xdr:sp>
      <xdr:nvSpPr>
        <xdr:cNvPr id="1" name="TextBox 1"/>
        <xdr:cNvSpPr txBox="1">
          <a:spLocks noChangeArrowheads="1"/>
        </xdr:cNvSpPr>
      </xdr:nvSpPr>
      <xdr:spPr>
        <a:xfrm>
          <a:off x="171450" y="495300"/>
          <a:ext cx="3314700" cy="1076325"/>
        </a:xfrm>
        <a:prstGeom prst="rect">
          <a:avLst/>
        </a:prstGeom>
        <a:solidFill>
          <a:srgbClr val="DCE6F2"/>
        </a:solidFill>
        <a:ln w="9525" cmpd="sng">
          <a:solidFill>
            <a:srgbClr val="BCBCBC"/>
          </a:solidFill>
          <a:headEnd type="none"/>
          <a:tailEnd type="none"/>
        </a:ln>
      </xdr:spPr>
      <xdr:txBody>
        <a:bodyPr vertOverflow="clip" wrap="square"/>
        <a:p>
          <a:pPr algn="ctr">
            <a:defRPr/>
          </a:pPr>
          <a:r>
            <a:rPr lang="en-US" cap="none" sz="1400" b="1" i="0" u="none" baseline="0">
              <a:solidFill>
                <a:srgbClr val="000000"/>
              </a:solidFill>
            </a:rPr>
            <a:t>This program allows the user to  compare profit/loss predictions for feedlot cattle production with no beta agonist, Optaflexx, and Zilmax
</a:t>
          </a:r>
        </a:p>
      </xdr:txBody>
    </xdr:sp>
    <xdr:clientData/>
  </xdr:twoCellAnchor>
  <xdr:twoCellAnchor editAs="absolute">
    <xdr:from>
      <xdr:col>6</xdr:col>
      <xdr:colOff>342900</xdr:colOff>
      <xdr:row>1</xdr:row>
      <xdr:rowOff>0</xdr:rowOff>
    </xdr:from>
    <xdr:to>
      <xdr:col>7</xdr:col>
      <xdr:colOff>323850</xdr:colOff>
      <xdr:row>4</xdr:row>
      <xdr:rowOff>152400</xdr:rowOff>
    </xdr:to>
    <xdr:pic>
      <xdr:nvPicPr>
        <xdr:cNvPr id="2" name="Picture 4" descr="double-t.jpg"/>
        <xdr:cNvPicPr preferRelativeResize="1">
          <a:picLocks noChangeAspect="1"/>
        </xdr:cNvPicPr>
      </xdr:nvPicPr>
      <xdr:blipFill>
        <a:blip r:embed="rId1"/>
        <a:stretch>
          <a:fillRect/>
        </a:stretch>
      </xdr:blipFill>
      <xdr:spPr>
        <a:xfrm>
          <a:off x="4057650" y="200025"/>
          <a:ext cx="590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12</xdr:col>
      <xdr:colOff>219075</xdr:colOff>
      <xdr:row>5</xdr:row>
      <xdr:rowOff>76200</xdr:rowOff>
    </xdr:to>
    <xdr:sp>
      <xdr:nvSpPr>
        <xdr:cNvPr id="1" name="Rectangle 4"/>
        <xdr:cNvSpPr>
          <a:spLocks/>
        </xdr:cNvSpPr>
      </xdr:nvSpPr>
      <xdr:spPr>
        <a:xfrm>
          <a:off x="19050" y="209550"/>
          <a:ext cx="7515225" cy="676275"/>
        </a:xfrm>
        <a:prstGeom prst="rect">
          <a:avLst/>
        </a:prstGeom>
        <a:noFill/>
        <a:ln w="9525" cmpd="sng">
          <a:noFill/>
        </a:ln>
      </xdr:spPr>
      <xdr:txBody>
        <a:bodyPr vertOverflow="clip" wrap="square"/>
        <a:p>
          <a:pPr algn="l">
            <a:defRPr/>
          </a:pPr>
          <a:r>
            <a:rPr lang="en-US" cap="none" sz="1400" b="1" i="0" u="none" baseline="0">
              <a:solidFill>
                <a:srgbClr val="000000"/>
              </a:solidFill>
            </a:rPr>
            <a:t>Performance and Carcass Responses</a:t>
          </a:r>
          <a:r>
            <a:rPr lang="en-US" cap="none" sz="1400" b="1" i="0" u="none" baseline="0">
              <a:solidFill>
                <a:srgbClr val="000000"/>
              </a:solidFill>
            </a:rPr>
            <a:t> </a:t>
          </a:r>
          <a:r>
            <a:rPr lang="en-US" cap="none" sz="1400" b="1" i="0" u="none" baseline="0">
              <a:solidFill>
                <a:srgbClr val="000000"/>
              </a:solidFill>
            </a:rPr>
            <a:t>with Optaflexx*</a:t>
          </a:r>
        </a:p>
      </xdr:txBody>
    </xdr:sp>
    <xdr:clientData/>
  </xdr:twoCellAnchor>
  <xdr:twoCellAnchor editAs="oneCell">
    <xdr:from>
      <xdr:col>0</xdr:col>
      <xdr:colOff>57150</xdr:colOff>
      <xdr:row>3</xdr:row>
      <xdr:rowOff>76200</xdr:rowOff>
    </xdr:from>
    <xdr:to>
      <xdr:col>10</xdr:col>
      <xdr:colOff>66675</xdr:colOff>
      <xdr:row>25</xdr:row>
      <xdr:rowOff>0</xdr:rowOff>
    </xdr:to>
    <xdr:pic>
      <xdr:nvPicPr>
        <xdr:cNvPr id="2" name="table"/>
        <xdr:cNvPicPr preferRelativeResize="1">
          <a:picLocks noChangeAspect="1"/>
        </xdr:cNvPicPr>
      </xdr:nvPicPr>
      <xdr:blipFill>
        <a:blip r:embed="rId1"/>
        <a:stretch>
          <a:fillRect/>
        </a:stretch>
      </xdr:blipFill>
      <xdr:spPr>
        <a:xfrm>
          <a:off x="57150" y="561975"/>
          <a:ext cx="6105525" cy="3486150"/>
        </a:xfrm>
        <a:prstGeom prst="rect">
          <a:avLst/>
        </a:prstGeom>
        <a:noFill/>
        <a:ln w="9525" cmpd="sng">
          <a:noFill/>
        </a:ln>
      </xdr:spPr>
    </xdr:pic>
    <xdr:clientData/>
  </xdr:twoCellAnchor>
  <xdr:twoCellAnchor>
    <xdr:from>
      <xdr:col>0</xdr:col>
      <xdr:colOff>28575</xdr:colOff>
      <xdr:row>25</xdr:row>
      <xdr:rowOff>66675</xdr:rowOff>
    </xdr:from>
    <xdr:to>
      <xdr:col>10</xdr:col>
      <xdr:colOff>171450</xdr:colOff>
      <xdr:row>28</xdr:row>
      <xdr:rowOff>114300</xdr:rowOff>
    </xdr:to>
    <xdr:sp>
      <xdr:nvSpPr>
        <xdr:cNvPr id="3" name="Text Box 75"/>
        <xdr:cNvSpPr txBox="1">
          <a:spLocks noChangeArrowheads="1"/>
        </xdr:cNvSpPr>
      </xdr:nvSpPr>
      <xdr:spPr>
        <a:xfrm>
          <a:off x="28575" y="4114800"/>
          <a:ext cx="623887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*6-trial post-approval summary evaluating Optaflexx at 200 mg/animal daily for 28 to 32 d (T4V200321, T4V080342, T4V160328, T4V480326, T4V080325, T4V200324)</a:t>
          </a:r>
        </a:p>
      </xdr:txBody>
    </xdr:sp>
    <xdr:clientData/>
  </xdr:twoCellAnchor>
  <xdr:twoCellAnchor>
    <xdr:from>
      <xdr:col>15</xdr:col>
      <xdr:colOff>238125</xdr:colOff>
      <xdr:row>69</xdr:row>
      <xdr:rowOff>9525</xdr:rowOff>
    </xdr:from>
    <xdr:to>
      <xdr:col>16</xdr:col>
      <xdr:colOff>514350</xdr:colOff>
      <xdr:row>70</xdr:row>
      <xdr:rowOff>76200</xdr:rowOff>
    </xdr:to>
    <xdr:sp>
      <xdr:nvSpPr>
        <xdr:cNvPr id="4" name="Rectangle 11"/>
        <xdr:cNvSpPr>
          <a:spLocks/>
        </xdr:cNvSpPr>
      </xdr:nvSpPr>
      <xdr:spPr>
        <a:xfrm>
          <a:off x="9382125" y="11182350"/>
          <a:ext cx="88582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BBU 222</a:t>
          </a:r>
        </a:p>
      </xdr:txBody>
    </xdr:sp>
    <xdr:clientData/>
  </xdr:twoCellAnchor>
  <xdr:twoCellAnchor>
    <xdr:from>
      <xdr:col>16</xdr:col>
      <xdr:colOff>257175</xdr:colOff>
      <xdr:row>68</xdr:row>
      <xdr:rowOff>142875</xdr:rowOff>
    </xdr:from>
    <xdr:to>
      <xdr:col>17</xdr:col>
      <xdr:colOff>19050</xdr:colOff>
      <xdr:row>70</xdr:row>
      <xdr:rowOff>76200</xdr:rowOff>
    </xdr:to>
    <xdr:sp>
      <xdr:nvSpPr>
        <xdr:cNvPr id="5" name="TextBox 46"/>
        <xdr:cNvSpPr txBox="1">
          <a:spLocks noChangeArrowheads="1"/>
        </xdr:cNvSpPr>
      </xdr:nvSpPr>
      <xdr:spPr>
        <a:xfrm>
          <a:off x="10010775" y="11153775"/>
          <a:ext cx="371475" cy="257175"/>
        </a:xfrm>
        <a:prstGeom prst="rect">
          <a:avLst/>
        </a:prstGeom>
        <a:noFill/>
        <a:ln w="9525" cmpd="sng">
          <a:noFill/>
        </a:ln>
      </xdr:spPr>
      <xdr:txBody>
        <a:bodyPr vertOverflow="clip" wrap="square"/>
        <a:p>
          <a:pPr algn="l">
            <a:defRPr/>
          </a:pPr>
          <a:r>
            <a:rPr lang="en-US" cap="none" sz="1200" b="0" i="0" u="none" baseline="0">
              <a:solidFill>
                <a:srgbClr val="000000"/>
              </a:solidFill>
            </a:rPr>
            <a:t>19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xdr:row>
      <xdr:rowOff>123825</xdr:rowOff>
    </xdr:from>
    <xdr:ext cx="180975" cy="266700"/>
    <xdr:sp fLocksText="0">
      <xdr:nvSpPr>
        <xdr:cNvPr id="1" name="TextBox 3"/>
        <xdr:cNvSpPr txBox="1">
          <a:spLocks noChangeArrowheads="1"/>
        </xdr:cNvSpPr>
      </xdr:nvSpPr>
      <xdr:spPr>
        <a:xfrm>
          <a:off x="6810375" y="304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absolute">
    <xdr:from>
      <xdr:col>10</xdr:col>
      <xdr:colOff>257175</xdr:colOff>
      <xdr:row>23</xdr:row>
      <xdr:rowOff>133350</xdr:rowOff>
    </xdr:from>
    <xdr:to>
      <xdr:col>12</xdr:col>
      <xdr:colOff>409575</xdr:colOff>
      <xdr:row>33</xdr:row>
      <xdr:rowOff>19050</xdr:rowOff>
    </xdr:to>
    <xdr:sp>
      <xdr:nvSpPr>
        <xdr:cNvPr id="2" name="TextBox 6"/>
        <xdr:cNvSpPr txBox="1">
          <a:spLocks noChangeAspect="1" noChangeArrowheads="1"/>
        </xdr:cNvSpPr>
      </xdr:nvSpPr>
      <xdr:spPr>
        <a:xfrm>
          <a:off x="7677150" y="3876675"/>
          <a:ext cx="1371600" cy="1504950"/>
        </a:xfrm>
        <a:prstGeom prst="rect">
          <a:avLst/>
        </a:prstGeom>
        <a:solidFill>
          <a:srgbClr val="E6E0EC"/>
        </a:solid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Using a beta agonist might alter labor</a:t>
          </a:r>
          <a:r>
            <a:rPr lang="en-US" cap="none" sz="900" b="0" i="0" u="none" baseline="0">
              <a:solidFill>
                <a:srgbClr val="000000"/>
              </a:solidFill>
              <a:latin typeface="Calibri"/>
              <a:ea typeface="Calibri"/>
              <a:cs typeface="Calibri"/>
            </a:rPr>
            <a:t> costs or affect cost per animal in other ways.  Enter the "per animal" adjustment to the cost that you wish to apply for using either Optaflexx or Zilmax (leave blank or enter zero for no adjustment)</a:t>
          </a:r>
        </a:p>
      </xdr:txBody>
    </xdr:sp>
    <xdr:clientData/>
  </xdr:twoCellAnchor>
  <xdr:twoCellAnchor>
    <xdr:from>
      <xdr:col>10</xdr:col>
      <xdr:colOff>47625</xdr:colOff>
      <xdr:row>26</xdr:row>
      <xdr:rowOff>0</xdr:rowOff>
    </xdr:from>
    <xdr:to>
      <xdr:col>10</xdr:col>
      <xdr:colOff>228600</xdr:colOff>
      <xdr:row>27</xdr:row>
      <xdr:rowOff>9525</xdr:rowOff>
    </xdr:to>
    <xdr:sp>
      <xdr:nvSpPr>
        <xdr:cNvPr id="3" name="Right Arrow 10"/>
        <xdr:cNvSpPr>
          <a:spLocks/>
        </xdr:cNvSpPr>
      </xdr:nvSpPr>
      <xdr:spPr>
        <a:xfrm rot="10800000">
          <a:off x="7467600" y="4229100"/>
          <a:ext cx="180975" cy="171450"/>
        </a:xfrm>
        <a:prstGeom prst="rightArrow">
          <a:avLst>
            <a:gd name="adj" fmla="val 262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editAs="absolute">
    <xdr:from>
      <xdr:col>10</xdr:col>
      <xdr:colOff>333375</xdr:colOff>
      <xdr:row>0</xdr:row>
      <xdr:rowOff>104775</xdr:rowOff>
    </xdr:from>
    <xdr:to>
      <xdr:col>11</xdr:col>
      <xdr:colOff>200025</xdr:colOff>
      <xdr:row>3</xdr:row>
      <xdr:rowOff>133350</xdr:rowOff>
    </xdr:to>
    <xdr:pic>
      <xdr:nvPicPr>
        <xdr:cNvPr id="4" name="Picture 4" descr="double-t.jpg"/>
        <xdr:cNvPicPr preferRelativeResize="1">
          <a:picLocks noChangeAspect="1"/>
        </xdr:cNvPicPr>
      </xdr:nvPicPr>
      <xdr:blipFill>
        <a:blip r:embed="rId1"/>
        <a:stretch>
          <a:fillRect/>
        </a:stretch>
      </xdr:blipFill>
      <xdr:spPr>
        <a:xfrm>
          <a:off x="7753350" y="104775"/>
          <a:ext cx="476250" cy="533400"/>
        </a:xfrm>
        <a:prstGeom prst="rect">
          <a:avLst/>
        </a:prstGeom>
        <a:noFill/>
        <a:ln w="9525" cmpd="sng">
          <a:noFill/>
        </a:ln>
      </xdr:spPr>
    </xdr:pic>
    <xdr:clientData/>
  </xdr:twoCellAnchor>
  <xdr:twoCellAnchor>
    <xdr:from>
      <xdr:col>10</xdr:col>
      <xdr:colOff>47625</xdr:colOff>
      <xdr:row>31</xdr:row>
      <xdr:rowOff>142875</xdr:rowOff>
    </xdr:from>
    <xdr:to>
      <xdr:col>10</xdr:col>
      <xdr:colOff>228600</xdr:colOff>
      <xdr:row>32</xdr:row>
      <xdr:rowOff>152400</xdr:rowOff>
    </xdr:to>
    <xdr:sp>
      <xdr:nvSpPr>
        <xdr:cNvPr id="5" name="Right Arrow 7"/>
        <xdr:cNvSpPr>
          <a:spLocks/>
        </xdr:cNvSpPr>
      </xdr:nvSpPr>
      <xdr:spPr>
        <a:xfrm rot="10800000">
          <a:off x="7467600" y="5181600"/>
          <a:ext cx="180975" cy="171450"/>
        </a:xfrm>
        <a:prstGeom prst="rightArrow">
          <a:avLst>
            <a:gd name="adj" fmla="val 262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600075</xdr:colOff>
      <xdr:row>1</xdr:row>
      <xdr:rowOff>66675</xdr:rowOff>
    </xdr:from>
    <xdr:to>
      <xdr:col>8</xdr:col>
      <xdr:colOff>57150</xdr:colOff>
      <xdr:row>4</xdr:row>
      <xdr:rowOff>85725</xdr:rowOff>
    </xdr:to>
    <xdr:pic>
      <xdr:nvPicPr>
        <xdr:cNvPr id="1" name="Picture 4" descr="double-t.jpg"/>
        <xdr:cNvPicPr preferRelativeResize="1">
          <a:picLocks noChangeAspect="1"/>
        </xdr:cNvPicPr>
      </xdr:nvPicPr>
      <xdr:blipFill>
        <a:blip r:embed="rId1"/>
        <a:stretch>
          <a:fillRect/>
        </a:stretch>
      </xdr:blipFill>
      <xdr:spPr>
        <a:xfrm>
          <a:off x="4667250" y="247650"/>
          <a:ext cx="4572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0</xdr:row>
      <xdr:rowOff>66675</xdr:rowOff>
    </xdr:from>
    <xdr:to>
      <xdr:col>8</xdr:col>
      <xdr:colOff>304800</xdr:colOff>
      <xdr:row>3</xdr:row>
      <xdr:rowOff>66675</xdr:rowOff>
    </xdr:to>
    <xdr:pic>
      <xdr:nvPicPr>
        <xdr:cNvPr id="1" name="Picture 4" descr="double-t.jpg"/>
        <xdr:cNvPicPr preferRelativeResize="1">
          <a:picLocks noChangeAspect="1"/>
        </xdr:cNvPicPr>
      </xdr:nvPicPr>
      <xdr:blipFill>
        <a:blip r:embed="rId1"/>
        <a:stretch>
          <a:fillRect/>
        </a:stretch>
      </xdr:blipFill>
      <xdr:spPr>
        <a:xfrm>
          <a:off x="4705350" y="66675"/>
          <a:ext cx="4572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0"/>
  <dimension ref="A1:C44"/>
  <sheetViews>
    <sheetView tabSelected="1" zoomScalePageLayoutView="0" workbookViewId="0" topLeftCell="A1">
      <selection activeCell="A1" sqref="A1"/>
    </sheetView>
  </sheetViews>
  <sheetFormatPr defaultColWidth="9.140625" defaultRowHeight="12.75"/>
  <cols>
    <col min="2" max="3" width="9.57421875" style="0" customWidth="1"/>
  </cols>
  <sheetData>
    <row r="1" ht="15.75">
      <c r="A1" s="35" t="s">
        <v>130</v>
      </c>
    </row>
    <row r="2" ht="14.25">
      <c r="A2" s="37" t="s">
        <v>3</v>
      </c>
    </row>
    <row r="15" spans="1:2" ht="12.75">
      <c r="A15" s="3"/>
      <c r="B15" s="7"/>
    </row>
    <row r="16" spans="1:2" ht="12.75">
      <c r="A16" s="86" t="s">
        <v>131</v>
      </c>
      <c r="B16" s="7"/>
    </row>
    <row r="17" spans="1:3" ht="12.75">
      <c r="A17" s="7"/>
      <c r="B17" s="7"/>
      <c r="C17" s="7"/>
    </row>
    <row r="18" spans="1:2" ht="12.75">
      <c r="A18" s="7"/>
      <c r="B18" s="7"/>
    </row>
    <row r="44" ht="12.75">
      <c r="A44" s="20"/>
    </row>
  </sheetData>
  <sheetProtection/>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G30" sqref="G30"/>
    </sheetView>
  </sheetViews>
  <sheetFormatPr defaultColWidth="9.140625" defaultRowHeight="12.75"/>
  <sheetData/>
  <sheetProtection/>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
  <dimension ref="A2:M21"/>
  <sheetViews>
    <sheetView zoomScalePageLayoutView="0" workbookViewId="0" topLeftCell="A1">
      <selection activeCell="A1" sqref="A1"/>
    </sheetView>
  </sheetViews>
  <sheetFormatPr defaultColWidth="9.140625" defaultRowHeight="12.75"/>
  <cols>
    <col min="6" max="6" width="11.8515625" style="0" customWidth="1"/>
    <col min="7" max="7" width="2.8515625" style="0" customWidth="1"/>
    <col min="13" max="13" width="11.140625" style="0" customWidth="1"/>
  </cols>
  <sheetData>
    <row r="2" ht="22.5">
      <c r="A2" s="85" t="s">
        <v>107</v>
      </c>
    </row>
    <row r="6" spans="1:13" ht="12.75">
      <c r="A6" s="87"/>
      <c r="B6" s="88"/>
      <c r="C6" s="88"/>
      <c r="D6" s="88"/>
      <c r="E6" s="88"/>
      <c r="F6" s="99"/>
      <c r="G6" s="88"/>
      <c r="H6" s="88"/>
      <c r="I6" s="88"/>
      <c r="J6" s="88"/>
      <c r="K6" s="88"/>
      <c r="L6" s="88"/>
      <c r="M6" s="89"/>
    </row>
    <row r="7" spans="1:13" ht="15">
      <c r="A7" s="90" t="s">
        <v>110</v>
      </c>
      <c r="B7" s="91"/>
      <c r="C7" s="91"/>
      <c r="D7" s="91"/>
      <c r="E7" s="91"/>
      <c r="F7" s="98"/>
      <c r="G7" s="6"/>
      <c r="H7" s="92" t="s">
        <v>108</v>
      </c>
      <c r="I7" s="91"/>
      <c r="J7" s="91"/>
      <c r="K7" s="91"/>
      <c r="L7" s="91"/>
      <c r="M7" s="93"/>
    </row>
    <row r="8" spans="1:13" ht="14.25">
      <c r="A8" s="94" t="s">
        <v>122</v>
      </c>
      <c r="B8" s="91"/>
      <c r="C8" s="91"/>
      <c r="D8" s="91"/>
      <c r="E8" s="91"/>
      <c r="F8" s="98"/>
      <c r="G8" s="6"/>
      <c r="H8" s="91" t="s">
        <v>127</v>
      </c>
      <c r="I8" s="91"/>
      <c r="J8" s="91"/>
      <c r="K8" s="91"/>
      <c r="L8" s="91"/>
      <c r="M8" s="93"/>
    </row>
    <row r="9" spans="1:13" ht="14.25">
      <c r="A9" s="94" t="s">
        <v>112</v>
      </c>
      <c r="B9" s="91"/>
      <c r="C9" s="91"/>
      <c r="D9" s="91"/>
      <c r="E9" s="91"/>
      <c r="F9" s="98"/>
      <c r="G9" s="6"/>
      <c r="H9" s="91" t="s">
        <v>128</v>
      </c>
      <c r="I9" s="91"/>
      <c r="J9" s="91"/>
      <c r="K9" s="91"/>
      <c r="L9" s="91"/>
      <c r="M9" s="93"/>
    </row>
    <row r="10" spans="1:13" ht="14.25">
      <c r="A10" s="94" t="s">
        <v>113</v>
      </c>
      <c r="B10" s="91"/>
      <c r="C10" s="91"/>
      <c r="D10" s="91"/>
      <c r="E10" s="91"/>
      <c r="F10" s="98"/>
      <c r="G10" s="6"/>
      <c r="H10" s="91" t="s">
        <v>129</v>
      </c>
      <c r="I10" s="91"/>
      <c r="J10" s="91"/>
      <c r="K10" s="91"/>
      <c r="L10" s="91"/>
      <c r="M10" s="93"/>
    </row>
    <row r="11" spans="1:13" ht="14.25">
      <c r="A11" s="94" t="s">
        <v>114</v>
      </c>
      <c r="B11" s="91"/>
      <c r="C11" s="91"/>
      <c r="D11" s="91"/>
      <c r="E11" s="91"/>
      <c r="F11" s="98"/>
      <c r="G11" s="6"/>
      <c r="H11" s="91" t="s">
        <v>114</v>
      </c>
      <c r="I11" s="91"/>
      <c r="J11" s="91"/>
      <c r="K11" s="91"/>
      <c r="L11" s="91"/>
      <c r="M11" s="93"/>
    </row>
    <row r="12" spans="1:13" ht="15">
      <c r="A12" s="95"/>
      <c r="B12" s="91"/>
      <c r="C12" s="91"/>
      <c r="D12" s="91"/>
      <c r="E12" s="91"/>
      <c r="F12" s="98"/>
      <c r="G12" s="6"/>
      <c r="H12" s="91"/>
      <c r="I12" s="91"/>
      <c r="J12" s="91"/>
      <c r="K12" s="91"/>
      <c r="L12" s="91"/>
      <c r="M12" s="93"/>
    </row>
    <row r="13" spans="1:13" ht="15">
      <c r="A13" s="90" t="s">
        <v>109</v>
      </c>
      <c r="B13" s="91"/>
      <c r="C13" s="91"/>
      <c r="D13" s="91"/>
      <c r="E13" s="91"/>
      <c r="F13" s="98"/>
      <c r="G13" s="6"/>
      <c r="H13" s="92" t="s">
        <v>111</v>
      </c>
      <c r="I13" s="91"/>
      <c r="J13" s="91"/>
      <c r="K13" s="91"/>
      <c r="L13" s="91"/>
      <c r="M13" s="93"/>
    </row>
    <row r="14" spans="1:13" ht="14.25">
      <c r="A14" s="94" t="s">
        <v>115</v>
      </c>
      <c r="B14" s="91"/>
      <c r="C14" s="91"/>
      <c r="D14" s="91"/>
      <c r="E14" s="91"/>
      <c r="F14" s="98"/>
      <c r="G14" s="6"/>
      <c r="H14" s="91" t="s">
        <v>106</v>
      </c>
      <c r="I14" s="91"/>
      <c r="J14" s="91"/>
      <c r="K14" s="91"/>
      <c r="L14" s="91"/>
      <c r="M14" s="93"/>
    </row>
    <row r="15" spans="1:13" ht="14.25">
      <c r="A15" s="94" t="s">
        <v>121</v>
      </c>
      <c r="B15" s="91"/>
      <c r="C15" s="91"/>
      <c r="D15" s="91"/>
      <c r="E15" s="91"/>
      <c r="F15" s="98"/>
      <c r="G15" s="6"/>
      <c r="H15" s="91" t="s">
        <v>123</v>
      </c>
      <c r="I15" s="91"/>
      <c r="J15" s="91"/>
      <c r="K15" s="91"/>
      <c r="L15" s="91"/>
      <c r="M15" s="93"/>
    </row>
    <row r="16" spans="1:13" ht="14.25">
      <c r="A16" s="94" t="s">
        <v>124</v>
      </c>
      <c r="B16" s="91"/>
      <c r="C16" s="91"/>
      <c r="D16" s="91"/>
      <c r="E16" s="91"/>
      <c r="F16" s="98"/>
      <c r="G16" s="6"/>
      <c r="H16" s="91" t="s">
        <v>124</v>
      </c>
      <c r="I16" s="91"/>
      <c r="J16" s="91"/>
      <c r="K16" s="91"/>
      <c r="L16" s="91"/>
      <c r="M16" s="93"/>
    </row>
    <row r="17" spans="1:13" ht="14.25">
      <c r="A17" s="94" t="s">
        <v>116</v>
      </c>
      <c r="B17" s="91"/>
      <c r="C17" s="91"/>
      <c r="D17" s="91"/>
      <c r="E17" s="91"/>
      <c r="F17" s="98"/>
      <c r="G17" s="6"/>
      <c r="H17" s="91" t="s">
        <v>116</v>
      </c>
      <c r="I17" s="91"/>
      <c r="J17" s="91"/>
      <c r="K17" s="91"/>
      <c r="L17" s="91"/>
      <c r="M17" s="93"/>
    </row>
    <row r="18" spans="1:13" ht="14.25">
      <c r="A18" s="94" t="s">
        <v>117</v>
      </c>
      <c r="B18" s="91"/>
      <c r="C18" s="91"/>
      <c r="D18" s="91"/>
      <c r="E18" s="91"/>
      <c r="F18" s="98"/>
      <c r="G18" s="6"/>
      <c r="H18" s="91" t="s">
        <v>125</v>
      </c>
      <c r="I18" s="91"/>
      <c r="J18" s="91"/>
      <c r="K18" s="91"/>
      <c r="L18" s="91"/>
      <c r="M18" s="93"/>
    </row>
    <row r="19" spans="1:13" ht="14.25">
      <c r="A19" s="94" t="s">
        <v>118</v>
      </c>
      <c r="B19" s="91"/>
      <c r="C19" s="91"/>
      <c r="D19" s="91"/>
      <c r="E19" s="91"/>
      <c r="F19" s="98"/>
      <c r="G19" s="6"/>
      <c r="H19" s="91" t="s">
        <v>118</v>
      </c>
      <c r="I19" s="91"/>
      <c r="J19" s="91"/>
      <c r="K19" s="91"/>
      <c r="L19" s="91"/>
      <c r="M19" s="93"/>
    </row>
    <row r="20" spans="1:13" ht="14.25">
      <c r="A20" s="94" t="s">
        <v>119</v>
      </c>
      <c r="B20" s="91"/>
      <c r="C20" s="91"/>
      <c r="D20" s="91"/>
      <c r="E20" s="91"/>
      <c r="F20" s="98"/>
      <c r="G20" s="6"/>
      <c r="H20" s="91" t="s">
        <v>126</v>
      </c>
      <c r="I20" s="91"/>
      <c r="J20" s="91"/>
      <c r="K20" s="91"/>
      <c r="L20" s="91"/>
      <c r="M20" s="93"/>
    </row>
    <row r="21" spans="1:13" ht="14.25">
      <c r="A21" s="96" t="s">
        <v>120</v>
      </c>
      <c r="B21" s="97"/>
      <c r="C21" s="97"/>
      <c r="D21" s="97"/>
      <c r="E21" s="97"/>
      <c r="F21" s="100"/>
      <c r="G21" s="4"/>
      <c r="H21" s="97" t="s">
        <v>120</v>
      </c>
      <c r="I21" s="97"/>
      <c r="J21" s="97"/>
      <c r="K21" s="97"/>
      <c r="L21" s="97"/>
      <c r="M21" s="64"/>
    </row>
  </sheetData>
  <sheetProtection/>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4"/>
  <dimension ref="A1:K37"/>
  <sheetViews>
    <sheetView zoomScalePageLayoutView="0" workbookViewId="0" topLeftCell="A7">
      <selection activeCell="A1" sqref="A1"/>
    </sheetView>
  </sheetViews>
  <sheetFormatPr defaultColWidth="9.140625" defaultRowHeight="12.75"/>
  <cols>
    <col min="3" max="3" width="13.140625" style="0" customWidth="1"/>
    <col min="4" max="4" width="10.00390625" style="0" customWidth="1"/>
    <col min="5" max="6" width="9.00390625" style="0" customWidth="1"/>
    <col min="7" max="7" width="4.00390625" style="0" customWidth="1"/>
    <col min="8" max="8" width="15.57421875" style="0" customWidth="1"/>
    <col min="9" max="9" width="23.140625" style="0" customWidth="1"/>
  </cols>
  <sheetData>
    <row r="1" ht="14.25">
      <c r="A1" s="36" t="s">
        <v>55</v>
      </c>
    </row>
    <row r="3" spans="1:11" ht="12.75">
      <c r="A3" s="70" t="s">
        <v>67</v>
      </c>
      <c r="B3" s="62"/>
      <c r="C3" s="62"/>
      <c r="D3" s="63"/>
      <c r="H3" s="69" t="s">
        <v>66</v>
      </c>
      <c r="I3" s="58"/>
      <c r="J3" s="59"/>
      <c r="K3" s="6"/>
    </row>
    <row r="4" spans="1:10" ht="12.75">
      <c r="A4" s="3" t="s">
        <v>53</v>
      </c>
      <c r="D4" s="46">
        <v>700</v>
      </c>
      <c r="H4" s="67" t="s">
        <v>54</v>
      </c>
      <c r="I4" s="43"/>
      <c r="J4" s="39"/>
    </row>
    <row r="5" spans="1:10" ht="12.75">
      <c r="A5" s="3" t="s">
        <v>6</v>
      </c>
      <c r="D5" s="47">
        <v>95</v>
      </c>
      <c r="H5" s="3" t="s">
        <v>19</v>
      </c>
      <c r="J5" s="49">
        <v>150</v>
      </c>
    </row>
    <row r="6" spans="1:10" ht="12.75">
      <c r="A6" s="3" t="s">
        <v>8</v>
      </c>
      <c r="D6" s="47">
        <v>170</v>
      </c>
      <c r="H6" s="3" t="s">
        <v>20</v>
      </c>
      <c r="J6" s="50">
        <v>145</v>
      </c>
    </row>
    <row r="7" spans="1:10" ht="12.75">
      <c r="A7" s="3" t="s">
        <v>101</v>
      </c>
      <c r="D7" s="48">
        <v>50</v>
      </c>
      <c r="H7" s="3" t="s">
        <v>41</v>
      </c>
      <c r="J7" s="50">
        <v>7</v>
      </c>
    </row>
    <row r="8" spans="1:10" ht="12.75">
      <c r="A8" s="81" t="s">
        <v>100</v>
      </c>
      <c r="D8" s="48">
        <v>50</v>
      </c>
      <c r="H8" s="3" t="s">
        <v>42</v>
      </c>
      <c r="J8" s="50">
        <v>5</v>
      </c>
    </row>
    <row r="9" spans="1:10" ht="12.75">
      <c r="A9" s="3" t="s">
        <v>9</v>
      </c>
      <c r="D9" s="48">
        <v>6.5</v>
      </c>
      <c r="H9" s="3" t="s">
        <v>81</v>
      </c>
      <c r="J9" s="50">
        <v>3</v>
      </c>
    </row>
    <row r="10" spans="1:10" ht="12.75">
      <c r="A10" s="3" t="s">
        <v>33</v>
      </c>
      <c r="D10" s="47">
        <v>15</v>
      </c>
      <c r="H10" s="3" t="s">
        <v>86</v>
      </c>
      <c r="J10" s="50">
        <v>5</v>
      </c>
    </row>
    <row r="11" spans="1:10" ht="12.75">
      <c r="A11" s="3" t="s">
        <v>34</v>
      </c>
      <c r="D11" s="47">
        <v>0.15</v>
      </c>
      <c r="H11" s="3" t="s">
        <v>87</v>
      </c>
      <c r="J11" s="50">
        <v>4</v>
      </c>
    </row>
    <row r="12" spans="1:4" ht="12.75">
      <c r="A12" s="3" t="s">
        <v>59</v>
      </c>
      <c r="D12" s="47">
        <v>1</v>
      </c>
    </row>
    <row r="13" spans="1:10" ht="12.75">
      <c r="A13" s="30" t="s">
        <v>62</v>
      </c>
      <c r="B13" s="4"/>
      <c r="C13" s="64"/>
      <c r="D13" s="47">
        <v>7</v>
      </c>
      <c r="H13" s="5" t="s">
        <v>57</v>
      </c>
      <c r="I13" s="4"/>
      <c r="J13" s="45"/>
    </row>
    <row r="14" spans="8:10" ht="12.75">
      <c r="H14" s="3" t="s">
        <v>21</v>
      </c>
      <c r="J14" s="51">
        <v>10</v>
      </c>
    </row>
    <row r="15" spans="1:10" ht="12.75">
      <c r="A15" s="71"/>
      <c r="B15" s="72"/>
      <c r="C15" s="72"/>
      <c r="D15" s="73" t="s">
        <v>51</v>
      </c>
      <c r="E15" s="73"/>
      <c r="F15" s="74"/>
      <c r="H15" s="3" t="s">
        <v>89</v>
      </c>
      <c r="J15" s="51">
        <v>10</v>
      </c>
    </row>
    <row r="16" spans="1:10" ht="12.75">
      <c r="A16" s="75" t="s">
        <v>26</v>
      </c>
      <c r="B16" s="76"/>
      <c r="C16" s="76"/>
      <c r="D16" s="77" t="s">
        <v>52</v>
      </c>
      <c r="E16" s="77" t="s">
        <v>0</v>
      </c>
      <c r="F16" s="78" t="s">
        <v>1</v>
      </c>
      <c r="H16" s="3" t="s">
        <v>88</v>
      </c>
      <c r="J16" s="52">
        <v>12</v>
      </c>
    </row>
    <row r="17" spans="1:10" ht="12.75">
      <c r="A17" s="3" t="s">
        <v>2</v>
      </c>
      <c r="D17" s="38">
        <v>150</v>
      </c>
      <c r="E17" s="38">
        <v>155</v>
      </c>
      <c r="F17" s="38">
        <v>170</v>
      </c>
      <c r="H17" s="3" t="s">
        <v>22</v>
      </c>
      <c r="J17" s="52">
        <v>10</v>
      </c>
    </row>
    <row r="18" spans="1:10" ht="12.75">
      <c r="A18" s="3" t="s">
        <v>79</v>
      </c>
      <c r="D18" s="79">
        <v>1300</v>
      </c>
      <c r="E18" s="79">
        <v>1315</v>
      </c>
      <c r="F18" s="79">
        <v>1345</v>
      </c>
      <c r="H18" s="22" t="s">
        <v>23</v>
      </c>
      <c r="I18" s="6"/>
      <c r="J18" s="52">
        <v>10</v>
      </c>
    </row>
    <row r="19" spans="1:10" ht="12.75">
      <c r="A19" s="41" t="s">
        <v>76</v>
      </c>
      <c r="B19" s="32"/>
      <c r="C19" s="32"/>
      <c r="D19" s="40">
        <f>(D18-D4)/D17</f>
        <v>4</v>
      </c>
      <c r="E19" s="40">
        <f>(E18-D4)/E17</f>
        <v>3.967741935483871</v>
      </c>
      <c r="F19" s="40">
        <f>(F18-D4)/F17</f>
        <v>3.7941176470588234</v>
      </c>
      <c r="H19" s="81" t="s">
        <v>96</v>
      </c>
      <c r="J19" s="52">
        <v>15</v>
      </c>
    </row>
    <row r="20" spans="1:10" ht="12.75">
      <c r="A20" s="3" t="s">
        <v>50</v>
      </c>
      <c r="D20" s="38">
        <v>20</v>
      </c>
      <c r="E20" s="38">
        <v>20</v>
      </c>
      <c r="F20" s="38">
        <v>20</v>
      </c>
      <c r="H20" s="81" t="s">
        <v>97</v>
      </c>
      <c r="J20" s="52">
        <v>15</v>
      </c>
    </row>
    <row r="21" spans="1:6" ht="12.75">
      <c r="A21" s="3" t="s">
        <v>49</v>
      </c>
      <c r="D21" s="38">
        <v>0.5</v>
      </c>
      <c r="E21" s="38">
        <v>0.6</v>
      </c>
      <c r="F21" s="38">
        <v>0.51</v>
      </c>
    </row>
    <row r="22" spans="1:10" ht="12.75">
      <c r="A22" s="3" t="s">
        <v>24</v>
      </c>
      <c r="D22" s="38">
        <v>819</v>
      </c>
      <c r="E22" s="38">
        <v>834</v>
      </c>
      <c r="F22" s="38">
        <v>874</v>
      </c>
      <c r="H22" s="60" t="s">
        <v>58</v>
      </c>
      <c r="I22" s="57"/>
      <c r="J22" s="61"/>
    </row>
    <row r="23" spans="1:10" ht="12.75">
      <c r="A23" s="41" t="s">
        <v>77</v>
      </c>
      <c r="B23" s="33"/>
      <c r="C23" s="33"/>
      <c r="D23" s="82">
        <f>(D22/D18)*100</f>
        <v>63</v>
      </c>
      <c r="E23" s="82">
        <f>(E22/E18)*100</f>
        <v>63.42205323193917</v>
      </c>
      <c r="F23" s="82">
        <f>(F22/F18)*100</f>
        <v>64.9814126394052</v>
      </c>
      <c r="H23" s="5" t="s">
        <v>10</v>
      </c>
      <c r="I23" s="4"/>
      <c r="J23" s="4"/>
    </row>
    <row r="24" spans="1:10" ht="12.75">
      <c r="A24" s="3" t="s">
        <v>17</v>
      </c>
      <c r="D24" s="83">
        <v>2</v>
      </c>
      <c r="E24" s="83">
        <v>2</v>
      </c>
      <c r="F24" s="83">
        <v>2</v>
      </c>
      <c r="H24" s="3" t="s">
        <v>12</v>
      </c>
      <c r="J24" s="53">
        <v>28</v>
      </c>
    </row>
    <row r="25" spans="1:10" ht="12.75">
      <c r="A25" s="3" t="s">
        <v>48</v>
      </c>
      <c r="D25" s="83">
        <v>2</v>
      </c>
      <c r="E25" s="83">
        <v>1</v>
      </c>
      <c r="F25" s="83">
        <v>1</v>
      </c>
      <c r="H25" s="2" t="s">
        <v>78</v>
      </c>
      <c r="J25" s="53">
        <v>20</v>
      </c>
    </row>
    <row r="26" spans="1:10" ht="12.75">
      <c r="A26" s="3" t="s">
        <v>69</v>
      </c>
      <c r="D26" s="83">
        <v>1</v>
      </c>
      <c r="E26" s="83">
        <v>1</v>
      </c>
      <c r="F26" s="83">
        <v>1</v>
      </c>
      <c r="H26" s="2" t="s">
        <v>102</v>
      </c>
      <c r="J26" s="54">
        <v>60</v>
      </c>
    </row>
    <row r="27" spans="1:10" ht="12.75">
      <c r="A27" s="3" t="s">
        <v>16</v>
      </c>
      <c r="D27" s="83">
        <v>55</v>
      </c>
      <c r="E27" s="83">
        <v>54</v>
      </c>
      <c r="F27" s="83">
        <v>50</v>
      </c>
      <c r="H27" s="3" t="s">
        <v>56</v>
      </c>
      <c r="J27" s="54">
        <v>0.25</v>
      </c>
    </row>
    <row r="28" spans="1:6" ht="12.75">
      <c r="A28" s="3" t="s">
        <v>18</v>
      </c>
      <c r="D28" s="83">
        <v>38</v>
      </c>
      <c r="E28" s="83">
        <v>40</v>
      </c>
      <c r="F28" s="83">
        <v>43</v>
      </c>
    </row>
    <row r="29" spans="1:10" ht="12.75">
      <c r="A29" s="3" t="s">
        <v>25</v>
      </c>
      <c r="D29" s="83">
        <v>2</v>
      </c>
      <c r="E29" s="83">
        <v>2</v>
      </c>
      <c r="F29" s="83">
        <v>5</v>
      </c>
      <c r="H29" s="5" t="s">
        <v>11</v>
      </c>
      <c r="I29" s="4"/>
      <c r="J29" s="4"/>
    </row>
    <row r="30" spans="1:10" ht="12.75">
      <c r="A30" s="3" t="s">
        <v>47</v>
      </c>
      <c r="D30" s="83">
        <v>3</v>
      </c>
      <c r="E30" s="83">
        <v>5</v>
      </c>
      <c r="F30" s="83">
        <v>5</v>
      </c>
      <c r="H30" s="3" t="s">
        <v>13</v>
      </c>
      <c r="J30" s="55">
        <v>20</v>
      </c>
    </row>
    <row r="31" spans="1:10" ht="12.75">
      <c r="A31" s="3" t="s">
        <v>46</v>
      </c>
      <c r="D31" s="83">
        <v>1</v>
      </c>
      <c r="E31" s="83">
        <v>0</v>
      </c>
      <c r="F31" s="83">
        <v>0</v>
      </c>
      <c r="H31" s="3" t="s">
        <v>78</v>
      </c>
      <c r="J31" s="55">
        <v>9.2</v>
      </c>
    </row>
    <row r="32" spans="1:10" ht="12.75">
      <c r="A32" s="3" t="s">
        <v>82</v>
      </c>
      <c r="D32" s="83">
        <v>10</v>
      </c>
      <c r="E32" s="83">
        <v>12</v>
      </c>
      <c r="F32" s="83">
        <v>15</v>
      </c>
      <c r="H32" s="3" t="s">
        <v>104</v>
      </c>
      <c r="J32" s="56">
        <v>300</v>
      </c>
    </row>
    <row r="33" spans="1:10" ht="12.75">
      <c r="A33" s="22" t="s">
        <v>83</v>
      </c>
      <c r="B33" s="6"/>
      <c r="C33" s="6"/>
      <c r="D33" s="83">
        <v>5</v>
      </c>
      <c r="E33" s="83">
        <v>4</v>
      </c>
      <c r="F33" s="83">
        <v>2</v>
      </c>
      <c r="H33" s="30" t="s">
        <v>56</v>
      </c>
      <c r="I33" s="64"/>
      <c r="J33" s="54">
        <v>0.5</v>
      </c>
    </row>
    <row r="34" spans="1:6" ht="12.75">
      <c r="A34" s="22" t="s">
        <v>84</v>
      </c>
      <c r="B34" s="6"/>
      <c r="C34" s="6"/>
      <c r="D34" s="83">
        <v>4</v>
      </c>
      <c r="E34" s="83">
        <v>3</v>
      </c>
      <c r="F34" s="83">
        <v>2</v>
      </c>
    </row>
    <row r="35" spans="1:8" ht="12.75">
      <c r="A35" s="22" t="s">
        <v>85</v>
      </c>
      <c r="B35" s="6"/>
      <c r="C35" s="6"/>
      <c r="D35" s="83">
        <v>1</v>
      </c>
      <c r="E35" s="83">
        <v>1</v>
      </c>
      <c r="F35" s="83">
        <v>0</v>
      </c>
      <c r="H35" s="84" t="s">
        <v>103</v>
      </c>
    </row>
    <row r="36" spans="1:8" ht="12.75">
      <c r="A36" s="81" t="s">
        <v>94</v>
      </c>
      <c r="D36" s="83">
        <v>0.1</v>
      </c>
      <c r="E36" s="83">
        <v>0.1</v>
      </c>
      <c r="F36" s="83">
        <v>0.1</v>
      </c>
      <c r="H36" s="84" t="s">
        <v>105</v>
      </c>
    </row>
    <row r="37" spans="1:6" ht="12.75">
      <c r="A37" s="81" t="s">
        <v>95</v>
      </c>
      <c r="D37" s="83">
        <v>0.1</v>
      </c>
      <c r="E37" s="83">
        <v>0.1</v>
      </c>
      <c r="F37" s="83">
        <v>0.1</v>
      </c>
    </row>
  </sheetData>
  <sheetProtection sheet="1"/>
  <printOptions/>
  <pageMargins left="0.7" right="0.7" top="0.75" bottom="0.75" header="0.3"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3"/>
  <dimension ref="A1:O84"/>
  <sheetViews>
    <sheetView zoomScalePageLayoutView="0" workbookViewId="0" topLeftCell="A1">
      <selection activeCell="A1" sqref="A1"/>
    </sheetView>
  </sheetViews>
  <sheetFormatPr defaultColWidth="9.140625" defaultRowHeight="12.75"/>
  <cols>
    <col min="2" max="2" width="19.421875" style="0" customWidth="1"/>
    <col min="3" max="3" width="11.57421875" style="0" customWidth="1"/>
    <col min="4" max="4" width="4.8515625" style="0" customWidth="1"/>
    <col min="5" max="5" width="11.140625" style="0" bestFit="1" customWidth="1"/>
    <col min="6" max="6" width="4.8515625" style="0" customWidth="1"/>
    <col min="7" max="7" width="10.00390625" style="0" customWidth="1"/>
    <col min="8" max="8" width="5.00390625" style="0" customWidth="1"/>
    <col min="9" max="9" width="32.140625" style="0" customWidth="1"/>
    <col min="10" max="10" width="10.8515625" style="0" customWidth="1"/>
    <col min="12" max="12" width="7.57421875" style="0" customWidth="1"/>
    <col min="14" max="14" width="6.28125" style="0" customWidth="1"/>
  </cols>
  <sheetData>
    <row r="1" ht="14.25">
      <c r="A1" s="36" t="s">
        <v>75</v>
      </c>
    </row>
    <row r="2" ht="12.75">
      <c r="A2" s="1"/>
    </row>
    <row r="3" spans="1:14" ht="12.75">
      <c r="A3" s="2" t="s">
        <v>15</v>
      </c>
      <c r="C3" s="8">
        <v>85</v>
      </c>
      <c r="F3" s="12"/>
      <c r="H3" s="12"/>
      <c r="L3" s="12"/>
      <c r="N3" s="12"/>
    </row>
    <row r="4" spans="1:14" ht="12.75">
      <c r="A4" s="2" t="s">
        <v>14</v>
      </c>
      <c r="C4" s="8">
        <v>135</v>
      </c>
      <c r="F4" s="12"/>
      <c r="H4" s="12"/>
      <c r="L4" s="12"/>
      <c r="N4" s="12"/>
    </row>
    <row r="5" ht="12.75">
      <c r="A5" s="9" t="b">
        <v>1</v>
      </c>
    </row>
    <row r="6" spans="3:15" ht="12.75">
      <c r="C6" s="14" t="s">
        <v>28</v>
      </c>
      <c r="D6" s="14"/>
      <c r="E6" s="14"/>
      <c r="F6" s="14"/>
      <c r="G6" s="14"/>
      <c r="I6" s="6"/>
      <c r="J6" s="6"/>
      <c r="K6" s="21"/>
      <c r="L6" s="21"/>
      <c r="M6" s="21"/>
      <c r="N6" s="21"/>
      <c r="O6" s="21"/>
    </row>
    <row r="7" spans="1:15" ht="13.5" thickBot="1">
      <c r="A7" s="10" t="s">
        <v>26</v>
      </c>
      <c r="B7" s="11"/>
      <c r="C7" s="13" t="s">
        <v>4</v>
      </c>
      <c r="D7" s="13"/>
      <c r="E7" s="13" t="s">
        <v>0</v>
      </c>
      <c r="F7" s="13"/>
      <c r="G7" s="13" t="s">
        <v>1</v>
      </c>
      <c r="I7" s="22"/>
      <c r="J7" s="6"/>
      <c r="K7" s="23"/>
      <c r="L7" s="23"/>
      <c r="M7" s="23"/>
      <c r="N7" s="23"/>
      <c r="O7" s="23"/>
    </row>
    <row r="8" spans="1:15" ht="13.5" thickTop="1">
      <c r="A8" s="3" t="s">
        <v>5</v>
      </c>
      <c r="C8" s="68">
        <f>C50</f>
        <v>700</v>
      </c>
      <c r="D8" s="7"/>
      <c r="E8" s="68">
        <f>C50</f>
        <v>700</v>
      </c>
      <c r="G8" s="68">
        <f>C50</f>
        <v>700</v>
      </c>
      <c r="I8" s="22"/>
      <c r="J8" s="6"/>
      <c r="K8" s="24"/>
      <c r="L8" s="6"/>
      <c r="M8" s="24"/>
      <c r="N8" s="6"/>
      <c r="O8" s="24"/>
    </row>
    <row r="9" spans="1:15" ht="12.75">
      <c r="A9" s="3" t="s">
        <v>35</v>
      </c>
      <c r="C9" s="15">
        <f>(C8/100)*C51</f>
        <v>665</v>
      </c>
      <c r="D9" s="7"/>
      <c r="E9" s="15">
        <f>(E8/100)*C51</f>
        <v>665</v>
      </c>
      <c r="G9" s="15">
        <f>(G8/100)*C51</f>
        <v>665</v>
      </c>
      <c r="I9" s="22"/>
      <c r="J9" s="6"/>
      <c r="K9" s="25"/>
      <c r="L9" s="6"/>
      <c r="M9" s="25"/>
      <c r="N9" s="6"/>
      <c r="O9" s="25"/>
    </row>
    <row r="10" spans="1:15" ht="12.75">
      <c r="A10" s="3" t="s">
        <v>80</v>
      </c>
      <c r="C10" s="68">
        <f>C64</f>
        <v>1300</v>
      </c>
      <c r="D10" s="7"/>
      <c r="E10" s="68">
        <f>D64</f>
        <v>1315</v>
      </c>
      <c r="G10" s="68">
        <f>E64</f>
        <v>1345</v>
      </c>
      <c r="I10" s="22"/>
      <c r="J10" s="6"/>
      <c r="K10" s="24"/>
      <c r="L10" s="6"/>
      <c r="M10" s="24"/>
      <c r="N10" s="6"/>
      <c r="O10" s="24"/>
    </row>
    <row r="11" spans="1:15" ht="12.75">
      <c r="A11" s="3" t="s">
        <v>29</v>
      </c>
      <c r="C11" s="15">
        <f>IF($A$5=TRUE,C68/100*C4,C64/100*C3)</f>
        <v>1105.6499999999999</v>
      </c>
      <c r="D11" s="7"/>
      <c r="E11" s="15">
        <f>IF($A$5=TRUE,D68/100*C4,D64/100*C3)</f>
        <v>1125.9</v>
      </c>
      <c r="G11" s="15">
        <f>IF($A$5=TRUE,E68/100*C4,E64/100*C3)</f>
        <v>1179.9</v>
      </c>
      <c r="I11" s="22"/>
      <c r="J11" s="6"/>
      <c r="K11" s="24"/>
      <c r="L11" s="6"/>
      <c r="M11" s="24"/>
      <c r="N11" s="6"/>
      <c r="O11" s="24"/>
    </row>
    <row r="12" spans="3:15" ht="12.75">
      <c r="C12" s="7"/>
      <c r="D12" s="7"/>
      <c r="E12" s="7"/>
      <c r="G12" s="7"/>
      <c r="I12" s="6"/>
      <c r="J12" s="6"/>
      <c r="K12" s="24"/>
      <c r="L12" s="6"/>
      <c r="M12" s="24"/>
      <c r="N12" s="6"/>
      <c r="O12" s="24"/>
    </row>
    <row r="13" spans="1:15" ht="12.75">
      <c r="A13" s="101" t="s">
        <v>2</v>
      </c>
      <c r="B13" s="102"/>
      <c r="C13" s="18">
        <f>C63</f>
        <v>150</v>
      </c>
      <c r="D13" s="7"/>
      <c r="E13" s="18">
        <f>D63</f>
        <v>155</v>
      </c>
      <c r="G13" s="18">
        <f>E63</f>
        <v>170</v>
      </c>
      <c r="I13" s="22"/>
      <c r="J13" s="6"/>
      <c r="K13" s="26"/>
      <c r="L13" s="6"/>
      <c r="M13" s="26"/>
      <c r="N13" s="6"/>
      <c r="O13" s="26"/>
    </row>
    <row r="14" spans="1:15" ht="12.75">
      <c r="A14" s="3" t="s">
        <v>27</v>
      </c>
      <c r="C14" s="15">
        <f>C66*C13*(C52/2000)</f>
        <v>255.00000000000003</v>
      </c>
      <c r="D14" s="7"/>
      <c r="E14" s="15">
        <f>D66*E13*(C52/2000)</f>
        <v>263.5</v>
      </c>
      <c r="G14" s="15">
        <f>E66*G13*(C52/2000)</f>
        <v>289</v>
      </c>
      <c r="I14" s="22"/>
      <c r="J14" s="6"/>
      <c r="K14" s="26"/>
      <c r="L14" s="6"/>
      <c r="M14" s="26"/>
      <c r="N14" s="6"/>
      <c r="O14" s="26"/>
    </row>
    <row r="15" spans="1:15" ht="12.75">
      <c r="A15" s="16" t="s">
        <v>31</v>
      </c>
      <c r="B15" s="17"/>
      <c r="C15" s="15">
        <f>(C9*D53+C14*D54+C17+C18+C19+C20+C21)*(C55/100)*(C13/360)</f>
        <v>13.690625</v>
      </c>
      <c r="D15" s="7"/>
      <c r="E15" s="15">
        <f>(E9*D53+E14*D54+E17+E18+E19+E20+E21)*(C55/100)*(E13/360)</f>
        <v>14.49425996110499</v>
      </c>
      <c r="G15" s="15">
        <f>(G9*D53+G14*D54+G17+G18+G19+G20+G21)*(C55/100)*(G13/360)</f>
        <v>16.908290227244887</v>
      </c>
      <c r="I15" s="6"/>
      <c r="J15" s="6"/>
      <c r="K15" s="24"/>
      <c r="L15" s="6"/>
      <c r="M15" s="24"/>
      <c r="N15" s="6"/>
      <c r="O15" s="24"/>
    </row>
    <row r="16" spans="1:15" ht="12.75">
      <c r="A16" s="3" t="s">
        <v>30</v>
      </c>
      <c r="C16" s="15">
        <f>(C67/100)*(C9+(0.5*(C14*D54+C15+C17+C18+C19+C20+C21)))</f>
        <v>3.7917265625</v>
      </c>
      <c r="D16" s="7"/>
      <c r="E16" s="15">
        <f>(D67/100)*(E9+(0.5*(E14*D54+E15+E17+E18+E19+E20+E21)))+((D67-C67)/100)*(E9+E14*D54+E15+E17+E18+E19+E20+E21)</f>
        <v>5.454613203019723</v>
      </c>
      <c r="G16" s="15">
        <f>(E67/100)*(G9+(0.5*(G14*D54+G15+G17+G18+G19+G20+G21)))+((E67-C67)/100)*(G9+G14*D54+G15+G17+G18+G19+G20+G21)</f>
        <v>4.081456528087867</v>
      </c>
      <c r="N16" s="6"/>
      <c r="O16" s="24"/>
    </row>
    <row r="17" spans="1:15" ht="12.75">
      <c r="A17" s="3" t="s">
        <v>64</v>
      </c>
      <c r="C17" s="15">
        <f>C56</f>
        <v>15</v>
      </c>
      <c r="D17" s="7"/>
      <c r="E17" s="15">
        <f>C56</f>
        <v>15</v>
      </c>
      <c r="G17" s="15">
        <f>C56</f>
        <v>15</v>
      </c>
      <c r="I17" s="43"/>
      <c r="J17" s="43"/>
      <c r="K17" s="43"/>
      <c r="L17" s="43"/>
      <c r="M17" s="43"/>
      <c r="N17" s="6"/>
      <c r="O17" s="24"/>
    </row>
    <row r="18" spans="1:15" ht="12.75">
      <c r="A18" s="3" t="s">
        <v>63</v>
      </c>
      <c r="C18" s="15">
        <f>C57*C13</f>
        <v>22.5</v>
      </c>
      <c r="D18" s="7"/>
      <c r="E18" s="15">
        <f>C57*E13</f>
        <v>23.25</v>
      </c>
      <c r="G18" s="15">
        <f>C57*G13</f>
        <v>25.5</v>
      </c>
      <c r="I18" s="43"/>
      <c r="J18" s="43"/>
      <c r="K18" s="43"/>
      <c r="L18" s="43"/>
      <c r="M18" s="43"/>
      <c r="N18" s="6"/>
      <c r="O18" s="24"/>
    </row>
    <row r="19" spans="1:15" ht="12.75">
      <c r="A19" s="3" t="s">
        <v>59</v>
      </c>
      <c r="C19" s="15">
        <f>C58</f>
        <v>1</v>
      </c>
      <c r="E19" s="15">
        <f>C58</f>
        <v>1</v>
      </c>
      <c r="G19" s="15">
        <f>C58</f>
        <v>1</v>
      </c>
      <c r="I19" s="6"/>
      <c r="J19" s="26"/>
      <c r="K19" s="6"/>
      <c r="L19" s="26"/>
      <c r="M19" s="43"/>
      <c r="N19" s="6"/>
      <c r="O19" s="24"/>
    </row>
    <row r="20" spans="1:15" ht="12.75">
      <c r="A20" s="3" t="s">
        <v>62</v>
      </c>
      <c r="C20" s="15">
        <f>C59</f>
        <v>7</v>
      </c>
      <c r="E20" s="15">
        <f>C59</f>
        <v>7</v>
      </c>
      <c r="G20" s="15">
        <f>C59</f>
        <v>7</v>
      </c>
      <c r="I20" s="6"/>
      <c r="J20" s="24"/>
      <c r="K20" s="6"/>
      <c r="L20" s="24"/>
      <c r="M20" s="44"/>
      <c r="N20" s="6"/>
      <c r="O20" s="24"/>
    </row>
    <row r="21" spans="1:15" ht="12.75">
      <c r="A21" s="16" t="s">
        <v>32</v>
      </c>
      <c r="B21" s="17"/>
      <c r="C21" s="7">
        <v>0</v>
      </c>
      <c r="D21" s="7"/>
      <c r="E21" s="15">
        <f>(((J70*((D66/2000*J71)/453.5))/0.1)*J72)</f>
        <v>7.409040793825799</v>
      </c>
      <c r="G21" s="15">
        <f>(((J76*((E66/2000*J77)/453.5)/0.048)*J78))</f>
        <v>25.35832414553473</v>
      </c>
      <c r="I21" s="6"/>
      <c r="J21" s="26"/>
      <c r="K21" s="6"/>
      <c r="L21" s="26"/>
      <c r="M21" s="44"/>
      <c r="N21" s="6"/>
      <c r="O21" s="24"/>
    </row>
    <row r="22" spans="9:15" ht="12.75">
      <c r="I22" s="6"/>
      <c r="J22" s="24"/>
      <c r="K22" s="6"/>
      <c r="L22" s="24"/>
      <c r="N22" s="6"/>
      <c r="O22" s="24"/>
    </row>
    <row r="23" spans="1:15" ht="12.75">
      <c r="A23" s="16" t="s">
        <v>36</v>
      </c>
      <c r="B23" s="17"/>
      <c r="C23" s="15">
        <f>C9+C14+C15+C16+C17+C18+C19+C20+C21</f>
        <v>982.9823515625</v>
      </c>
      <c r="D23" s="7"/>
      <c r="E23" s="15">
        <f>E9+E14+E15+E16+E17+E18+E19+E20+E21+J73</f>
        <v>1002.3579139579505</v>
      </c>
      <c r="G23" s="15">
        <f>G9+G14+G15+G16+G17+G18+G19+G20+G21+J79</f>
        <v>1049.3480709008675</v>
      </c>
      <c r="I23" s="6"/>
      <c r="J23" s="6"/>
      <c r="K23" s="24"/>
      <c r="L23" s="6"/>
      <c r="M23" s="24"/>
      <c r="N23" s="6"/>
      <c r="O23" s="24"/>
    </row>
    <row r="24" spans="1:15" ht="12.75">
      <c r="A24" s="3" t="s">
        <v>37</v>
      </c>
      <c r="C24" s="15">
        <f>(C14/(C10-C8))</f>
        <v>0.42500000000000004</v>
      </c>
      <c r="D24" s="7"/>
      <c r="E24" s="15">
        <f>(E14/(E10-E8))</f>
        <v>0.42845528455284554</v>
      </c>
      <c r="G24" s="15">
        <f>(G14/(G10-G8))</f>
        <v>0.448062015503876</v>
      </c>
      <c r="I24" s="6"/>
      <c r="J24" s="6"/>
      <c r="K24" s="24"/>
      <c r="L24" s="6"/>
      <c r="M24" s="24"/>
      <c r="N24" s="6"/>
      <c r="O24" s="24"/>
    </row>
    <row r="25" spans="1:15" ht="12.75">
      <c r="A25" s="3" t="s">
        <v>38</v>
      </c>
      <c r="C25" s="15">
        <f>(C23-C9)/(C10-C8)</f>
        <v>0.5299705859374999</v>
      </c>
      <c r="D25" s="7"/>
      <c r="E25" s="15">
        <f>(E23-E9)/(E10-E8)</f>
        <v>0.5485494535901634</v>
      </c>
      <c r="G25" s="15">
        <f>(G23-G9)/(G10-G8)</f>
        <v>0.5958884820168487</v>
      </c>
      <c r="I25" s="6"/>
      <c r="J25" s="6"/>
      <c r="K25" s="24"/>
      <c r="L25" s="6"/>
      <c r="M25" s="24"/>
      <c r="N25" s="6"/>
      <c r="O25" s="24"/>
    </row>
    <row r="26" spans="3:15" ht="12.75">
      <c r="C26" s="7"/>
      <c r="D26" s="7"/>
      <c r="E26" s="7"/>
      <c r="G26" s="7"/>
      <c r="I26" s="6"/>
      <c r="J26" s="6"/>
      <c r="K26" s="24"/>
      <c r="L26" s="6"/>
      <c r="M26" s="24"/>
      <c r="N26" s="6"/>
      <c r="O26" s="24"/>
    </row>
    <row r="27" spans="1:15" ht="12.75">
      <c r="A27" s="3" t="s">
        <v>39</v>
      </c>
      <c r="C27" s="15">
        <f>C11-C23</f>
        <v>122.6676484374999</v>
      </c>
      <c r="D27" s="7"/>
      <c r="E27" s="34">
        <f>E11-E23</f>
        <v>123.54208604204962</v>
      </c>
      <c r="G27" s="34">
        <f>G11-G23</f>
        <v>130.55192909913262</v>
      </c>
      <c r="I27" s="6"/>
      <c r="J27" s="6"/>
      <c r="K27" s="24"/>
      <c r="L27" s="6"/>
      <c r="M27" s="24"/>
      <c r="N27" s="6"/>
      <c r="O27" s="24"/>
    </row>
    <row r="28" spans="1:15" ht="12.75">
      <c r="A28" s="3" t="s">
        <v>40</v>
      </c>
      <c r="E28" s="19">
        <f>E27-C27</f>
        <v>0.874437604549712</v>
      </c>
      <c r="G28" s="19">
        <f>G27-C27</f>
        <v>7.884280661632715</v>
      </c>
      <c r="I28" s="6"/>
      <c r="J28" s="6"/>
      <c r="K28" s="24"/>
      <c r="L28" s="6"/>
      <c r="M28" s="24"/>
      <c r="N28" s="6"/>
      <c r="O28" s="24"/>
    </row>
    <row r="29" spans="1:15" ht="12.75">
      <c r="A29" s="3"/>
      <c r="C29" s="80"/>
      <c r="D29" s="31"/>
      <c r="E29" s="80"/>
      <c r="F29" s="80"/>
      <c r="G29" s="80"/>
      <c r="I29" s="6"/>
      <c r="J29" s="6"/>
      <c r="K29" s="6"/>
      <c r="L29" s="6"/>
      <c r="M29" s="6"/>
      <c r="N29" s="6"/>
      <c r="O29" s="6"/>
    </row>
    <row r="30" spans="9:15" ht="12.75">
      <c r="I30" s="6"/>
      <c r="J30" s="24"/>
      <c r="K30" s="6"/>
      <c r="L30" s="6"/>
      <c r="M30" s="6"/>
      <c r="N30" s="6"/>
      <c r="O30" s="6"/>
    </row>
    <row r="31" ht="12.75">
      <c r="J31" s="7"/>
    </row>
    <row r="46" spans="1:7" ht="12.75">
      <c r="A46" s="6"/>
      <c r="B46" s="6"/>
      <c r="C46" s="6"/>
      <c r="D46" s="6"/>
      <c r="E46" s="6"/>
      <c r="F46" s="6"/>
      <c r="G46" s="6"/>
    </row>
    <row r="47" spans="1:7" ht="12.75">
      <c r="A47" s="22"/>
      <c r="B47" s="6"/>
      <c r="C47" s="6"/>
      <c r="D47" s="6"/>
      <c r="E47" s="6"/>
      <c r="F47" s="6"/>
      <c r="G47" s="6"/>
    </row>
    <row r="48" spans="1:10" ht="12.75">
      <c r="A48" s="22"/>
      <c r="B48" s="6"/>
      <c r="C48" s="6"/>
      <c r="D48" s="6"/>
      <c r="E48" s="6"/>
      <c r="F48" s="6"/>
      <c r="G48" s="6"/>
      <c r="H48" s="6"/>
      <c r="I48" s="6"/>
      <c r="J48" s="6"/>
    </row>
    <row r="49" spans="1:10" ht="12.75">
      <c r="A49" s="4" t="str">
        <f>Input!A3</f>
        <v>General and financial data</v>
      </c>
      <c r="B49" s="4"/>
      <c r="C49" s="6"/>
      <c r="D49" s="6"/>
      <c r="E49" s="6"/>
      <c r="F49" s="6"/>
      <c r="G49" s="6"/>
      <c r="H49" s="6"/>
      <c r="I49" s="6"/>
      <c r="J49" s="6"/>
    </row>
    <row r="50" spans="1:10" ht="12.75">
      <c r="A50" s="6" t="str">
        <f>Input!A4</f>
        <v>Intial BW, lb</v>
      </c>
      <c r="C50" s="24">
        <f>Input!D4</f>
        <v>700</v>
      </c>
      <c r="D50" s="6"/>
      <c r="E50" s="65"/>
      <c r="F50" s="24"/>
      <c r="G50" s="65"/>
      <c r="H50" s="6"/>
      <c r="I50" s="6"/>
      <c r="J50" s="6"/>
    </row>
    <row r="51" spans="1:10" ht="12.75">
      <c r="A51" s="6" t="str">
        <f>Input!A5</f>
        <v>Purchase price, $/cwt</v>
      </c>
      <c r="C51" s="24">
        <f>Input!D5</f>
        <v>95</v>
      </c>
      <c r="D51" s="6"/>
      <c r="E51" s="24"/>
      <c r="F51" s="6"/>
      <c r="G51" s="24"/>
      <c r="H51" s="6"/>
      <c r="I51" s="4" t="str">
        <f>Input!H3</f>
        <v>Grid basis value data</v>
      </c>
      <c r="J51" s="6"/>
    </row>
    <row r="52" spans="1:10" ht="12.75">
      <c r="A52" s="6" t="str">
        <f>Input!A6</f>
        <v>Diet cost, $/ton, DM basis</v>
      </c>
      <c r="C52" s="24">
        <f>Input!D6</f>
        <v>170</v>
      </c>
      <c r="D52" s="6"/>
      <c r="E52" s="24"/>
      <c r="F52" s="24"/>
      <c r="G52" s="24"/>
      <c r="H52" s="6"/>
      <c r="I52" s="42" t="str">
        <f>Input!H4</f>
        <v>Base values and premiums:</v>
      </c>
      <c r="J52" s="6"/>
    </row>
    <row r="53" spans="1:10" ht="12.75">
      <c r="A53" s="6" t="str">
        <f>Input!A7</f>
        <v>Equity, % of cattle</v>
      </c>
      <c r="C53" s="24">
        <f>Input!D7</f>
        <v>50</v>
      </c>
      <c r="D53" s="24">
        <f>1-(C53/100)</f>
        <v>0.5</v>
      </c>
      <c r="E53" s="6"/>
      <c r="F53" s="6"/>
      <c r="G53" s="6"/>
      <c r="H53" s="6"/>
      <c r="I53" s="6" t="str">
        <f>Input!H5</f>
        <v>Choice carcass price, $/cwt</v>
      </c>
      <c r="J53" s="24">
        <f>Input!J5</f>
        <v>150</v>
      </c>
    </row>
    <row r="54" spans="1:10" ht="12.75">
      <c r="A54" s="6" t="str">
        <f>Input!A8</f>
        <v>Equity, % of feed</v>
      </c>
      <c r="C54" s="24">
        <f>Input!D8</f>
        <v>50</v>
      </c>
      <c r="D54" s="24">
        <f>1-(C54/100)</f>
        <v>0.5</v>
      </c>
      <c r="E54" s="6"/>
      <c r="F54" s="6"/>
      <c r="G54" s="6"/>
      <c r="H54" s="6"/>
      <c r="I54" s="6" t="str">
        <f>Input!H6</f>
        <v>Select carcass price, $/cwt</v>
      </c>
      <c r="J54" s="24">
        <f>Input!J6</f>
        <v>145</v>
      </c>
    </row>
    <row r="55" spans="1:10" ht="12.75">
      <c r="A55" s="6" t="str">
        <f>Input!A9</f>
        <v>Interest rate, %</v>
      </c>
      <c r="C55" s="24">
        <f>Input!D9</f>
        <v>6.5</v>
      </c>
      <c r="D55" s="6"/>
      <c r="E55" s="6"/>
      <c r="F55" s="22"/>
      <c r="G55" s="65"/>
      <c r="H55" s="6"/>
      <c r="I55" s="6" t="str">
        <f>Input!H7</f>
        <v>Prime carcass premium, $/cwt</v>
      </c>
      <c r="J55" s="24">
        <f>Input!J7</f>
        <v>7</v>
      </c>
    </row>
    <row r="56" spans="1:10" ht="12.75">
      <c r="A56" s="6" t="str">
        <f>Input!A10</f>
        <v>Processing fees, $/animal</v>
      </c>
      <c r="C56" s="24">
        <f>Input!D10</f>
        <v>15</v>
      </c>
      <c r="D56" s="6"/>
      <c r="E56" s="6"/>
      <c r="F56" s="22"/>
      <c r="G56" s="24"/>
      <c r="H56" s="6"/>
      <c r="I56" s="6" t="str">
        <f>Input!H8</f>
        <v>High-Choice premium, $/cwt</v>
      </c>
      <c r="J56" s="24">
        <f>Input!J8</f>
        <v>5</v>
      </c>
    </row>
    <row r="57" spans="1:10" ht="12.75">
      <c r="A57" s="6" t="str">
        <f>Input!A11</f>
        <v>Yardage and other fees, $/day</v>
      </c>
      <c r="C57" s="24">
        <f>Input!D11</f>
        <v>0.15</v>
      </c>
      <c r="D57" s="6"/>
      <c r="E57" s="6"/>
      <c r="F57" s="6"/>
      <c r="G57" s="24"/>
      <c r="H57" s="24"/>
      <c r="I57" s="6" t="str">
        <f>Input!H9</f>
        <v>Other quality grade premium, $/cwt</v>
      </c>
      <c r="J57" s="24">
        <f>Input!J9</f>
        <v>3</v>
      </c>
    </row>
    <row r="58" spans="1:10" ht="12.75">
      <c r="A58" s="6" t="str">
        <f>Input!A12</f>
        <v>Medical costs, $/animal</v>
      </c>
      <c r="C58" s="24">
        <f>Input!D12</f>
        <v>1</v>
      </c>
      <c r="D58" s="6"/>
      <c r="E58" s="6"/>
      <c r="F58" s="6"/>
      <c r="G58" s="66"/>
      <c r="H58" s="6"/>
      <c r="I58" s="6" t="str">
        <f>Input!H10</f>
        <v>Yield Grade 1  premium, $/cwt</v>
      </c>
      <c r="J58" s="24">
        <f>Input!J10</f>
        <v>5</v>
      </c>
    </row>
    <row r="59" spans="1:10" ht="12.75">
      <c r="A59" s="6" t="str">
        <f>Input!A13</f>
        <v>Implant costs, $/animal</v>
      </c>
      <c r="C59" s="24">
        <f>Input!D13</f>
        <v>7</v>
      </c>
      <c r="G59" s="7"/>
      <c r="H59" s="6"/>
      <c r="I59" s="6"/>
      <c r="J59" s="24"/>
    </row>
    <row r="60" spans="8:10" ht="12.75">
      <c r="H60" s="6"/>
      <c r="I60" s="42" t="str">
        <f>Input!H13</f>
        <v>Discounts:</v>
      </c>
      <c r="J60" s="24"/>
    </row>
    <row r="61" spans="1:10" ht="12.75">
      <c r="A61" s="6"/>
      <c r="C61" s="24" t="str">
        <f>Input!D15</f>
        <v>No Beta</v>
      </c>
      <c r="D61" s="65" t="s">
        <v>60</v>
      </c>
      <c r="E61" s="24"/>
      <c r="I61" s="6" t="str">
        <f>Input!H14</f>
        <v>No roll discount, $/cwt</v>
      </c>
      <c r="J61" s="24">
        <f>Input!J14</f>
        <v>10</v>
      </c>
    </row>
    <row r="62" spans="1:10" ht="12.75">
      <c r="A62" s="4" t="str">
        <f>Input!A16</f>
        <v>Item</v>
      </c>
      <c r="B62" s="4"/>
      <c r="C62" s="29" t="str">
        <f>Input!D16</f>
        <v>Agonist</v>
      </c>
      <c r="D62" s="28" t="s">
        <v>61</v>
      </c>
      <c r="E62" s="29" t="str">
        <f>Input!F16</f>
        <v>Zilmax</v>
      </c>
      <c r="I62" s="6" t="str">
        <f>Input!H15</f>
        <v>Yield Grade 4 discount, $/cwt</v>
      </c>
      <c r="J62" s="24">
        <f>Input!J16</f>
        <v>12</v>
      </c>
    </row>
    <row r="63" spans="1:10" ht="12.75">
      <c r="A63" s="6" t="str">
        <f>Input!A17</f>
        <v>Days on feed</v>
      </c>
      <c r="C63" s="24">
        <f>Input!D17</f>
        <v>150</v>
      </c>
      <c r="D63" s="24">
        <f>Input!E17</f>
        <v>155</v>
      </c>
      <c r="E63" s="24">
        <f>Input!F17</f>
        <v>170</v>
      </c>
      <c r="I63" s="6" t="str">
        <f>Input!H17</f>
        <v>Light carcass discount, $/cwt</v>
      </c>
      <c r="J63" s="24">
        <f>Input!J17</f>
        <v>10</v>
      </c>
    </row>
    <row r="64" spans="1:10" ht="12.75">
      <c r="A64" s="6" t="str">
        <f>Input!A18</f>
        <v>Final shrunk live weight, lb</v>
      </c>
      <c r="C64" s="24">
        <f>Input!D18</f>
        <v>1300</v>
      </c>
      <c r="D64" s="24">
        <f>Input!E18</f>
        <v>1315</v>
      </c>
      <c r="E64" s="24">
        <f>Input!F18</f>
        <v>1345</v>
      </c>
      <c r="I64" s="6" t="str">
        <f>Input!H18</f>
        <v>Heavy carcass discount, $/cwt</v>
      </c>
      <c r="J64" s="24">
        <f>Input!J18</f>
        <v>10</v>
      </c>
    </row>
    <row r="65" spans="1:10" ht="12.75">
      <c r="A65" s="6" t="str">
        <f>Input!A19</f>
        <v>ADG, lb (calculated automatically)</v>
      </c>
      <c r="C65" s="24">
        <f>Input!D19</f>
        <v>4</v>
      </c>
      <c r="D65" s="24">
        <f>Input!E19</f>
        <v>3.967741935483871</v>
      </c>
      <c r="E65" s="24">
        <f>Input!F19</f>
        <v>3.7941176470588234</v>
      </c>
      <c r="I65" s="6" t="str">
        <f>Input!H19</f>
        <v>Dark cutting carcass discount, $/cwt</v>
      </c>
      <c r="J65" s="24">
        <f>Input!J19</f>
        <v>15</v>
      </c>
    </row>
    <row r="66" spans="1:10" ht="12.75">
      <c r="A66" s="6" t="str">
        <f>Input!A20</f>
        <v>Overall DM intake, lb</v>
      </c>
      <c r="C66" s="24">
        <f>Input!D20</f>
        <v>20</v>
      </c>
      <c r="D66" s="24">
        <f>Input!E20</f>
        <v>20</v>
      </c>
      <c r="E66" s="24">
        <f>Input!F20</f>
        <v>20</v>
      </c>
      <c r="I66" s="6" t="str">
        <f>Input!H20</f>
        <v>Hardbone carcass discount, $/cwt</v>
      </c>
      <c r="J66" s="24">
        <f>Input!J20</f>
        <v>15</v>
      </c>
    </row>
    <row r="67" spans="1:5" ht="12.75">
      <c r="A67" s="6" t="str">
        <f>Input!A21</f>
        <v>% Death loss</v>
      </c>
      <c r="C67" s="24">
        <f>Input!D21</f>
        <v>0.5</v>
      </c>
      <c r="D67" s="24">
        <f>Input!E21</f>
        <v>0.6</v>
      </c>
      <c r="E67" s="24">
        <f>Input!F21</f>
        <v>0.51</v>
      </c>
    </row>
    <row r="68" spans="1:10" ht="12.75">
      <c r="A68" s="6" t="str">
        <f>Input!A22</f>
        <v>Hot carcass weight, lb</v>
      </c>
      <c r="C68" s="24">
        <f>Input!D22</f>
        <v>819</v>
      </c>
      <c r="D68" s="24">
        <f>Input!E22</f>
        <v>834</v>
      </c>
      <c r="E68" s="24">
        <f>Input!F22</f>
        <v>874</v>
      </c>
      <c r="I68" s="42" t="str">
        <f>Input!H22</f>
        <v>Product use and cost information</v>
      </c>
      <c r="J68" s="24"/>
    </row>
    <row r="69" spans="1:10" ht="12.75">
      <c r="A69" s="6" t="str">
        <f>Input!A23</f>
        <v>Dressing % (calculated automatically)</v>
      </c>
      <c r="C69" s="24">
        <f>Input!D23/100</f>
        <v>0.63</v>
      </c>
      <c r="D69" s="24">
        <f>Input!E23/100</f>
        <v>0.6342205323193917</v>
      </c>
      <c r="E69" s="24">
        <f>Input!F23/100</f>
        <v>0.6498141263940521</v>
      </c>
      <c r="I69" s="42" t="str">
        <f>Input!H23</f>
        <v>Optaflexx:</v>
      </c>
      <c r="J69" s="24"/>
    </row>
    <row r="70" spans="1:10" ht="12.75">
      <c r="A70" s="6" t="str">
        <f>Input!A24</f>
        <v>% Prime</v>
      </c>
      <c r="C70" s="24">
        <f>Input!D24/100</f>
        <v>0.02</v>
      </c>
      <c r="D70" s="24">
        <f>Input!E24/100</f>
        <v>0.02</v>
      </c>
      <c r="E70" s="24">
        <f>Input!F24/100</f>
        <v>0.02</v>
      </c>
      <c r="I70" s="6" t="str">
        <f>Input!H24</f>
        <v>Days on Optaflexx</v>
      </c>
      <c r="J70" s="24">
        <f>Input!J24</f>
        <v>28</v>
      </c>
    </row>
    <row r="71" spans="1:10" ht="12.75">
      <c r="A71" s="6" t="str">
        <f>Input!A25</f>
        <v>% High Choice</v>
      </c>
      <c r="C71" s="24">
        <f>Input!D25/100</f>
        <v>0.02</v>
      </c>
      <c r="D71" s="24">
        <f>Input!E25/100</f>
        <v>0.01</v>
      </c>
      <c r="E71" s="24">
        <f>Input!F25/100</f>
        <v>0.01</v>
      </c>
      <c r="I71" s="6" t="str">
        <f>Input!H25</f>
        <v>Concentration, g/ton in finished feed</v>
      </c>
      <c r="J71" s="24">
        <f>Input!J25</f>
        <v>20</v>
      </c>
    </row>
    <row r="72" spans="1:10" ht="12.75">
      <c r="A72" s="6" t="str">
        <f>Input!A26</f>
        <v>% Other Premium Choice</v>
      </c>
      <c r="C72" s="24">
        <f>Input!D26/100</f>
        <v>0.01</v>
      </c>
      <c r="D72" s="24">
        <f>Input!E26/100</f>
        <v>0.01</v>
      </c>
      <c r="E72" s="24">
        <f>Input!F26/100</f>
        <v>0.01</v>
      </c>
      <c r="I72" s="6" t="str">
        <f>Input!H26</f>
        <v>Optaflexx 45* premix cost, $/lb </v>
      </c>
      <c r="J72" s="24">
        <f>Input!J26</f>
        <v>60</v>
      </c>
    </row>
    <row r="73" spans="1:10" ht="12.75">
      <c r="A73" s="6" t="str">
        <f>Input!A27</f>
        <v>% Choice</v>
      </c>
      <c r="C73" s="24">
        <f>Input!D27/100</f>
        <v>0.55</v>
      </c>
      <c r="D73" s="24">
        <f>Input!E27/100</f>
        <v>0.54</v>
      </c>
      <c r="E73" s="24">
        <f>Input!F27/100</f>
        <v>0.5</v>
      </c>
      <c r="I73" s="6" t="str">
        <f>Input!H27</f>
        <v>Added cost for product use, $/animal</v>
      </c>
      <c r="J73" s="24">
        <f>Input!J27</f>
        <v>0.25</v>
      </c>
    </row>
    <row r="74" spans="1:10" ht="12.75">
      <c r="A74" s="6" t="str">
        <f>Input!A28</f>
        <v>% Select</v>
      </c>
      <c r="C74" s="24">
        <f>Input!D28/100</f>
        <v>0.38</v>
      </c>
      <c r="D74" s="24">
        <f>Input!E28/100</f>
        <v>0.4</v>
      </c>
      <c r="E74" s="24">
        <f>Input!F28/100</f>
        <v>0.43</v>
      </c>
      <c r="I74" s="6"/>
      <c r="J74" s="24"/>
    </row>
    <row r="75" spans="1:10" ht="12.75">
      <c r="A75" s="6" t="str">
        <f>Input!A29</f>
        <v>% No Roll</v>
      </c>
      <c r="C75" s="24">
        <f>Input!D29/100</f>
        <v>0.02</v>
      </c>
      <c r="D75" s="24">
        <f>Input!E29/100</f>
        <v>0.02</v>
      </c>
      <c r="E75" s="24">
        <f>Input!F29/100</f>
        <v>0.05</v>
      </c>
      <c r="I75" s="42" t="str">
        <f>Input!H29</f>
        <v>Zilmax:</v>
      </c>
      <c r="J75" s="24"/>
    </row>
    <row r="76" spans="1:10" ht="12.75">
      <c r="A76" s="6" t="str">
        <f>Input!A30</f>
        <v>% Heavy carcasses</v>
      </c>
      <c r="C76" s="24">
        <f>Input!D30/100</f>
        <v>0.03</v>
      </c>
      <c r="D76" s="24">
        <f>Input!E30/100</f>
        <v>0.05</v>
      </c>
      <c r="E76" s="24">
        <f>Input!F30/100</f>
        <v>0.05</v>
      </c>
      <c r="I76" s="6" t="str">
        <f>Input!H30</f>
        <v>Days on Zilmax</v>
      </c>
      <c r="J76" s="24">
        <f>Input!J30</f>
        <v>20</v>
      </c>
    </row>
    <row r="77" spans="1:10" ht="12.75">
      <c r="A77" s="6" t="str">
        <f>Input!A31</f>
        <v>% Light carcasses</v>
      </c>
      <c r="C77" s="24">
        <f>Input!D31/100</f>
        <v>0.01</v>
      </c>
      <c r="D77" s="24">
        <f>Input!E31/100</f>
        <v>0</v>
      </c>
      <c r="E77" s="24">
        <f>Input!F31/100</f>
        <v>0</v>
      </c>
      <c r="I77" s="6" t="str">
        <f>Input!H31</f>
        <v>Concentration, g/ton in finished feed</v>
      </c>
      <c r="J77" s="24">
        <f>Input!J31</f>
        <v>9.2</v>
      </c>
    </row>
    <row r="78" spans="1:10" ht="12.75">
      <c r="A78" s="6" t="str">
        <f>Input!A32</f>
        <v>% Yield Grade 1 carcasses</v>
      </c>
      <c r="C78" s="24">
        <f>Input!D32/100</f>
        <v>0.1</v>
      </c>
      <c r="D78" s="24">
        <f>Input!E32/100</f>
        <v>0.12</v>
      </c>
      <c r="E78" s="24">
        <f>Input!F32/100</f>
        <v>0.15</v>
      </c>
      <c r="I78" s="6" t="str">
        <f>Input!H32</f>
        <v>Zilmax Type A** premix cost, $/lb</v>
      </c>
      <c r="J78" s="24">
        <f>Input!J32</f>
        <v>300</v>
      </c>
    </row>
    <row r="79" spans="1:10" ht="12.75">
      <c r="A79" s="6" t="str">
        <f>Input!A33</f>
        <v>% Yield Grade 2 carcasses</v>
      </c>
      <c r="C79" s="24">
        <f>Input!D33/100</f>
        <v>0.05</v>
      </c>
      <c r="D79" s="24">
        <f>Input!E33/100</f>
        <v>0.04</v>
      </c>
      <c r="E79" s="24">
        <f>Input!F33/100</f>
        <v>0.02</v>
      </c>
      <c r="I79" s="6" t="str">
        <f>Input!H33</f>
        <v>Added cost for product use, $/animal</v>
      </c>
      <c r="J79" s="24">
        <f>Input!J33</f>
        <v>0.5</v>
      </c>
    </row>
    <row r="80" spans="1:5" ht="12.75">
      <c r="A80" s="6" t="str">
        <f>Input!A34</f>
        <v>% Yield Grade 4 carcasses</v>
      </c>
      <c r="B80" s="6"/>
      <c r="C80" s="24">
        <f>Input!D34/100</f>
        <v>0.04</v>
      </c>
      <c r="D80" s="24">
        <f>Input!E34/100</f>
        <v>0.03</v>
      </c>
      <c r="E80" s="24">
        <f>Input!F34/100</f>
        <v>0.02</v>
      </c>
    </row>
    <row r="81" spans="1:5" ht="12.75">
      <c r="A81" s="6" t="str">
        <f>Input!A35</f>
        <v>% Yield Grade 5 carcasses</v>
      </c>
      <c r="B81" s="6"/>
      <c r="C81" s="24">
        <f>Input!D35/100</f>
        <v>0.01</v>
      </c>
      <c r="D81" s="24">
        <f>Input!E35/100</f>
        <v>0.01</v>
      </c>
      <c r="E81" s="24">
        <f>Input!F35/100</f>
        <v>0</v>
      </c>
    </row>
    <row r="82" spans="1:5" ht="12.75">
      <c r="A82" s="6" t="str">
        <f>Input!A36</f>
        <v>% Dark cutting carcasses</v>
      </c>
      <c r="B82" s="6"/>
      <c r="C82" s="24">
        <f>Input!D36/100</f>
        <v>0.001</v>
      </c>
      <c r="D82" s="24">
        <f>Input!E36/100</f>
        <v>0.001</v>
      </c>
      <c r="E82" s="24">
        <f>Input!F36/100</f>
        <v>0.001</v>
      </c>
    </row>
    <row r="83" spans="1:5" ht="12.75">
      <c r="A83" s="6" t="str">
        <f>Input!A37</f>
        <v>% Hardbone carcasses</v>
      </c>
      <c r="B83" s="6"/>
      <c r="C83" s="24">
        <f>Input!D37/100</f>
        <v>0.001</v>
      </c>
      <c r="D83" s="24">
        <f>Input!E37/100</f>
        <v>0.001</v>
      </c>
      <c r="E83" s="24">
        <f>Input!F37/100</f>
        <v>0.001</v>
      </c>
    </row>
    <row r="84" ht="12.75">
      <c r="B84" s="6"/>
    </row>
  </sheetData>
  <sheetProtection/>
  <mergeCells count="1">
    <mergeCell ref="A13:B13"/>
  </mergeCells>
  <printOptions/>
  <pageMargins left="0.7" right="0.7" top="0.75" bottom="0.75" header="0.3" footer="0.3"/>
  <pageSetup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A1:O100"/>
  <sheetViews>
    <sheetView zoomScalePageLayoutView="0" workbookViewId="0" topLeftCell="A1">
      <selection activeCell="A1" sqref="A1"/>
    </sheetView>
  </sheetViews>
  <sheetFormatPr defaultColWidth="9.140625" defaultRowHeight="12.75"/>
  <cols>
    <col min="2" max="2" width="16.28125" style="0" customWidth="1"/>
    <col min="3" max="3" width="11.57421875" style="0" customWidth="1"/>
    <col min="4" max="4" width="4.8515625" style="0" customWidth="1"/>
    <col min="5" max="5" width="11.140625" style="0" bestFit="1" customWidth="1"/>
    <col min="6" max="6" width="4.8515625" style="0" customWidth="1"/>
    <col min="7" max="7" width="10.00390625" style="0" customWidth="1"/>
    <col min="8" max="8" width="5.00390625" style="0" customWidth="1"/>
    <col min="9" max="9" width="32.140625" style="0" customWidth="1"/>
    <col min="10" max="10" width="10.8515625" style="0" customWidth="1"/>
    <col min="12" max="12" width="7.57421875" style="0" customWidth="1"/>
    <col min="14" max="14" width="6.28125" style="0" customWidth="1"/>
  </cols>
  <sheetData>
    <row r="1" ht="14.25">
      <c r="A1" s="36" t="s">
        <v>74</v>
      </c>
    </row>
    <row r="2" ht="12.75">
      <c r="A2" s="1"/>
    </row>
    <row r="3" ht="12.75">
      <c r="A3" s="9"/>
    </row>
    <row r="4" spans="3:15" ht="12.75">
      <c r="C4" s="14" t="s">
        <v>28</v>
      </c>
      <c r="D4" s="14"/>
      <c r="E4" s="14"/>
      <c r="F4" s="14"/>
      <c r="G4" s="14"/>
      <c r="I4" s="6"/>
      <c r="J4" s="6"/>
      <c r="K4" s="21"/>
      <c r="L4" s="21"/>
      <c r="M4" s="21"/>
      <c r="N4" s="21"/>
      <c r="O4" s="21"/>
    </row>
    <row r="5" spans="1:15" ht="13.5" thickBot="1">
      <c r="A5" s="10" t="s">
        <v>26</v>
      </c>
      <c r="B5" s="11"/>
      <c r="C5" s="13" t="s">
        <v>4</v>
      </c>
      <c r="D5" s="13"/>
      <c r="E5" s="13" t="s">
        <v>0</v>
      </c>
      <c r="F5" s="13"/>
      <c r="G5" s="13" t="s">
        <v>1</v>
      </c>
      <c r="I5" s="22"/>
      <c r="J5" s="6"/>
      <c r="K5" s="23"/>
      <c r="L5" s="23"/>
      <c r="M5" s="23"/>
      <c r="N5" s="23"/>
      <c r="O5" s="23"/>
    </row>
    <row r="6" spans="1:15" ht="13.5" thickTop="1">
      <c r="A6" s="3" t="s">
        <v>5</v>
      </c>
      <c r="C6" s="68">
        <f>C48</f>
        <v>700</v>
      </c>
      <c r="D6" s="7"/>
      <c r="E6" s="68">
        <f>C48</f>
        <v>700</v>
      </c>
      <c r="G6" s="68">
        <f>C48</f>
        <v>700</v>
      </c>
      <c r="I6" s="22"/>
      <c r="J6" s="6"/>
      <c r="K6" s="24"/>
      <c r="L6" s="6"/>
      <c r="M6" s="24"/>
      <c r="N6" s="6"/>
      <c r="O6" s="24"/>
    </row>
    <row r="7" spans="1:15" ht="12.75">
      <c r="A7" s="3" t="s">
        <v>35</v>
      </c>
      <c r="C7" s="15">
        <f>(C6/100)*C49</f>
        <v>665</v>
      </c>
      <c r="D7" s="7"/>
      <c r="E7" s="15">
        <f>(E6/100)*C49</f>
        <v>665</v>
      </c>
      <c r="G7" s="15">
        <f>(G6/100)*C49</f>
        <v>665</v>
      </c>
      <c r="I7" s="22"/>
      <c r="J7" s="6"/>
      <c r="K7" s="25"/>
      <c r="L7" s="6"/>
      <c r="M7" s="25"/>
      <c r="N7" s="6"/>
      <c r="O7" s="25"/>
    </row>
    <row r="8" spans="1:15" ht="12.75">
      <c r="A8" s="3" t="s">
        <v>7</v>
      </c>
      <c r="C8" s="68">
        <f>C62</f>
        <v>1300</v>
      </c>
      <c r="D8" s="7"/>
      <c r="E8" s="68">
        <f>D62</f>
        <v>1315</v>
      </c>
      <c r="G8" s="68">
        <f>E62</f>
        <v>1345</v>
      </c>
      <c r="I8" s="22"/>
      <c r="J8" s="6"/>
      <c r="K8" s="24"/>
      <c r="L8" s="6"/>
      <c r="M8" s="24"/>
      <c r="N8" s="6"/>
      <c r="O8" s="24"/>
    </row>
    <row r="9" spans="1:15" ht="12.75">
      <c r="A9" s="3" t="s">
        <v>29</v>
      </c>
      <c r="C9" s="15">
        <f>C66*C100</f>
        <v>1211.4648</v>
      </c>
      <c r="D9" s="7"/>
      <c r="E9" s="15">
        <f>D66*D100</f>
        <v>1232.9022</v>
      </c>
      <c r="G9" s="15">
        <f>E66*E100</f>
        <v>1316.8558</v>
      </c>
      <c r="I9" s="22"/>
      <c r="J9" s="6"/>
      <c r="K9" s="24"/>
      <c r="L9" s="6"/>
      <c r="M9" s="24"/>
      <c r="N9" s="6"/>
      <c r="O9" s="24"/>
    </row>
    <row r="10" spans="3:15" ht="12.75">
      <c r="C10" s="7"/>
      <c r="D10" s="7"/>
      <c r="E10" s="7"/>
      <c r="G10" s="7"/>
      <c r="I10" s="6"/>
      <c r="J10" s="6"/>
      <c r="K10" s="24"/>
      <c r="L10" s="6"/>
      <c r="M10" s="24"/>
      <c r="N10" s="6"/>
      <c r="O10" s="24"/>
    </row>
    <row r="11" spans="1:15" ht="12.75">
      <c r="A11" s="101" t="s">
        <v>2</v>
      </c>
      <c r="B11" s="102"/>
      <c r="C11" s="18">
        <f>C61</f>
        <v>150</v>
      </c>
      <c r="D11" s="7"/>
      <c r="E11" s="18">
        <f>D61</f>
        <v>155</v>
      </c>
      <c r="G11" s="18">
        <f>E61</f>
        <v>170</v>
      </c>
      <c r="I11" s="22"/>
      <c r="J11" s="6"/>
      <c r="K11" s="26"/>
      <c r="L11" s="6"/>
      <c r="M11" s="26"/>
      <c r="N11" s="6"/>
      <c r="O11" s="26"/>
    </row>
    <row r="12" spans="1:15" ht="12.75">
      <c r="A12" s="3" t="s">
        <v>27</v>
      </c>
      <c r="C12" s="15">
        <f>C64*C11*(C50/2000)</f>
        <v>255.00000000000003</v>
      </c>
      <c r="D12" s="7"/>
      <c r="E12" s="15">
        <f>D64*E11*(C50/2000)</f>
        <v>263.5</v>
      </c>
      <c r="G12" s="15">
        <f>E64*G11*(C50/2000)</f>
        <v>289</v>
      </c>
      <c r="I12" s="22"/>
      <c r="J12" s="6"/>
      <c r="K12" s="26"/>
      <c r="L12" s="6"/>
      <c r="M12" s="26"/>
      <c r="N12" s="6"/>
      <c r="O12" s="26"/>
    </row>
    <row r="13" spans="1:15" ht="12.75">
      <c r="A13" s="16" t="s">
        <v>31</v>
      </c>
      <c r="B13" s="17"/>
      <c r="C13" s="15">
        <f>(C7*D51+C12*D52+C15+C16+C17+C18+C19)*(C53/100)*(C11/360)</f>
        <v>13.690625</v>
      </c>
      <c r="D13" s="7"/>
      <c r="E13" s="15">
        <f>(E7*D51+E12*D52+E15+E16+E17+E18+E19)*(C53/100)*(E11/360)</f>
        <v>14.49425996110499</v>
      </c>
      <c r="G13" s="15">
        <f>(G7*D51+G12*D52+G15+G16+G17+G18+G19)*(C53/100)*(G11/360)</f>
        <v>16.908290227244887</v>
      </c>
      <c r="I13" s="6"/>
      <c r="J13" s="6"/>
      <c r="K13" s="24"/>
      <c r="L13" s="6"/>
      <c r="M13" s="24"/>
      <c r="N13" s="6"/>
      <c r="O13" s="24"/>
    </row>
    <row r="14" spans="1:15" ht="12.75">
      <c r="A14" s="3" t="s">
        <v>30</v>
      </c>
      <c r="C14" s="15">
        <f>(C65/100)*(C7+(0.5*(C12*D52+C13+C15+C16+C17+C18+C19)))</f>
        <v>3.7917265625</v>
      </c>
      <c r="D14" s="7"/>
      <c r="E14" s="15">
        <f>(D65/100)*(E7+(0.5*(E12*D52+E13+E15+E16+E17+E18+E19)))+((D65-C65)/100)*(E7+E12*D52+E13+E15+E16+E17+E18+E19)</f>
        <v>5.454613203019723</v>
      </c>
      <c r="G14" s="15">
        <f>(E65/100)*(G7+(0.5*(G12*D52+G13+G15+G16+G17+G18+G19)))+((E65-C65)/100)*(G7+G12*D52+G13+G15+G16+G17+G18+G19)</f>
        <v>4.081456528087867</v>
      </c>
      <c r="N14" s="6"/>
      <c r="O14" s="24"/>
    </row>
    <row r="15" spans="1:15" ht="12.75">
      <c r="A15" s="3" t="s">
        <v>64</v>
      </c>
      <c r="C15" s="15">
        <f>C54</f>
        <v>15</v>
      </c>
      <c r="D15" s="7"/>
      <c r="E15" s="15">
        <f>C54</f>
        <v>15</v>
      </c>
      <c r="G15" s="15">
        <f>C54</f>
        <v>15</v>
      </c>
      <c r="I15" s="43"/>
      <c r="J15" s="43"/>
      <c r="K15" s="43"/>
      <c r="L15" s="43"/>
      <c r="M15" s="43"/>
      <c r="N15" s="6"/>
      <c r="O15" s="24"/>
    </row>
    <row r="16" spans="1:15" ht="12.75">
      <c r="A16" s="3" t="s">
        <v>63</v>
      </c>
      <c r="C16" s="15">
        <f>C55*C11</f>
        <v>22.5</v>
      </c>
      <c r="D16" s="7"/>
      <c r="E16" s="15">
        <f>C55*E11</f>
        <v>23.25</v>
      </c>
      <c r="G16" s="15">
        <f>C55*G11</f>
        <v>25.5</v>
      </c>
      <c r="I16" s="43"/>
      <c r="J16" s="43"/>
      <c r="K16" s="43"/>
      <c r="L16" s="43"/>
      <c r="M16" s="43"/>
      <c r="N16" s="6"/>
      <c r="O16" s="24"/>
    </row>
    <row r="17" spans="1:15" ht="12.75">
      <c r="A17" s="3" t="s">
        <v>59</v>
      </c>
      <c r="C17" s="15">
        <f>C56</f>
        <v>1</v>
      </c>
      <c r="E17" s="15">
        <f>C56</f>
        <v>1</v>
      </c>
      <c r="G17" s="15">
        <f>C56</f>
        <v>1</v>
      </c>
      <c r="I17" s="6"/>
      <c r="J17" s="26"/>
      <c r="K17" s="6"/>
      <c r="L17" s="26"/>
      <c r="M17" s="43"/>
      <c r="N17" s="6"/>
      <c r="O17" s="24"/>
    </row>
    <row r="18" spans="1:15" ht="12.75">
      <c r="A18" s="3" t="s">
        <v>62</v>
      </c>
      <c r="C18" s="15">
        <f>C57</f>
        <v>7</v>
      </c>
      <c r="E18" s="15">
        <f>C57</f>
        <v>7</v>
      </c>
      <c r="G18" s="15">
        <f>C57</f>
        <v>7</v>
      </c>
      <c r="I18" s="6"/>
      <c r="J18" s="24"/>
      <c r="K18" s="6"/>
      <c r="L18" s="24"/>
      <c r="M18" s="44"/>
      <c r="N18" s="6"/>
      <c r="O18" s="24"/>
    </row>
    <row r="19" spans="1:15" ht="12.75">
      <c r="A19" s="16" t="s">
        <v>32</v>
      </c>
      <c r="B19" s="17"/>
      <c r="C19" s="7">
        <v>0</v>
      </c>
      <c r="D19" s="7"/>
      <c r="E19" s="15">
        <f>(((J70*((D64/2000*J71)/453.5))/0.1)*J72)</f>
        <v>7.409040793825799</v>
      </c>
      <c r="G19" s="15">
        <f>(J76*((((E64/2000*J77)/453.5))/0.048)*J78)</f>
        <v>25.35832414553473</v>
      </c>
      <c r="I19" s="6"/>
      <c r="J19" s="26"/>
      <c r="K19" s="6"/>
      <c r="L19" s="26"/>
      <c r="M19" s="44"/>
      <c r="N19" s="6"/>
      <c r="O19" s="24"/>
    </row>
    <row r="20" spans="9:15" ht="12.75">
      <c r="I20" s="6"/>
      <c r="J20" s="24"/>
      <c r="K20" s="6"/>
      <c r="L20" s="24"/>
      <c r="N20" s="6"/>
      <c r="O20" s="24"/>
    </row>
    <row r="21" spans="1:15" ht="12.75">
      <c r="A21" s="16" t="s">
        <v>36</v>
      </c>
      <c r="B21" s="17"/>
      <c r="C21" s="15">
        <f>C7+C12+C13+C14+C15+C16+C17+C18+C19</f>
        <v>982.9823515625</v>
      </c>
      <c r="D21" s="7"/>
      <c r="E21" s="15">
        <f>E7+E12+E13+E14+E15+E16+E17+E18+E19+J73</f>
        <v>1002.3579139579505</v>
      </c>
      <c r="G21" s="15">
        <f>G7+G12+G13+G14+G15+G16+G17+G18+G19+J79</f>
        <v>1049.3480709008675</v>
      </c>
      <c r="I21" s="6"/>
      <c r="J21" s="6"/>
      <c r="K21" s="24"/>
      <c r="L21" s="6"/>
      <c r="M21" s="24"/>
      <c r="N21" s="6"/>
      <c r="O21" s="24"/>
    </row>
    <row r="22" spans="1:15" ht="12.75">
      <c r="A22" s="3" t="s">
        <v>37</v>
      </c>
      <c r="C22" s="15">
        <f>(C12/(C8-C6))</f>
        <v>0.42500000000000004</v>
      </c>
      <c r="D22" s="7"/>
      <c r="E22" s="15">
        <f>(E12/(E8-E6))</f>
        <v>0.42845528455284554</v>
      </c>
      <c r="G22" s="15">
        <f>(G12/(G8-G6))</f>
        <v>0.448062015503876</v>
      </c>
      <c r="I22" s="6"/>
      <c r="J22" s="6"/>
      <c r="K22" s="24"/>
      <c r="L22" s="6"/>
      <c r="M22" s="24"/>
      <c r="N22" s="6"/>
      <c r="O22" s="24"/>
    </row>
    <row r="23" spans="1:15" ht="12.75">
      <c r="A23" s="3" t="s">
        <v>38</v>
      </c>
      <c r="C23" s="15">
        <f>(C21-C7)/(C8-C6)</f>
        <v>0.5299705859374999</v>
      </c>
      <c r="D23" s="7"/>
      <c r="E23" s="15">
        <f>(E21-E7)/(E8-E6)</f>
        <v>0.5485494535901634</v>
      </c>
      <c r="G23" s="15">
        <f>(G21-G7)/(G8-G6)</f>
        <v>0.5958884820168487</v>
      </c>
      <c r="I23" s="6"/>
      <c r="J23" s="6"/>
      <c r="K23" s="24"/>
      <c r="L23" s="6"/>
      <c r="M23" s="24"/>
      <c r="N23" s="6"/>
      <c r="O23" s="24"/>
    </row>
    <row r="24" spans="3:15" ht="12.75">
      <c r="C24" s="7"/>
      <c r="D24" s="7"/>
      <c r="E24" s="7"/>
      <c r="G24" s="7"/>
      <c r="I24" s="6"/>
      <c r="J24" s="6"/>
      <c r="K24" s="24"/>
      <c r="L24" s="6"/>
      <c r="M24" s="24"/>
      <c r="N24" s="6"/>
      <c r="O24" s="24"/>
    </row>
    <row r="25" spans="1:15" ht="12.75">
      <c r="A25" s="3" t="s">
        <v>39</v>
      </c>
      <c r="C25" s="15">
        <f>C9-C21</f>
        <v>228.4824484375</v>
      </c>
      <c r="D25" s="7"/>
      <c r="E25" s="34">
        <f>E9-E21</f>
        <v>230.54428604204952</v>
      </c>
      <c r="G25" s="34">
        <f>G9-G21</f>
        <v>267.5077290991326</v>
      </c>
      <c r="I25" s="6"/>
      <c r="J25" s="6"/>
      <c r="K25" s="24"/>
      <c r="L25" s="6"/>
      <c r="M25" s="24"/>
      <c r="N25" s="6"/>
      <c r="O25" s="24"/>
    </row>
    <row r="26" spans="1:15" ht="12.75">
      <c r="A26" s="3" t="s">
        <v>40</v>
      </c>
      <c r="E26" s="19">
        <f>E25-C25</f>
        <v>2.0618376045495097</v>
      </c>
      <c r="G26" s="19">
        <f>G25-C25</f>
        <v>39.025280661632564</v>
      </c>
      <c r="I26" s="6"/>
      <c r="J26" s="6"/>
      <c r="K26" s="24"/>
      <c r="L26" s="6"/>
      <c r="M26" s="24"/>
      <c r="N26" s="6"/>
      <c r="O26" s="24"/>
    </row>
    <row r="27" spans="1:15" ht="12.75">
      <c r="A27" s="3"/>
      <c r="C27" s="32"/>
      <c r="D27" s="32"/>
      <c r="E27" s="31"/>
      <c r="F27" s="32"/>
      <c r="G27" s="31"/>
      <c r="I27" s="6"/>
      <c r="J27" s="6"/>
      <c r="K27" s="6"/>
      <c r="L27" s="6"/>
      <c r="M27" s="6"/>
      <c r="N27" s="6"/>
      <c r="O27" s="6"/>
    </row>
    <row r="28" spans="9:15" ht="12.75">
      <c r="I28" s="6"/>
      <c r="J28" s="24"/>
      <c r="K28" s="6"/>
      <c r="L28" s="6"/>
      <c r="M28" s="6"/>
      <c r="N28" s="6"/>
      <c r="O28" s="6"/>
    </row>
    <row r="29" ht="12.75">
      <c r="J29" s="7"/>
    </row>
    <row r="44" spans="1:7" ht="12.75">
      <c r="A44" s="6"/>
      <c r="B44" s="6"/>
      <c r="C44" s="6"/>
      <c r="D44" s="6"/>
      <c r="E44" s="6"/>
      <c r="F44" s="6"/>
      <c r="G44" s="6"/>
    </row>
    <row r="45" spans="1:7" ht="12.75">
      <c r="A45" s="22"/>
      <c r="B45" s="6"/>
      <c r="C45" s="6"/>
      <c r="D45" s="6"/>
      <c r="E45" s="6"/>
      <c r="F45" s="6"/>
      <c r="G45" s="6"/>
    </row>
    <row r="46" spans="1:10" ht="12.75">
      <c r="A46" s="22"/>
      <c r="B46" s="6"/>
      <c r="C46" s="6"/>
      <c r="D46" s="6"/>
      <c r="E46" s="6"/>
      <c r="F46" s="6"/>
      <c r="G46" s="6"/>
      <c r="H46" s="6"/>
      <c r="I46" s="6"/>
      <c r="J46" s="6"/>
    </row>
    <row r="47" spans="1:10" ht="12.75">
      <c r="A47" s="4" t="str">
        <f>Input!A3</f>
        <v>General and financial data</v>
      </c>
      <c r="B47" s="4"/>
      <c r="C47" s="6"/>
      <c r="D47" s="6"/>
      <c r="E47" s="6"/>
      <c r="F47" s="6"/>
      <c r="G47" s="6"/>
      <c r="H47" s="6"/>
      <c r="I47" s="6"/>
      <c r="J47" s="6"/>
    </row>
    <row r="48" spans="1:10" ht="12.75">
      <c r="A48" s="6" t="str">
        <f>Input!A4</f>
        <v>Intial BW, lb</v>
      </c>
      <c r="C48" s="24">
        <f>Input!D4</f>
        <v>700</v>
      </c>
      <c r="D48" s="6"/>
      <c r="E48" s="65"/>
      <c r="F48" s="24"/>
      <c r="G48" s="65"/>
      <c r="H48" s="6"/>
      <c r="I48" s="6"/>
      <c r="J48" s="6"/>
    </row>
    <row r="49" spans="1:10" ht="12.75">
      <c r="A49" s="6" t="str">
        <f>Input!A5</f>
        <v>Purchase price, $/cwt</v>
      </c>
      <c r="C49" s="24">
        <f>Input!D5</f>
        <v>95</v>
      </c>
      <c r="D49" s="6"/>
      <c r="E49" s="24"/>
      <c r="F49" s="6"/>
      <c r="G49" s="24"/>
      <c r="H49" s="6"/>
      <c r="I49" s="4" t="str">
        <f>Input!H3</f>
        <v>Grid basis value data</v>
      </c>
      <c r="J49" s="6"/>
    </row>
    <row r="50" spans="1:10" ht="12.75">
      <c r="A50" s="6" t="str">
        <f>Input!A6</f>
        <v>Diet cost, $/ton, DM basis</v>
      </c>
      <c r="C50" s="24">
        <f>Input!D6</f>
        <v>170</v>
      </c>
      <c r="D50" s="6"/>
      <c r="E50" s="24"/>
      <c r="F50" s="24"/>
      <c r="G50" s="24"/>
      <c r="H50" s="6"/>
      <c r="I50" s="42" t="str">
        <f>Input!H4</f>
        <v>Base values and premiums:</v>
      </c>
      <c r="J50" s="6"/>
    </row>
    <row r="51" spans="1:10" ht="12.75">
      <c r="A51" s="6" t="str">
        <f>Input!A7</f>
        <v>Equity, % of cattle</v>
      </c>
      <c r="C51" s="24">
        <f>Input!D7</f>
        <v>50</v>
      </c>
      <c r="D51" s="24">
        <f>1-(C51/100)</f>
        <v>0.5</v>
      </c>
      <c r="E51" s="6"/>
      <c r="F51" s="6"/>
      <c r="G51" s="6"/>
      <c r="H51" s="6"/>
      <c r="I51" s="6" t="str">
        <f>Input!H5</f>
        <v>Choice carcass price, $/cwt</v>
      </c>
      <c r="J51" s="24">
        <f>Input!J5</f>
        <v>150</v>
      </c>
    </row>
    <row r="52" spans="1:10" ht="12.75">
      <c r="A52" s="6" t="str">
        <f>Input!A8</f>
        <v>Equity, % of feed</v>
      </c>
      <c r="C52" s="24">
        <f>Input!D8</f>
        <v>50</v>
      </c>
      <c r="D52" s="24">
        <f>1-(C52/100)</f>
        <v>0.5</v>
      </c>
      <c r="E52" s="6"/>
      <c r="F52" s="6"/>
      <c r="G52" s="6"/>
      <c r="H52" s="6"/>
      <c r="I52" s="6" t="str">
        <f>Input!H6</f>
        <v>Select carcass price, $/cwt</v>
      </c>
      <c r="J52" s="24">
        <f>Input!J6</f>
        <v>145</v>
      </c>
    </row>
    <row r="53" spans="1:10" ht="12.75">
      <c r="A53" s="6" t="str">
        <f>Input!A9</f>
        <v>Interest rate, %</v>
      </c>
      <c r="C53" s="24">
        <f>Input!D9</f>
        <v>6.5</v>
      </c>
      <c r="D53" s="6"/>
      <c r="E53" s="6"/>
      <c r="F53" s="22"/>
      <c r="G53" s="65"/>
      <c r="H53" s="6"/>
      <c r="I53" s="6" t="str">
        <f>Input!H7</f>
        <v>Prime carcass premium, $/cwt</v>
      </c>
      <c r="J53" s="24">
        <f>Input!J7</f>
        <v>7</v>
      </c>
    </row>
    <row r="54" spans="1:10" ht="12.75">
      <c r="A54" s="6" t="str">
        <f>Input!A10</f>
        <v>Processing fees, $/animal</v>
      </c>
      <c r="C54" s="24">
        <f>Input!D10</f>
        <v>15</v>
      </c>
      <c r="D54" s="6"/>
      <c r="E54" s="6"/>
      <c r="F54" s="22"/>
      <c r="G54" s="24"/>
      <c r="H54" s="6"/>
      <c r="I54" s="6" t="str">
        <f>Input!H8</f>
        <v>High-Choice premium, $/cwt</v>
      </c>
      <c r="J54" s="24">
        <f>Input!J8</f>
        <v>5</v>
      </c>
    </row>
    <row r="55" spans="1:10" ht="12.75">
      <c r="A55" s="6" t="str">
        <f>Input!A11</f>
        <v>Yardage and other fees, $/day</v>
      </c>
      <c r="C55" s="24">
        <f>Input!D11</f>
        <v>0.15</v>
      </c>
      <c r="D55" s="6"/>
      <c r="E55" s="6"/>
      <c r="F55" s="6"/>
      <c r="G55" s="24"/>
      <c r="H55" s="24"/>
      <c r="I55" s="6" t="str">
        <f>Input!H9</f>
        <v>Other quality grade premium, $/cwt</v>
      </c>
      <c r="J55" s="24">
        <f>Input!J9</f>
        <v>3</v>
      </c>
    </row>
    <row r="56" spans="1:10" ht="12.75">
      <c r="A56" s="6" t="str">
        <f>Input!A12</f>
        <v>Medical costs, $/animal</v>
      </c>
      <c r="C56" s="24">
        <f>Input!D12</f>
        <v>1</v>
      </c>
      <c r="D56" s="6"/>
      <c r="E56" s="6"/>
      <c r="F56" s="6"/>
      <c r="G56" s="66"/>
      <c r="H56" s="6"/>
      <c r="I56" s="6" t="str">
        <f>Input!H10</f>
        <v>Yield Grade 1  premium, $/cwt</v>
      </c>
      <c r="J56" s="24">
        <f>Input!J10</f>
        <v>5</v>
      </c>
    </row>
    <row r="57" spans="1:10" ht="12.75">
      <c r="A57" s="6" t="str">
        <f>Input!A13</f>
        <v>Implant costs, $/animal</v>
      </c>
      <c r="C57" s="24">
        <f>Input!D13</f>
        <v>7</v>
      </c>
      <c r="G57" s="7"/>
      <c r="H57" s="6"/>
      <c r="I57" s="6" t="str">
        <f>Input!H11</f>
        <v>Yield Grade 2  premium, $/cwt</v>
      </c>
      <c r="J57" s="24">
        <f>Input!J11</f>
        <v>4</v>
      </c>
    </row>
    <row r="58" ht="12.75">
      <c r="H58" s="6"/>
    </row>
    <row r="59" spans="1:10" ht="12.75">
      <c r="A59" s="6"/>
      <c r="C59" s="65" t="s">
        <v>51</v>
      </c>
      <c r="D59" s="65" t="s">
        <v>60</v>
      </c>
      <c r="E59" s="24"/>
      <c r="I59" s="42" t="str">
        <f>Input!H13</f>
        <v>Discounts:</v>
      </c>
      <c r="J59" s="24"/>
    </row>
    <row r="60" spans="1:10" ht="12.75">
      <c r="A60" s="4" t="str">
        <f>Input!A16</f>
        <v>Item</v>
      </c>
      <c r="B60" s="4"/>
      <c r="C60" s="28" t="s">
        <v>52</v>
      </c>
      <c r="D60" s="28" t="s">
        <v>61</v>
      </c>
      <c r="E60" s="28" t="s">
        <v>1</v>
      </c>
      <c r="I60" s="6" t="str">
        <f>Input!H14</f>
        <v>No roll discount, $/cwt</v>
      </c>
      <c r="J60" s="24">
        <f>Input!J14</f>
        <v>10</v>
      </c>
    </row>
    <row r="61" spans="1:10" ht="12.75">
      <c r="A61" s="6" t="str">
        <f>Input!A17</f>
        <v>Days on feed</v>
      </c>
      <c r="C61" s="24">
        <f>Input!D17</f>
        <v>150</v>
      </c>
      <c r="D61" s="24">
        <f>Input!E17</f>
        <v>155</v>
      </c>
      <c r="E61" s="24">
        <f>Input!F17</f>
        <v>170</v>
      </c>
      <c r="I61" s="6" t="str">
        <f>Input!H15</f>
        <v>Yield Grade 4 discount, $/cwt</v>
      </c>
      <c r="J61" s="24">
        <f>Input!J15</f>
        <v>10</v>
      </c>
    </row>
    <row r="62" spans="1:10" ht="12.75">
      <c r="A62" s="6" t="str">
        <f>Input!A18</f>
        <v>Final shrunk live weight, lb</v>
      </c>
      <c r="C62" s="24">
        <f>Input!D18</f>
        <v>1300</v>
      </c>
      <c r="D62" s="24">
        <f>Input!E18</f>
        <v>1315</v>
      </c>
      <c r="E62" s="24">
        <f>Input!F18</f>
        <v>1345</v>
      </c>
      <c r="I62" s="6" t="str">
        <f>Input!H16</f>
        <v>Yield Grade 5 discount, $/cwt</v>
      </c>
      <c r="J62" s="24">
        <f>Input!J16</f>
        <v>12</v>
      </c>
    </row>
    <row r="63" spans="1:10" ht="12.75">
      <c r="A63" s="6" t="str">
        <f>Input!A19</f>
        <v>ADG, lb (calculated automatically)</v>
      </c>
      <c r="C63" s="24">
        <f>Input!D19</f>
        <v>4</v>
      </c>
      <c r="D63" s="24">
        <f>Input!E19</f>
        <v>3.967741935483871</v>
      </c>
      <c r="E63" s="24">
        <f>Input!F19</f>
        <v>3.7941176470588234</v>
      </c>
      <c r="I63" s="6" t="str">
        <f>Input!H17</f>
        <v>Light carcass discount, $/cwt</v>
      </c>
      <c r="J63" s="24">
        <f>Input!J17</f>
        <v>10</v>
      </c>
    </row>
    <row r="64" spans="1:10" ht="12.75">
      <c r="A64" s="6" t="str">
        <f>Input!A20</f>
        <v>Overall DM intake, lb</v>
      </c>
      <c r="C64" s="24">
        <f>Input!D20</f>
        <v>20</v>
      </c>
      <c r="D64" s="24">
        <f>Input!E20</f>
        <v>20</v>
      </c>
      <c r="E64" s="24">
        <f>Input!F20</f>
        <v>20</v>
      </c>
      <c r="I64" s="6" t="str">
        <f>Input!H18</f>
        <v>Heavy carcass discount, $/cwt</v>
      </c>
      <c r="J64" s="24">
        <f>Input!J18</f>
        <v>10</v>
      </c>
    </row>
    <row r="65" spans="1:10" ht="12.75">
      <c r="A65" s="6" t="str">
        <f>Input!A21</f>
        <v>% Death loss</v>
      </c>
      <c r="C65" s="24">
        <f>Input!D21</f>
        <v>0.5</v>
      </c>
      <c r="D65" s="24">
        <f>Input!E21</f>
        <v>0.6</v>
      </c>
      <c r="E65" s="24">
        <f>Input!F21</f>
        <v>0.51</v>
      </c>
      <c r="I65" s="6" t="str">
        <f>Input!H19</f>
        <v>Dark cutting carcass discount, $/cwt</v>
      </c>
      <c r="J65" s="24">
        <f>Input!J19</f>
        <v>15</v>
      </c>
    </row>
    <row r="66" spans="1:10" ht="12.75">
      <c r="A66" s="6" t="str">
        <f>Input!A22</f>
        <v>Hot carcass weight, lb</v>
      </c>
      <c r="C66" s="24">
        <f>Input!D22</f>
        <v>819</v>
      </c>
      <c r="D66" s="24">
        <f>Input!E22</f>
        <v>834</v>
      </c>
      <c r="E66" s="24">
        <f>Input!F22</f>
        <v>874</v>
      </c>
      <c r="I66" s="6" t="str">
        <f>Input!H20</f>
        <v>Hardbone carcass discount, $/cwt</v>
      </c>
      <c r="J66" s="24">
        <f>Input!J20</f>
        <v>15</v>
      </c>
    </row>
    <row r="67" spans="1:5" ht="12.75">
      <c r="A67" s="6" t="str">
        <f>Input!A23</f>
        <v>Dressing % (calculated automatically)</v>
      </c>
      <c r="C67" s="24">
        <f>Input!D23/100</f>
        <v>0.63</v>
      </c>
      <c r="D67" s="24">
        <f>Input!E23/100</f>
        <v>0.6342205323193917</v>
      </c>
      <c r="E67" s="24">
        <f>Input!F23/100</f>
        <v>0.6498141263940521</v>
      </c>
    </row>
    <row r="68" spans="1:10" ht="12.75">
      <c r="A68" s="6" t="str">
        <f>Input!A24</f>
        <v>% Prime</v>
      </c>
      <c r="C68" s="24">
        <f>Input!D24/100</f>
        <v>0.02</v>
      </c>
      <c r="D68" s="24">
        <f>Input!E24/100</f>
        <v>0.02</v>
      </c>
      <c r="E68" s="24">
        <f>Input!F24/100</f>
        <v>0.02</v>
      </c>
      <c r="I68" s="42" t="str">
        <f>Input!H22</f>
        <v>Product use and cost information</v>
      </c>
      <c r="J68" s="24"/>
    </row>
    <row r="69" spans="1:10" ht="12.75">
      <c r="A69" s="6" t="str">
        <f>Input!A25</f>
        <v>% High Choice</v>
      </c>
      <c r="C69" s="24">
        <f>Input!D25/100</f>
        <v>0.02</v>
      </c>
      <c r="D69" s="24">
        <f>Input!E25/100</f>
        <v>0.01</v>
      </c>
      <c r="E69" s="24">
        <f>Input!F25/100</f>
        <v>0.01</v>
      </c>
      <c r="I69" s="42" t="str">
        <f>Input!H23</f>
        <v>Optaflexx:</v>
      </c>
      <c r="J69" s="24"/>
    </row>
    <row r="70" spans="1:10" ht="12.75">
      <c r="A70" s="6" t="str">
        <f>Input!A26</f>
        <v>% Other Premium Choice</v>
      </c>
      <c r="C70" s="24">
        <f>Input!D26/100</f>
        <v>0.01</v>
      </c>
      <c r="D70" s="24">
        <f>Input!E26/100</f>
        <v>0.01</v>
      </c>
      <c r="E70" s="24">
        <f>Input!F26/100</f>
        <v>0.01</v>
      </c>
      <c r="I70" s="6" t="str">
        <f>Input!H24</f>
        <v>Days on Optaflexx</v>
      </c>
      <c r="J70" s="24">
        <f>Input!J24</f>
        <v>28</v>
      </c>
    </row>
    <row r="71" spans="1:10" ht="12.75">
      <c r="A71" s="6" t="str">
        <f>Input!A27</f>
        <v>% Choice</v>
      </c>
      <c r="C71" s="24">
        <f>Input!D27/100</f>
        <v>0.55</v>
      </c>
      <c r="D71" s="24">
        <f>Input!E27/100</f>
        <v>0.54</v>
      </c>
      <c r="E71" s="24">
        <f>Input!F27/100</f>
        <v>0.5</v>
      </c>
      <c r="I71" s="6" t="str">
        <f>Input!H25</f>
        <v>Concentration, g/ton in finished feed</v>
      </c>
      <c r="J71" s="24">
        <f>Input!J25</f>
        <v>20</v>
      </c>
    </row>
    <row r="72" spans="1:10" ht="12.75">
      <c r="A72" s="6" t="str">
        <f>Input!A28</f>
        <v>% Select</v>
      </c>
      <c r="C72" s="24">
        <f>Input!D28/100</f>
        <v>0.38</v>
      </c>
      <c r="D72" s="24">
        <f>Input!E28/100</f>
        <v>0.4</v>
      </c>
      <c r="E72" s="24">
        <f>Input!F28/100</f>
        <v>0.43</v>
      </c>
      <c r="I72" s="6" t="str">
        <f>Input!H26</f>
        <v>Optaflexx 45* premix cost, $/lb </v>
      </c>
      <c r="J72" s="24">
        <f>Input!J26</f>
        <v>60</v>
      </c>
    </row>
    <row r="73" spans="1:10" ht="12.75">
      <c r="A73" s="6" t="str">
        <f>Input!A29</f>
        <v>% No Roll</v>
      </c>
      <c r="C73" s="24">
        <f>Input!D29/100</f>
        <v>0.02</v>
      </c>
      <c r="D73" s="24">
        <f>Input!E29/100</f>
        <v>0.02</v>
      </c>
      <c r="E73" s="24">
        <f>Input!F29/100</f>
        <v>0.05</v>
      </c>
      <c r="I73" s="6" t="str">
        <f>Input!H27</f>
        <v>Added cost for product use, $/animal</v>
      </c>
      <c r="J73" s="24">
        <f>Input!J27</f>
        <v>0.25</v>
      </c>
    </row>
    <row r="74" spans="1:10" ht="12.75">
      <c r="A74" s="6" t="str">
        <f>Input!A30</f>
        <v>% Heavy carcasses</v>
      </c>
      <c r="C74" s="24">
        <f>Input!D30/100</f>
        <v>0.03</v>
      </c>
      <c r="D74" s="24">
        <f>Input!E30/100</f>
        <v>0.05</v>
      </c>
      <c r="E74" s="24">
        <f>Input!F30/100</f>
        <v>0.05</v>
      </c>
      <c r="I74" s="6"/>
      <c r="J74" s="24"/>
    </row>
    <row r="75" spans="1:10" ht="12.75">
      <c r="A75" s="6" t="str">
        <f>Input!A31</f>
        <v>% Light carcasses</v>
      </c>
      <c r="C75" s="24">
        <f>Input!D31/100</f>
        <v>0.01</v>
      </c>
      <c r="D75" s="24">
        <f>Input!E31/100</f>
        <v>0</v>
      </c>
      <c r="E75" s="24">
        <f>Input!F31/100</f>
        <v>0</v>
      </c>
      <c r="I75" s="42" t="str">
        <f>Input!H29</f>
        <v>Zilmax:</v>
      </c>
      <c r="J75" s="24"/>
    </row>
    <row r="76" spans="1:10" ht="12.75">
      <c r="A76" s="6" t="str">
        <f>Input!A32</f>
        <v>% Yield Grade 1 carcasses</v>
      </c>
      <c r="C76" s="24">
        <f>Input!D32/100</f>
        <v>0.1</v>
      </c>
      <c r="D76" s="24">
        <f>Input!E32/100</f>
        <v>0.12</v>
      </c>
      <c r="E76" s="24">
        <f>Input!F32/100</f>
        <v>0.15</v>
      </c>
      <c r="I76" s="6" t="str">
        <f>Input!H30</f>
        <v>Days on Zilmax</v>
      </c>
      <c r="J76" s="24">
        <f>Input!J30</f>
        <v>20</v>
      </c>
    </row>
    <row r="77" spans="1:10" ht="12.75">
      <c r="A77" s="6" t="str">
        <f>Input!A33</f>
        <v>% Yield Grade 2 carcasses</v>
      </c>
      <c r="C77" s="24">
        <f>Input!D33/100</f>
        <v>0.05</v>
      </c>
      <c r="D77" s="24">
        <f>Input!E33/100</f>
        <v>0.04</v>
      </c>
      <c r="E77" s="24">
        <f>Input!F33/100</f>
        <v>0.02</v>
      </c>
      <c r="I77" s="6" t="str">
        <f>Input!H31</f>
        <v>Concentration, g/ton in finished feed</v>
      </c>
      <c r="J77" s="24">
        <f>Input!J31</f>
        <v>9.2</v>
      </c>
    </row>
    <row r="78" spans="1:10" ht="12.75">
      <c r="A78" s="6" t="str">
        <f>Input!A34</f>
        <v>% Yield Grade 4 carcasses</v>
      </c>
      <c r="C78" s="24">
        <f>Input!D34/100</f>
        <v>0.04</v>
      </c>
      <c r="D78" s="24">
        <f>Input!E34/100</f>
        <v>0.03</v>
      </c>
      <c r="E78" s="24">
        <f>Input!F34/100</f>
        <v>0.02</v>
      </c>
      <c r="I78" s="6" t="str">
        <f>Input!H32</f>
        <v>Zilmax Type A** premix cost, $/lb</v>
      </c>
      <c r="J78" s="24">
        <f>Input!J32</f>
        <v>300</v>
      </c>
    </row>
    <row r="79" spans="1:10" ht="12.75">
      <c r="A79" s="6" t="str">
        <f>Input!A35</f>
        <v>% Yield Grade 5 carcasses</v>
      </c>
      <c r="C79" s="24">
        <f>Input!D35/100</f>
        <v>0.01</v>
      </c>
      <c r="D79" s="24">
        <f>Input!E35/100</f>
        <v>0.01</v>
      </c>
      <c r="E79" s="24">
        <f>Input!F35/100</f>
        <v>0</v>
      </c>
      <c r="I79" s="6" t="str">
        <f>Input!H33</f>
        <v>Added cost for product use, $/animal</v>
      </c>
      <c r="J79" s="24">
        <f>Input!J33</f>
        <v>0.5</v>
      </c>
    </row>
    <row r="80" spans="1:5" ht="12.75">
      <c r="A80" s="6" t="str">
        <f>Input!A36</f>
        <v>% Dark cutting carcasses</v>
      </c>
      <c r="C80" s="24">
        <f>Input!D36/100</f>
        <v>0.001</v>
      </c>
      <c r="D80" s="24">
        <f>Input!E36/100</f>
        <v>0.001</v>
      </c>
      <c r="E80" s="24">
        <f>Input!F36/100</f>
        <v>0.001</v>
      </c>
    </row>
    <row r="81" spans="1:5" ht="12.75">
      <c r="A81" s="6" t="str">
        <f>Input!A37</f>
        <v>% Hardbone carcasses</v>
      </c>
      <c r="C81" s="24">
        <f>Input!D37/100</f>
        <v>0.001</v>
      </c>
      <c r="D81" s="24">
        <f>Input!E37/100</f>
        <v>0.001</v>
      </c>
      <c r="E81" s="24">
        <f>Input!F37/100</f>
        <v>0.001</v>
      </c>
    </row>
    <row r="84" spans="3:5" ht="12.75">
      <c r="C84" s="65" t="s">
        <v>51</v>
      </c>
      <c r="D84" s="65" t="s">
        <v>60</v>
      </c>
      <c r="E84" s="24"/>
    </row>
    <row r="85" spans="1:5" ht="12.75">
      <c r="A85" s="30" t="s">
        <v>65</v>
      </c>
      <c r="B85" s="4"/>
      <c r="C85" s="28" t="s">
        <v>52</v>
      </c>
      <c r="D85" s="28" t="s">
        <v>61</v>
      </c>
      <c r="E85" s="28" t="s">
        <v>1</v>
      </c>
    </row>
    <row r="86" spans="1:5" ht="12.75">
      <c r="A86" s="7"/>
      <c r="B86" s="27" t="s">
        <v>43</v>
      </c>
      <c r="C86" s="7">
        <f>C68*($J$53/100+$J$51/100)</f>
        <v>0.031400000000000004</v>
      </c>
      <c r="D86" s="7">
        <f>D68*($J$53/100+$J$51/100)</f>
        <v>0.031400000000000004</v>
      </c>
      <c r="E86" s="7">
        <f>E68*($J$53/100+$J$51/100)</f>
        <v>0.031400000000000004</v>
      </c>
    </row>
    <row r="87" spans="1:5" ht="12.75">
      <c r="A87" s="7"/>
      <c r="B87" s="65" t="s">
        <v>68</v>
      </c>
      <c r="C87" s="7">
        <f>C69*($J$54/100+$J$51/100)</f>
        <v>0.031000000000000003</v>
      </c>
      <c r="D87" s="7">
        <f>D69*($J$54/100+$J$51/100)</f>
        <v>0.015500000000000002</v>
      </c>
      <c r="E87" s="7">
        <f>E69*($J$54/100+$J$51/100)</f>
        <v>0.015500000000000002</v>
      </c>
    </row>
    <row r="88" spans="1:5" ht="12.75">
      <c r="A88" s="7"/>
      <c r="B88" s="65" t="s">
        <v>70</v>
      </c>
      <c r="C88" s="7">
        <f>C70*($J$55/100+$J$51/100)</f>
        <v>0.015300000000000001</v>
      </c>
      <c r="D88" s="7">
        <f>D70*($J$55/100+$J$51/100)</f>
        <v>0.015300000000000001</v>
      </c>
      <c r="E88" s="7">
        <f>E70*($J$55/100+$J$51/100)</f>
        <v>0.015300000000000001</v>
      </c>
    </row>
    <row r="89" spans="1:5" ht="12.75">
      <c r="A89" s="7"/>
      <c r="B89" s="27" t="s">
        <v>44</v>
      </c>
      <c r="C89" s="7">
        <f>C71*($J$51/100)</f>
        <v>0.8250000000000001</v>
      </c>
      <c r="D89" s="7">
        <f>D71*($J$51/100)</f>
        <v>0.81</v>
      </c>
      <c r="E89" s="7">
        <f>E71*($J$51/100)</f>
        <v>0.75</v>
      </c>
    </row>
    <row r="90" spans="1:5" ht="12.75">
      <c r="A90" s="7"/>
      <c r="B90" s="27" t="s">
        <v>45</v>
      </c>
      <c r="C90" s="7">
        <f>C72*($J$52/100)</f>
        <v>0.5509999999999999</v>
      </c>
      <c r="D90" s="7">
        <f>D72*($J$52/100)</f>
        <v>0.58</v>
      </c>
      <c r="E90" s="7">
        <f>E72*($J$52/100)</f>
        <v>0.6234999999999999</v>
      </c>
    </row>
    <row r="91" spans="2:5" ht="12.75">
      <c r="B91" s="27" t="s">
        <v>71</v>
      </c>
      <c r="C91" s="7">
        <f>C73*($J$51/100-$J$60/100)</f>
        <v>0.027999999999999997</v>
      </c>
      <c r="D91" s="7">
        <f>D73*($J$51/100-$J$60/100)</f>
        <v>0.027999999999999997</v>
      </c>
      <c r="E91" s="7">
        <f>E73*($J$51/100-$J$60/100)</f>
        <v>0.06999999999999999</v>
      </c>
    </row>
    <row r="92" spans="2:5" ht="12.75">
      <c r="B92" s="27" t="s">
        <v>72</v>
      </c>
      <c r="C92" s="7">
        <f>C74*(-$J$64/100)</f>
        <v>-0.003</v>
      </c>
      <c r="D92" s="7">
        <f>D74*(-$J$64/100)</f>
        <v>-0.005000000000000001</v>
      </c>
      <c r="E92" s="7">
        <f>E74*(-$J$64/100)</f>
        <v>-0.005000000000000001</v>
      </c>
    </row>
    <row r="93" spans="2:5" ht="12.75">
      <c r="B93" s="27" t="s">
        <v>73</v>
      </c>
      <c r="C93" s="7">
        <f>C75*(-$J$63/100)</f>
        <v>-0.001</v>
      </c>
      <c r="D93" s="7">
        <f>D75*(-$J$63/100)</f>
        <v>0</v>
      </c>
      <c r="E93" s="7">
        <f>E75*(-$J$63/100)</f>
        <v>0</v>
      </c>
    </row>
    <row r="94" spans="2:5" ht="12.75">
      <c r="B94" s="27" t="s">
        <v>90</v>
      </c>
      <c r="C94" s="7">
        <f>C76*($J$56/100)</f>
        <v>0.005000000000000001</v>
      </c>
      <c r="D94" s="7">
        <f>D76*($J$56/100)</f>
        <v>0.006</v>
      </c>
      <c r="E94" s="7">
        <f>E76*($J$56/100)</f>
        <v>0.0075</v>
      </c>
    </row>
    <row r="95" spans="2:5" ht="12.75">
      <c r="B95" s="27" t="s">
        <v>91</v>
      </c>
      <c r="C95" s="7">
        <f>C77*($J$57/100)</f>
        <v>0.002</v>
      </c>
      <c r="D95" s="7">
        <f>D77*($J$57/100)</f>
        <v>0.0016</v>
      </c>
      <c r="E95" s="7">
        <f>E77*($J$57/100)</f>
        <v>0.0008</v>
      </c>
    </row>
    <row r="96" spans="2:5" ht="12.75">
      <c r="B96" s="27" t="s">
        <v>92</v>
      </c>
      <c r="C96" s="7">
        <f>C78*(-$J$61/100)</f>
        <v>-0.004</v>
      </c>
      <c r="D96" s="7">
        <f>D78*(-$J$61/100)</f>
        <v>-0.003</v>
      </c>
      <c r="E96" s="7">
        <f>E78*(-$J$61/100)</f>
        <v>-0.002</v>
      </c>
    </row>
    <row r="97" spans="2:5" ht="12.75">
      <c r="B97" s="27" t="s">
        <v>93</v>
      </c>
      <c r="C97" s="24">
        <f>C79*(-$J$62/100)</f>
        <v>-0.0012</v>
      </c>
      <c r="D97" s="24">
        <f>D79*(-$J$62/100)</f>
        <v>-0.0012</v>
      </c>
      <c r="E97" s="24">
        <f>E79*(-$J$62/100)</f>
        <v>0</v>
      </c>
    </row>
    <row r="98" spans="2:5" ht="12.75">
      <c r="B98" s="27" t="s">
        <v>98</v>
      </c>
      <c r="C98" s="24">
        <f>C80*(-$J$65/100)</f>
        <v>-0.00015</v>
      </c>
      <c r="D98" s="24">
        <f>D80*(-$J$65/100)</f>
        <v>-0.00015</v>
      </c>
      <c r="E98" s="24">
        <f>E80*(-$J$65/100)</f>
        <v>-0.00015</v>
      </c>
    </row>
    <row r="99" spans="2:5" ht="12.75">
      <c r="B99" s="27" t="s">
        <v>99</v>
      </c>
      <c r="C99" s="29">
        <f>C81*(-$J$66/100)</f>
        <v>-0.00015</v>
      </c>
      <c r="D99" s="29">
        <f>D81*(-$J$66/100)</f>
        <v>-0.00015</v>
      </c>
      <c r="E99" s="29">
        <f>E81*(-$J$66/100)</f>
        <v>-0.00015</v>
      </c>
    </row>
    <row r="100" spans="3:5" ht="12.75">
      <c r="C100" s="7">
        <f>SUM(C86:C99)</f>
        <v>1.4791999999999998</v>
      </c>
      <c r="D100" s="7">
        <f>SUM(D86:D99)</f>
        <v>1.4783</v>
      </c>
      <c r="E100" s="7">
        <f>SUM(E86:E99)</f>
        <v>1.5067</v>
      </c>
    </row>
  </sheetData>
  <sheetProtection/>
  <mergeCells count="1">
    <mergeCell ref="A11:B11"/>
  </mergeCells>
  <printOptions/>
  <pageMargins left="0.7" right="0.7" top="0.75" bottom="0.75" header="0.3" footer="0.3"/>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 Lilly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pe92427</dc:creator>
  <cp:keywords/>
  <dc:description/>
  <cp:lastModifiedBy>Hales, Kristin</cp:lastModifiedBy>
  <cp:lastPrinted>2009-03-26T14:34:30Z</cp:lastPrinted>
  <dcterms:created xsi:type="dcterms:W3CDTF">2008-10-14T13:33:30Z</dcterms:created>
  <dcterms:modified xsi:type="dcterms:W3CDTF">2022-07-07T10:20:12Z</dcterms:modified>
  <cp:category/>
  <cp:version/>
  <cp:contentType/>
  <cp:contentStatus/>
</cp:coreProperties>
</file>