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ml.chartshapes+xml"/>
  <Override PartName="/xl/charts/chart9.xml" ContentType="application/vnd.openxmlformats-officedocument.drawingml.chart+xml"/>
  <Override PartName="/xl/drawings/drawing11.xml" ContentType="application/vnd.openxmlformats-officedocument.drawingml.chartshapes+xml"/>
  <Override PartName="/xl/charts/chart10.xml" ContentType="application/vnd.openxmlformats-officedocument.drawingml.chart+xml"/>
  <Override PartName="/xl/drawings/drawing12.xml" ContentType="application/vnd.openxmlformats-officedocument.drawingml.chartshapes+xml"/>
  <Override PartName="/xl/charts/chart11.xml" ContentType="application/vnd.openxmlformats-officedocument.drawingml.chart+xml"/>
  <Override PartName="/xl/drawings/drawing13.xml" ContentType="application/vnd.openxmlformats-officedocument.drawingml.chartshapes+xml"/>
  <Override PartName="/xl/charts/chart12.xml" ContentType="application/vnd.openxmlformats-officedocument.drawingml.chart+xml"/>
  <Override PartName="/xl/drawings/drawing14.xml" ContentType="application/vnd.openxmlformats-officedocument.drawingml.chartshapes+xml"/>
  <Override PartName="/xl/charts/chart13.xml" ContentType="application/vnd.openxmlformats-officedocument.drawingml.chart+xml"/>
  <Override PartName="/xl/drawings/drawing15.xml" ContentType="application/vnd.openxmlformats-officedocument.drawingml.chartshapes+xml"/>
  <Override PartName="/xl/charts/chart14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5.xml" ContentType="application/vnd.openxmlformats-officedocument.drawingml.chart+xml"/>
  <Override PartName="/xl/drawings/drawing18.xml" ContentType="application/vnd.openxmlformats-officedocument.drawingml.chartshapes+xml"/>
  <Override PartName="/xl/charts/chart16.xml" ContentType="application/vnd.openxmlformats-officedocument.drawingml.chart+xml"/>
  <Override PartName="/xl/drawings/drawing19.xml" ContentType="application/vnd.openxmlformats-officedocument.drawingml.chartshapes+xml"/>
  <Override PartName="/xl/charts/chart17.xml" ContentType="application/vnd.openxmlformats-officedocument.drawingml.chart+xml"/>
  <Override PartName="/xl/drawings/drawing20.xml" ContentType="application/vnd.openxmlformats-officedocument.drawingml.chartshapes+xml"/>
  <Override PartName="/xl/charts/chart18.xml" ContentType="application/vnd.openxmlformats-officedocument.drawingml.chart+xml"/>
  <Override PartName="/xl/drawings/drawing21.xml" ContentType="application/vnd.openxmlformats-officedocument.drawingml.chartshapes+xml"/>
  <Override PartName="/xl/charts/chart19.xml" ContentType="application/vnd.openxmlformats-officedocument.drawingml.chart+xml"/>
  <Override PartName="/xl/drawings/drawing22.xml" ContentType="application/vnd.openxmlformats-officedocument.drawingml.chartshapes+xml"/>
  <Override PartName="/xl/charts/chart20.xml" ContentType="application/vnd.openxmlformats-officedocument.drawingml.chart+xml"/>
  <Override PartName="/xl/drawings/drawing23.xml" ContentType="application/vnd.openxmlformats-officedocument.drawingml.chartshapes+xml"/>
  <Override PartName="/xl/charts/chart21.xml" ContentType="application/vnd.openxmlformats-officedocument.drawingml.chart+xml"/>
  <Override PartName="/xl/drawings/drawing24.xml" ContentType="application/vnd.openxmlformats-officedocument.drawingml.chartshapes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ml.chartshapes+xml"/>
  <Override PartName="/xl/charts/chart23.xml" ContentType="application/vnd.openxmlformats-officedocument.drawingml.chart+xml"/>
  <Override PartName="/xl/drawings/drawing27.xml" ContentType="application/vnd.openxmlformats-officedocument.drawingml.chartshapes+xml"/>
  <Override PartName="/xl/charts/chart24.xml" ContentType="application/vnd.openxmlformats-officedocument.drawingml.chart+xml"/>
  <Override PartName="/xl/drawings/drawing28.xml" ContentType="application/vnd.openxmlformats-officedocument.drawingml.chartshapes+xml"/>
  <Override PartName="/xl/charts/chart25.xml" ContentType="application/vnd.openxmlformats-officedocument.drawingml.chart+xml"/>
  <Override PartName="/xl/drawings/drawing29.xml" ContentType="application/vnd.openxmlformats-officedocument.drawingml.chartshapes+xml"/>
  <Override PartName="/xl/charts/chart26.xml" ContentType="application/vnd.openxmlformats-officedocument.drawingml.chart+xml"/>
  <Override PartName="/xl/drawings/drawing30.xml" ContentType="application/vnd.openxmlformats-officedocument.drawingml.chartshapes+xml"/>
  <Override PartName="/xl/charts/chart27.xml" ContentType="application/vnd.openxmlformats-officedocument.drawingml.chart+xml"/>
  <Override PartName="/xl/drawings/drawing31.xml" ContentType="application/vnd.openxmlformats-officedocument.drawingml.chartshapes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33.xml" ContentType="application/vnd.openxmlformats-officedocument.drawingml.chartshapes+xml"/>
  <Override PartName="/xl/charts/chart29.xml" ContentType="application/vnd.openxmlformats-officedocument.drawingml.chart+xml"/>
  <Override PartName="/xl/drawings/drawing34.xml" ContentType="application/vnd.openxmlformats-officedocument.drawingml.chartshapes+xml"/>
  <Override PartName="/xl/charts/chart30.xml" ContentType="application/vnd.openxmlformats-officedocument.drawingml.chart+xml"/>
  <Override PartName="/xl/drawings/drawing35.xml" ContentType="application/vnd.openxmlformats-officedocument.drawingml.chartshapes+xml"/>
  <Override PartName="/xl/charts/chart31.xml" ContentType="application/vnd.openxmlformats-officedocument.drawingml.chart+xml"/>
  <Override PartName="/xl/drawings/drawing36.xml" ContentType="application/vnd.openxmlformats-officedocument.drawingml.chartshapes+xml"/>
  <Override PartName="/xl/charts/chart32.xml" ContentType="application/vnd.openxmlformats-officedocument.drawingml.chart+xml"/>
  <Override PartName="/xl/drawings/drawing37.xml" ContentType="application/vnd.openxmlformats-officedocument.drawingml.chartshapes+xml"/>
  <Override PartName="/xl/charts/chart33.xml" ContentType="application/vnd.openxmlformats-officedocument.drawingml.chart+xml"/>
  <Override PartName="/xl/drawings/drawing38.xml" ContentType="application/vnd.openxmlformats-officedocument.drawingml.chartshapes+xml"/>
  <Override PartName="/xl/charts/chart34.xml" ContentType="application/vnd.openxmlformats-officedocument.drawingml.chart+xml"/>
  <Override PartName="/xl/drawings/drawing39.xml" ContentType="application/vnd.openxmlformats-officedocument.drawingml.chartshapes+xml"/>
  <Override PartName="/xl/drawings/drawing40.xml" ContentType="application/vnd.openxmlformats-officedocument.drawing+xml"/>
  <Override PartName="/xl/charts/chart35.xml" ContentType="application/vnd.openxmlformats-officedocument.drawingml.chart+xml"/>
  <Override PartName="/xl/drawings/drawing41.xml" ContentType="application/vnd.openxmlformats-officedocument.drawingml.chartshapes+xml"/>
  <Override PartName="/xl/charts/chart36.xml" ContentType="application/vnd.openxmlformats-officedocument.drawingml.chart+xml"/>
  <Override PartName="/xl/drawings/drawing42.xml" ContentType="application/vnd.openxmlformats-officedocument.drawingml.chartshapes+xml"/>
  <Override PartName="/xl/charts/chart37.xml" ContentType="application/vnd.openxmlformats-officedocument.drawingml.chart+xml"/>
  <Override PartName="/xl/drawings/drawing43.xml" ContentType="application/vnd.openxmlformats-officedocument.drawingml.chartshapes+xml"/>
  <Override PartName="/xl/charts/chart38.xml" ContentType="application/vnd.openxmlformats-officedocument.drawingml.chart+xml"/>
  <Override PartName="/xl/drawings/drawing44.xml" ContentType="application/vnd.openxmlformats-officedocument.drawingml.chartshapes+xml"/>
  <Override PartName="/xl/charts/chart39.xml" ContentType="application/vnd.openxmlformats-officedocument.drawingml.chart+xml"/>
  <Override PartName="/xl/drawings/drawing45.xml" ContentType="application/vnd.openxmlformats-officedocument.drawingml.chartshapes+xml"/>
  <Override PartName="/xl/charts/chart40.xml" ContentType="application/vnd.openxmlformats-officedocument.drawingml.chart+xml"/>
  <Override PartName="/xl/drawings/drawing46.xml" ContentType="application/vnd.openxmlformats-officedocument.drawingml.chartshapes+xml"/>
  <Override PartName="/xl/charts/chart41.xml" ContentType="application/vnd.openxmlformats-officedocument.drawingml.chart+xml"/>
  <Override PartName="/xl/drawings/drawing47.xml" ContentType="application/vnd.openxmlformats-officedocument.drawingml.chartshapes+xml"/>
  <Override PartName="/xl/drawings/drawing48.xml" ContentType="application/vnd.openxmlformats-officedocument.drawing+xml"/>
  <Override PartName="/xl/charts/chart42.xml" ContentType="application/vnd.openxmlformats-officedocument.drawingml.chart+xml"/>
  <Override PartName="/xl/drawings/drawing49.xml" ContentType="application/vnd.openxmlformats-officedocument.drawingml.chartshapes+xml"/>
  <Override PartName="/xl/charts/chart43.xml" ContentType="application/vnd.openxmlformats-officedocument.drawingml.chart+xml"/>
  <Override PartName="/xl/drawings/drawing50.xml" ContentType="application/vnd.openxmlformats-officedocument.drawingml.chartshapes+xml"/>
  <Override PartName="/xl/charts/chart44.xml" ContentType="application/vnd.openxmlformats-officedocument.drawingml.chart+xml"/>
  <Override PartName="/xl/drawings/drawing51.xml" ContentType="application/vnd.openxmlformats-officedocument.drawingml.chartshapes+xml"/>
  <Override PartName="/xl/charts/chart45.xml" ContentType="application/vnd.openxmlformats-officedocument.drawingml.chart+xml"/>
  <Override PartName="/xl/drawings/drawing52.xml" ContentType="application/vnd.openxmlformats-officedocument.drawingml.chartshapes+xml"/>
  <Override PartName="/xl/charts/chart46.xml" ContentType="application/vnd.openxmlformats-officedocument.drawingml.chart+xml"/>
  <Override PartName="/xl/drawings/drawing53.xml" ContentType="application/vnd.openxmlformats-officedocument.drawingml.chartshapes+xml"/>
  <Override PartName="/xl/charts/chart47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48.xml" ContentType="application/vnd.openxmlformats-officedocument.drawingml.chart+xml"/>
  <Override PartName="/xl/drawings/drawing56.xml" ContentType="application/vnd.openxmlformats-officedocument.drawingml.chartshapes+xml"/>
  <Override PartName="/xl/charts/chart49.xml" ContentType="application/vnd.openxmlformats-officedocument.drawingml.chart+xml"/>
  <Override PartName="/xl/drawings/drawing57.xml" ContentType="application/vnd.openxmlformats-officedocument.drawingml.chartshapes+xml"/>
  <Override PartName="/xl/charts/chart50.xml" ContentType="application/vnd.openxmlformats-officedocument.drawingml.chart+xml"/>
  <Override PartName="/xl/drawings/drawing58.xml" ContentType="application/vnd.openxmlformats-officedocument.drawingml.chartshapes+xml"/>
  <Override PartName="/xl/charts/chart51.xml" ContentType="application/vnd.openxmlformats-officedocument.drawingml.chart+xml"/>
  <Override PartName="/xl/drawings/drawing59.xml" ContentType="application/vnd.openxmlformats-officedocument.drawingml.chartshapes+xml"/>
  <Override PartName="/xl/charts/chart52.xml" ContentType="application/vnd.openxmlformats-officedocument.drawingml.chart+xml"/>
  <Override PartName="/xl/drawings/drawing60.xml" ContentType="application/vnd.openxmlformats-officedocument.drawingml.chartshapes+xml"/>
  <Override PartName="/xl/charts/chart53.xml" ContentType="application/vnd.openxmlformats-officedocument.drawingml.chart+xml"/>
  <Override PartName="/xl/drawings/drawing61.xml" ContentType="application/vnd.openxmlformats-officedocument.drawingml.chartshapes+xml"/>
  <Override PartName="/xl/charts/chart54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charts/chart55.xml" ContentType="application/vnd.openxmlformats-officedocument.drawingml.chart+xml"/>
  <Override PartName="/xl/drawings/drawing64.xml" ContentType="application/vnd.openxmlformats-officedocument.drawingml.chartshapes+xml"/>
  <Override PartName="/xl/charts/chart56.xml" ContentType="application/vnd.openxmlformats-officedocument.drawingml.chart+xml"/>
  <Override PartName="/xl/drawings/drawing65.xml" ContentType="application/vnd.openxmlformats-officedocument.drawingml.chartshapes+xml"/>
  <Override PartName="/xl/charts/chart57.xml" ContentType="application/vnd.openxmlformats-officedocument.drawingml.chart+xml"/>
  <Override PartName="/xl/drawings/drawing66.xml" ContentType="application/vnd.openxmlformats-officedocument.drawingml.chartshapes+xml"/>
  <Override PartName="/xl/charts/chart58.xml" ContentType="application/vnd.openxmlformats-officedocument.drawingml.chart+xml"/>
  <Override PartName="/xl/drawings/drawing67.xml" ContentType="application/vnd.openxmlformats-officedocument.drawingml.chartshapes+xml"/>
  <Override PartName="/xl/charts/chart59.xml" ContentType="application/vnd.openxmlformats-officedocument.drawingml.chart+xml"/>
  <Override PartName="/xl/drawings/drawing68.xml" ContentType="application/vnd.openxmlformats-officedocument.drawingml.chartshapes+xml"/>
  <Override PartName="/xl/charts/chart60.xml" ContentType="application/vnd.openxmlformats-officedocument.drawingml.chart+xml"/>
  <Override PartName="/xl/drawings/drawing69.xml" ContentType="application/vnd.openxmlformats-officedocument.drawingml.chartshapes+xml"/>
  <Override PartName="/xl/drawings/drawing70.xml" ContentType="application/vnd.openxmlformats-officedocument.drawing+xml"/>
  <Override PartName="/xl/charts/chart61.xml" ContentType="application/vnd.openxmlformats-officedocument.drawingml.chart+xml"/>
  <Override PartName="/xl/drawings/drawing71.xml" ContentType="application/vnd.openxmlformats-officedocument.drawingml.chartshapes+xml"/>
  <Override PartName="/xl/charts/chart62.xml" ContentType="application/vnd.openxmlformats-officedocument.drawingml.chart+xml"/>
  <Override PartName="/xl/drawings/drawing72.xml" ContentType="application/vnd.openxmlformats-officedocument.drawingml.chartshapes+xml"/>
  <Override PartName="/xl/charts/chart63.xml" ContentType="application/vnd.openxmlformats-officedocument.drawingml.chart+xml"/>
  <Override PartName="/xl/drawings/drawing73.xml" ContentType="application/vnd.openxmlformats-officedocument.drawingml.chartshapes+xml"/>
  <Override PartName="/xl/charts/chart64.xml" ContentType="application/vnd.openxmlformats-officedocument.drawingml.chart+xml"/>
  <Override PartName="/xl/drawings/drawing74.xml" ContentType="application/vnd.openxmlformats-officedocument.drawingml.chartshapes+xml"/>
  <Override PartName="/xl/charts/chart65.xml" ContentType="application/vnd.openxmlformats-officedocument.drawingml.chart+xml"/>
  <Override PartName="/xl/drawings/drawing75.xml" ContentType="application/vnd.openxmlformats-officedocument.drawingml.chartshapes+xml"/>
  <Override PartName="/xl/charts/chart66.xml" ContentType="application/vnd.openxmlformats-officedocument.drawingml.chart+xml"/>
  <Override PartName="/xl/drawings/drawing76.xml" ContentType="application/vnd.openxmlformats-officedocument.drawingml.chartshapes+xml"/>
  <Override PartName="/xl/charts/chart67.xml" ContentType="application/vnd.openxmlformats-officedocument.drawingml.chart+xml"/>
  <Override PartName="/xl/drawings/drawing77.xml" ContentType="application/vnd.openxmlformats-officedocument.drawingml.chartshapes+xml"/>
  <Override PartName="/xl/drawings/drawing78.xml" ContentType="application/vnd.openxmlformats-officedocument.drawing+xml"/>
  <Override PartName="/xl/charts/chart68.xml" ContentType="application/vnd.openxmlformats-officedocument.drawingml.chart+xml"/>
  <Override PartName="/xl/drawings/drawing79.xml" ContentType="application/vnd.openxmlformats-officedocument.drawingml.chartshapes+xml"/>
  <Override PartName="/xl/charts/chart69.xml" ContentType="application/vnd.openxmlformats-officedocument.drawingml.chart+xml"/>
  <Override PartName="/xl/drawings/drawing80.xml" ContentType="application/vnd.openxmlformats-officedocument.drawingml.chartshapes+xml"/>
  <Override PartName="/xl/charts/chart70.xml" ContentType="application/vnd.openxmlformats-officedocument.drawingml.chart+xml"/>
  <Override PartName="/xl/drawings/drawing81.xml" ContentType="application/vnd.openxmlformats-officedocument.drawingml.chartshapes+xml"/>
  <Override PartName="/xl/charts/chart71.xml" ContentType="application/vnd.openxmlformats-officedocument.drawingml.chart+xml"/>
  <Override PartName="/xl/drawings/drawing82.xml" ContentType="application/vnd.openxmlformats-officedocument.drawingml.chartshapes+xml"/>
  <Override PartName="/xl/charts/chart72.xml" ContentType="application/vnd.openxmlformats-officedocument.drawingml.chart+xml"/>
  <Override PartName="/xl/drawings/drawing83.xml" ContentType="application/vnd.openxmlformats-officedocument.drawingml.chartshapes+xml"/>
  <Override PartName="/xl/charts/chart73.xml" ContentType="application/vnd.openxmlformats-officedocument.drawingml.chart+xml"/>
  <Override PartName="/xl/drawings/drawing84.xml" ContentType="application/vnd.openxmlformats-officedocument.drawingml.chartshapes+xml"/>
  <Override PartName="/xl/charts/chart74.xml" ContentType="application/vnd.openxmlformats-officedocument.drawingml.chart+xml"/>
  <Override PartName="/xl/drawings/drawing85.xml" ContentType="application/vnd.openxmlformats-officedocument.drawingml.chartshapes+xml"/>
  <Override PartName="/xl/drawings/drawing86.xml" ContentType="application/vnd.openxmlformats-officedocument.drawing+xml"/>
  <Override PartName="/xl/charts/chart75.xml" ContentType="application/vnd.openxmlformats-officedocument.drawingml.chart+xml"/>
  <Override PartName="/xl/drawings/drawing87.xml" ContentType="application/vnd.openxmlformats-officedocument.drawingml.chartshapes+xml"/>
  <Override PartName="/xl/charts/chart76.xml" ContentType="application/vnd.openxmlformats-officedocument.drawingml.chart+xml"/>
  <Override PartName="/xl/drawings/drawing88.xml" ContentType="application/vnd.openxmlformats-officedocument.drawingml.chartshapes+xml"/>
  <Override PartName="/xl/charts/chart77.xml" ContentType="application/vnd.openxmlformats-officedocument.drawingml.chart+xml"/>
  <Override PartName="/xl/drawings/drawing89.xml" ContentType="application/vnd.openxmlformats-officedocument.drawingml.chartshapes+xml"/>
  <Override PartName="/xl/charts/chart78.xml" ContentType="application/vnd.openxmlformats-officedocument.drawingml.chart+xml"/>
  <Override PartName="/xl/drawings/drawing90.xml" ContentType="application/vnd.openxmlformats-officedocument.drawingml.chartshapes+xml"/>
  <Override PartName="/xl/charts/chart79.xml" ContentType="application/vnd.openxmlformats-officedocument.drawingml.chart+xml"/>
  <Override PartName="/xl/drawings/drawing91.xml" ContentType="application/vnd.openxmlformats-officedocument.drawingml.chartshapes+xml"/>
  <Override PartName="/xl/charts/chart80.xml" ContentType="application/vnd.openxmlformats-officedocument.drawingml.chart+xml"/>
  <Override PartName="/xl/drawings/drawing92.xml" ContentType="application/vnd.openxmlformats-officedocument.drawingml.chartshapes+xml"/>
  <Override PartName="/xl/charts/chart81.xml" ContentType="application/vnd.openxmlformats-officedocument.drawingml.chart+xml"/>
  <Override PartName="/xl/drawings/drawing93.xml" ContentType="application/vnd.openxmlformats-officedocument.drawingml.chartshapes+xml"/>
  <Override PartName="/xl/drawings/drawing94.xml" ContentType="application/vnd.openxmlformats-officedocument.drawing+xml"/>
  <Override PartName="/xl/charts/chart82.xml" ContentType="application/vnd.openxmlformats-officedocument.drawingml.chart+xml"/>
  <Override PartName="/xl/drawings/drawing95.xml" ContentType="application/vnd.openxmlformats-officedocument.drawingml.chartshapes+xml"/>
  <Override PartName="/xl/charts/chart83.xml" ContentType="application/vnd.openxmlformats-officedocument.drawingml.chart+xml"/>
  <Override PartName="/xl/drawings/drawing96.xml" ContentType="application/vnd.openxmlformats-officedocument.drawingml.chartshapes+xml"/>
  <Override PartName="/xl/charts/chart84.xml" ContentType="application/vnd.openxmlformats-officedocument.drawingml.chart+xml"/>
  <Override PartName="/xl/drawings/drawing97.xml" ContentType="application/vnd.openxmlformats-officedocument.drawingml.chartshapes+xml"/>
  <Override PartName="/xl/charts/chart85.xml" ContentType="application/vnd.openxmlformats-officedocument.drawingml.chart+xml"/>
  <Override PartName="/xl/drawings/drawing98.xml" ContentType="application/vnd.openxmlformats-officedocument.drawingml.chartshapes+xml"/>
  <Override PartName="/xl/charts/chart86.xml" ContentType="application/vnd.openxmlformats-officedocument.drawingml.chart+xml"/>
  <Override PartName="/xl/drawings/drawing99.xml" ContentType="application/vnd.openxmlformats-officedocument.drawingml.chartshapes+xml"/>
  <Override PartName="/xl/charts/chart87.xml" ContentType="application/vnd.openxmlformats-officedocument.drawingml.chart+xml"/>
  <Override PartName="/xl/drawings/drawing100.xml" ContentType="application/vnd.openxmlformats-officedocument.drawingml.chartshapes+xml"/>
  <Override PartName="/xl/charts/chart88.xml" ContentType="application/vnd.openxmlformats-officedocument.drawingml.chart+xml"/>
  <Override PartName="/xl/drawings/drawing101.xml" ContentType="application/vnd.openxmlformats-officedocument.drawingml.chartshapes+xml"/>
  <Override PartName="/xl/drawings/drawing102.xml" ContentType="application/vnd.openxmlformats-officedocument.drawing+xml"/>
  <Override PartName="/xl/charts/chart89.xml" ContentType="application/vnd.openxmlformats-officedocument.drawingml.chart+xml"/>
  <Override PartName="/xl/drawings/drawing103.xml" ContentType="application/vnd.openxmlformats-officedocument.drawingml.chartshapes+xml"/>
  <Override PartName="/xl/charts/chart90.xml" ContentType="application/vnd.openxmlformats-officedocument.drawingml.chart+xml"/>
  <Override PartName="/xl/drawings/drawing104.xml" ContentType="application/vnd.openxmlformats-officedocument.drawingml.chartshapes+xml"/>
  <Override PartName="/xl/charts/chart91.xml" ContentType="application/vnd.openxmlformats-officedocument.drawingml.chart+xml"/>
  <Override PartName="/xl/drawings/drawing105.xml" ContentType="application/vnd.openxmlformats-officedocument.drawingml.chartshapes+xml"/>
  <Override PartName="/xl/charts/chart92.xml" ContentType="application/vnd.openxmlformats-officedocument.drawingml.chart+xml"/>
  <Override PartName="/xl/drawings/drawing106.xml" ContentType="application/vnd.openxmlformats-officedocument.drawingml.chartshapes+xml"/>
  <Override PartName="/xl/charts/chart93.xml" ContentType="application/vnd.openxmlformats-officedocument.drawingml.chart+xml"/>
  <Override PartName="/xl/drawings/drawing107.xml" ContentType="application/vnd.openxmlformats-officedocument.drawingml.chartshapes+xml"/>
  <Override PartName="/xl/charts/chart94.xml" ContentType="application/vnd.openxmlformats-officedocument.drawingml.chart+xml"/>
  <Override PartName="/xl/drawings/drawing108.xml" ContentType="application/vnd.openxmlformats-officedocument.drawingml.chartshapes+xml"/>
  <Override PartName="/xl/charts/chart95.xml" ContentType="application/vnd.openxmlformats-officedocument.drawingml.chart+xml"/>
  <Override PartName="/xl/drawings/drawing109.xml" ContentType="application/vnd.openxmlformats-officedocument.drawingml.chartshapes+xml"/>
  <Override PartName="/xl/drawings/drawing110.xml" ContentType="application/vnd.openxmlformats-officedocument.drawing+xml"/>
  <Override PartName="/xl/charts/chart96.xml" ContentType="application/vnd.openxmlformats-officedocument.drawingml.chart+xml"/>
  <Override PartName="/xl/drawings/drawing111.xml" ContentType="application/vnd.openxmlformats-officedocument.drawingml.chartshapes+xml"/>
  <Override PartName="/xl/charts/chart97.xml" ContentType="application/vnd.openxmlformats-officedocument.drawingml.chart+xml"/>
  <Override PartName="/xl/drawings/drawing112.xml" ContentType="application/vnd.openxmlformats-officedocument.drawingml.chartshapes+xml"/>
  <Override PartName="/xl/charts/chart98.xml" ContentType="application/vnd.openxmlformats-officedocument.drawingml.chart+xml"/>
  <Override PartName="/xl/drawings/drawing113.xml" ContentType="application/vnd.openxmlformats-officedocument.drawingml.chartshapes+xml"/>
  <Override PartName="/xl/charts/chart99.xml" ContentType="application/vnd.openxmlformats-officedocument.drawingml.chart+xml"/>
  <Override PartName="/xl/drawings/drawing114.xml" ContentType="application/vnd.openxmlformats-officedocument.drawingml.chartshapes+xml"/>
  <Override PartName="/xl/charts/chart100.xml" ContentType="application/vnd.openxmlformats-officedocument.drawingml.chart+xml"/>
  <Override PartName="/xl/drawings/drawing115.xml" ContentType="application/vnd.openxmlformats-officedocument.drawingml.chartshapes+xml"/>
  <Override PartName="/xl/charts/chart101.xml" ContentType="application/vnd.openxmlformats-officedocument.drawingml.chart+xml"/>
  <Override PartName="/xl/drawings/drawing116.xml" ContentType="application/vnd.openxmlformats-officedocument.drawingml.chartshapes+xml"/>
  <Override PartName="/xl/drawings/drawing117.xml" ContentType="application/vnd.openxmlformats-officedocument.drawing+xml"/>
  <Override PartName="/xl/charts/chart102.xml" ContentType="application/vnd.openxmlformats-officedocument.drawingml.chart+xml"/>
  <Override PartName="/xl/drawings/drawing118.xml" ContentType="application/vnd.openxmlformats-officedocument.drawingml.chartshapes+xml"/>
  <Override PartName="/xl/charts/chart103.xml" ContentType="application/vnd.openxmlformats-officedocument.drawingml.chart+xml"/>
  <Override PartName="/xl/drawings/drawing119.xml" ContentType="application/vnd.openxmlformats-officedocument.drawingml.chartshapes+xml"/>
  <Override PartName="/xl/charts/chart104.xml" ContentType="application/vnd.openxmlformats-officedocument.drawingml.chart+xml"/>
  <Override PartName="/xl/drawings/drawing120.xml" ContentType="application/vnd.openxmlformats-officedocument.drawingml.chartshapes+xml"/>
  <Override PartName="/xl/charts/chart105.xml" ContentType="application/vnd.openxmlformats-officedocument.drawingml.chart+xml"/>
  <Override PartName="/xl/drawings/drawing121.xml" ContentType="application/vnd.openxmlformats-officedocument.drawingml.chartshapes+xml"/>
  <Override PartName="/xl/charts/chart106.xml" ContentType="application/vnd.openxmlformats-officedocument.drawingml.chart+xml"/>
  <Override PartName="/xl/drawings/drawing122.xml" ContentType="application/vnd.openxmlformats-officedocument.drawingml.chartshapes+xml"/>
  <Override PartName="/xl/charts/chart107.xml" ContentType="application/vnd.openxmlformats-officedocument.drawingml.chart+xml"/>
  <Override PartName="/xl/drawings/drawing123.xml" ContentType="application/vnd.openxmlformats-officedocument.drawingml.chartshapes+xml"/>
  <Override PartName="/xl/charts/chart108.xml" ContentType="application/vnd.openxmlformats-officedocument.drawingml.chart+xml"/>
  <Override PartName="/xl/drawings/drawing124.xml" ContentType="application/vnd.openxmlformats-officedocument.drawingml.chartshapes+xml"/>
  <Override PartName="/xl/drawings/drawing125.xml" ContentType="application/vnd.openxmlformats-officedocument.drawing+xml"/>
  <Override PartName="/xl/charts/chart109.xml" ContentType="application/vnd.openxmlformats-officedocument.drawingml.chart+xml"/>
  <Override PartName="/xl/drawings/drawing126.xml" ContentType="application/vnd.openxmlformats-officedocument.drawingml.chartshapes+xml"/>
  <Override PartName="/xl/charts/chart110.xml" ContentType="application/vnd.openxmlformats-officedocument.drawingml.chart+xml"/>
  <Override PartName="/xl/drawings/drawing127.xml" ContentType="application/vnd.openxmlformats-officedocument.drawingml.chartshapes+xml"/>
  <Override PartName="/xl/charts/chart111.xml" ContentType="application/vnd.openxmlformats-officedocument.drawingml.chart+xml"/>
  <Override PartName="/xl/drawings/drawing128.xml" ContentType="application/vnd.openxmlformats-officedocument.drawingml.chartshapes+xml"/>
  <Override PartName="/xl/charts/chart112.xml" ContentType="application/vnd.openxmlformats-officedocument.drawingml.chart+xml"/>
  <Override PartName="/xl/drawings/drawing129.xml" ContentType="application/vnd.openxmlformats-officedocument.drawingml.chartshapes+xml"/>
  <Override PartName="/xl/charts/chart113.xml" ContentType="application/vnd.openxmlformats-officedocument.drawingml.chart+xml"/>
  <Override PartName="/xl/drawings/drawing130.xml" ContentType="application/vnd.openxmlformats-officedocument.drawingml.chartshapes+xml"/>
  <Override PartName="/xl/charts/chart114.xml" ContentType="application/vnd.openxmlformats-officedocument.drawingml.chart+xml"/>
  <Override PartName="/xl/drawings/drawing131.xml" ContentType="application/vnd.openxmlformats-officedocument.drawingml.chartshapes+xml"/>
  <Override PartName="/xl/charts/chart115.xml" ContentType="application/vnd.openxmlformats-officedocument.drawingml.chart+xml"/>
  <Override PartName="/xl/drawings/drawing132.xml" ContentType="application/vnd.openxmlformats-officedocument.drawingml.chartshapes+xml"/>
  <Override PartName="/xl/drawings/drawing133.xml" ContentType="application/vnd.openxmlformats-officedocument.drawing+xml"/>
  <Override PartName="/xl/charts/chart116.xml" ContentType="application/vnd.openxmlformats-officedocument.drawingml.chart+xml"/>
  <Override PartName="/xl/drawings/drawing134.xml" ContentType="application/vnd.openxmlformats-officedocument.drawingml.chartshapes+xml"/>
  <Override PartName="/xl/charts/chart117.xml" ContentType="application/vnd.openxmlformats-officedocument.drawingml.chart+xml"/>
  <Override PartName="/xl/drawings/drawing135.xml" ContentType="application/vnd.openxmlformats-officedocument.drawingml.chartshapes+xml"/>
  <Override PartName="/xl/charts/chart118.xml" ContentType="application/vnd.openxmlformats-officedocument.drawingml.chart+xml"/>
  <Override PartName="/xl/drawings/drawing136.xml" ContentType="application/vnd.openxmlformats-officedocument.drawingml.chartshapes+xml"/>
  <Override PartName="/xl/charts/chart119.xml" ContentType="application/vnd.openxmlformats-officedocument.drawingml.chart+xml"/>
  <Override PartName="/xl/drawings/drawing137.xml" ContentType="application/vnd.openxmlformats-officedocument.drawingml.chartshapes+xml"/>
  <Override PartName="/xl/charts/chart120.xml" ContentType="application/vnd.openxmlformats-officedocument.drawingml.chart+xml"/>
  <Override PartName="/xl/drawings/drawing138.xml" ContentType="application/vnd.openxmlformats-officedocument.drawingml.chartshapes+xml"/>
  <Override PartName="/xl/charts/chart121.xml" ContentType="application/vnd.openxmlformats-officedocument.drawingml.chart+xml"/>
  <Override PartName="/xl/drawings/drawing139.xml" ContentType="application/vnd.openxmlformats-officedocument.drawingml.chartshapes+xml"/>
  <Override PartName="/xl/drawings/drawing140.xml" ContentType="application/vnd.openxmlformats-officedocument.drawing+xml"/>
  <Override PartName="/xl/charts/chart122.xml" ContentType="application/vnd.openxmlformats-officedocument.drawingml.chart+xml"/>
  <Override PartName="/xl/drawings/drawing141.xml" ContentType="application/vnd.openxmlformats-officedocument.drawingml.chartshapes+xml"/>
  <Override PartName="/xl/charts/chart123.xml" ContentType="application/vnd.openxmlformats-officedocument.drawingml.chart+xml"/>
  <Override PartName="/xl/drawings/drawing142.xml" ContentType="application/vnd.openxmlformats-officedocument.drawingml.chartshapes+xml"/>
  <Override PartName="/xl/charts/chart124.xml" ContentType="application/vnd.openxmlformats-officedocument.drawingml.chart+xml"/>
  <Override PartName="/xl/drawings/drawing143.xml" ContentType="application/vnd.openxmlformats-officedocument.drawingml.chartshapes+xml"/>
  <Override PartName="/xl/charts/chart125.xml" ContentType="application/vnd.openxmlformats-officedocument.drawingml.chart+xml"/>
  <Override PartName="/xl/drawings/drawing144.xml" ContentType="application/vnd.openxmlformats-officedocument.drawingml.chartshapes+xml"/>
  <Override PartName="/xl/charts/chart126.xml" ContentType="application/vnd.openxmlformats-officedocument.drawingml.chart+xml"/>
  <Override PartName="/xl/drawings/drawing145.xml" ContentType="application/vnd.openxmlformats-officedocument.drawingml.chartshapes+xml"/>
  <Override PartName="/xl/charts/chart127.xml" ContentType="application/vnd.openxmlformats-officedocument.drawingml.chart+xml"/>
  <Override PartName="/xl/drawings/drawing146.xml" ContentType="application/vnd.openxmlformats-officedocument.drawingml.chartshapes+xml"/>
  <Override PartName="/xl/drawings/drawing147.xml" ContentType="application/vnd.openxmlformats-officedocument.drawing+xml"/>
  <Override PartName="/xl/charts/chart128.xml" ContentType="application/vnd.openxmlformats-officedocument.drawingml.chart+xml"/>
  <Override PartName="/xl/drawings/drawing148.xml" ContentType="application/vnd.openxmlformats-officedocument.drawingml.chartshapes+xml"/>
  <Override PartName="/xl/charts/chart129.xml" ContentType="application/vnd.openxmlformats-officedocument.drawingml.chart+xml"/>
  <Override PartName="/xl/drawings/drawing149.xml" ContentType="application/vnd.openxmlformats-officedocument.drawingml.chartshapes+xml"/>
  <Override PartName="/xl/charts/chart130.xml" ContentType="application/vnd.openxmlformats-officedocument.drawingml.chart+xml"/>
  <Override PartName="/xl/drawings/drawing150.xml" ContentType="application/vnd.openxmlformats-officedocument.drawingml.chartshapes+xml"/>
  <Override PartName="/xl/charts/chart131.xml" ContentType="application/vnd.openxmlformats-officedocument.drawingml.chart+xml"/>
  <Override PartName="/xl/drawings/drawing151.xml" ContentType="application/vnd.openxmlformats-officedocument.drawingml.chartshapes+xml"/>
  <Override PartName="/xl/charts/chart132.xml" ContentType="application/vnd.openxmlformats-officedocument.drawingml.chart+xml"/>
  <Override PartName="/xl/drawings/drawing152.xml" ContentType="application/vnd.openxmlformats-officedocument.drawingml.chartshapes+xml"/>
  <Override PartName="/xl/charts/chart133.xml" ContentType="application/vnd.openxmlformats-officedocument.drawingml.chart+xml"/>
  <Override PartName="/xl/drawings/drawing153.xml" ContentType="application/vnd.openxmlformats-officedocument.drawingml.chartshapes+xml"/>
  <Override PartName="/xl/drawings/drawing154.xml" ContentType="application/vnd.openxmlformats-officedocument.drawing+xml"/>
  <Override PartName="/xl/charts/chart134.xml" ContentType="application/vnd.openxmlformats-officedocument.drawingml.chart+xml"/>
  <Override PartName="/xl/drawings/drawing155.xml" ContentType="application/vnd.openxmlformats-officedocument.drawingml.chartshapes+xml"/>
  <Override PartName="/xl/charts/chart135.xml" ContentType="application/vnd.openxmlformats-officedocument.drawingml.chart+xml"/>
  <Override PartName="/xl/drawings/drawing156.xml" ContentType="application/vnd.openxmlformats-officedocument.drawingml.chartshapes+xml"/>
  <Override PartName="/xl/charts/chart136.xml" ContentType="application/vnd.openxmlformats-officedocument.drawingml.chart+xml"/>
  <Override PartName="/xl/drawings/drawing157.xml" ContentType="application/vnd.openxmlformats-officedocument.drawingml.chartshapes+xml"/>
  <Override PartName="/xl/charts/chart137.xml" ContentType="application/vnd.openxmlformats-officedocument.drawingml.chart+xml"/>
  <Override PartName="/xl/drawings/drawing158.xml" ContentType="application/vnd.openxmlformats-officedocument.drawingml.chartshapes+xml"/>
  <Override PartName="/xl/charts/chart138.xml" ContentType="application/vnd.openxmlformats-officedocument.drawingml.chart+xml"/>
  <Override PartName="/xl/drawings/drawing159.xml" ContentType="application/vnd.openxmlformats-officedocument.drawingml.chartshapes+xml"/>
  <Override PartName="/xl/charts/chart139.xml" ContentType="application/vnd.openxmlformats-officedocument.drawingml.chart+xml"/>
  <Override PartName="/xl/drawings/drawing160.xml" ContentType="application/vnd.openxmlformats-officedocument.drawingml.chartshapes+xml"/>
  <Override PartName="/xl/charts/chart140.xml" ContentType="application/vnd.openxmlformats-officedocument.drawingml.chart+xml"/>
  <Override PartName="/xl/drawings/drawing161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atabase\"/>
    </mc:Choice>
  </mc:AlternateContent>
  <bookViews>
    <workbookView xWindow="0" yWindow="0" windowWidth="21600" windowHeight="9735" tabRatio="599" firstSheet="8" activeTab="20"/>
  </bookViews>
  <sheets>
    <sheet name="Arg" sheetId="1" r:id="rId1"/>
    <sheet name="Aus" sheetId="2" r:id="rId2"/>
    <sheet name="Bra" sheetId="3" r:id="rId3"/>
    <sheet name="Can" sheetId="4" r:id="rId4"/>
    <sheet name="Chi" sheetId="5" r:id="rId5"/>
    <sheet name="Egypt" sheetId="6" r:id="rId6"/>
    <sheet name="EU-28" sheetId="7" r:id="rId7"/>
    <sheet name="India" sheetId="8" r:id="rId8"/>
    <sheet name="Indo" sheetId="9" r:id="rId9"/>
    <sheet name="Jap" sheetId="10" r:id="rId10"/>
    <sheet name="SKor" sheetId="11" r:id="rId11"/>
    <sheet name="Mex" sheetId="12" r:id="rId12"/>
    <sheet name="Nig" sheetId="13" r:id="rId13"/>
    <sheet name="Pak" sheetId="14" r:id="rId14"/>
    <sheet name="Russ" sheetId="15" r:id="rId15"/>
    <sheet name="SAfr" sheetId="16" r:id="rId16"/>
    <sheet name="Thai" sheetId="17" r:id="rId17"/>
    <sheet name="Turk" sheetId="18" r:id="rId18"/>
    <sheet name="Uzbek" sheetId="19" r:id="rId19"/>
    <sheet name="Viet" sheetId="20" r:id="rId20"/>
    <sheet name="WAfr" sheetId="21" r:id="rId21"/>
    <sheet name="Data" sheetId="22" r:id="rId22"/>
  </sheets>
  <calcPr calcId="152511"/>
</workbook>
</file>

<file path=xl/calcChain.xml><?xml version="1.0" encoding="utf-8"?>
<calcChain xmlns="http://schemas.openxmlformats.org/spreadsheetml/2006/main">
  <c r="BB5" i="21" l="1"/>
  <c r="BB4" i="21"/>
  <c r="BB3" i="21"/>
  <c r="BD2" i="21"/>
  <c r="BC2" i="21"/>
  <c r="BB2" i="21"/>
  <c r="BB5" i="20"/>
  <c r="BB4" i="20"/>
  <c r="BB3" i="20"/>
  <c r="BD2" i="20"/>
  <c r="BC2" i="20"/>
  <c r="BB2" i="20"/>
  <c r="AA5" i="19"/>
  <c r="AA3" i="19"/>
  <c r="AC2" i="19"/>
  <c r="AB2" i="19"/>
  <c r="AA2" i="19"/>
  <c r="BB5" i="18"/>
  <c r="BB4" i="18"/>
  <c r="BB3" i="18"/>
  <c r="BD2" i="18"/>
  <c r="BC2" i="18"/>
  <c r="BB2" i="18"/>
  <c r="BB5" i="17"/>
  <c r="BB4" i="17"/>
  <c r="BB3" i="17"/>
  <c r="BD2" i="17"/>
  <c r="BC2" i="17"/>
  <c r="BB2" i="17"/>
  <c r="BB5" i="16"/>
  <c r="BB4" i="16"/>
  <c r="BB3" i="16"/>
  <c r="BD2" i="16"/>
  <c r="BC2" i="16"/>
  <c r="BB2" i="16"/>
  <c r="AA5" i="15"/>
  <c r="AA4" i="15"/>
  <c r="AA3" i="15"/>
  <c r="AC2" i="15"/>
  <c r="AB2" i="15"/>
  <c r="AA2" i="15"/>
  <c r="BB5" i="14"/>
  <c r="BB4" i="14"/>
  <c r="BB3" i="14"/>
  <c r="BD2" i="14"/>
  <c r="BC2" i="14"/>
  <c r="BB2" i="14"/>
  <c r="BB5" i="13"/>
  <c r="BB4" i="13"/>
  <c r="BB3" i="13"/>
  <c r="BD2" i="13"/>
  <c r="BC2" i="13"/>
  <c r="BB2" i="13"/>
  <c r="BB5" i="12"/>
  <c r="BB4" i="12"/>
  <c r="BB3" i="12"/>
  <c r="BD2" i="12"/>
  <c r="BC2" i="12"/>
  <c r="BB2" i="12"/>
  <c r="BB4" i="11"/>
  <c r="BB3" i="11"/>
  <c r="BD2" i="11"/>
  <c r="BC2" i="11"/>
  <c r="BB2" i="11"/>
  <c r="BB5" i="10"/>
  <c r="BB3" i="10"/>
  <c r="BD2" i="10"/>
  <c r="BC2" i="10"/>
  <c r="BB2" i="10"/>
  <c r="BB5" i="9"/>
  <c r="BB4" i="9"/>
  <c r="BB3" i="9"/>
  <c r="BD2" i="9"/>
  <c r="BC2" i="9"/>
  <c r="BB2" i="9"/>
  <c r="BB5" i="8"/>
  <c r="BB4" i="8"/>
  <c r="BB3" i="8"/>
  <c r="BD2" i="8"/>
  <c r="BC2" i="8"/>
  <c r="BB2" i="8"/>
  <c r="BB5" i="6"/>
  <c r="BB4" i="6"/>
  <c r="BB3" i="6"/>
  <c r="BD2" i="6"/>
  <c r="BC2" i="6"/>
  <c r="BB2" i="6"/>
  <c r="BB5" i="5"/>
  <c r="BB4" i="5"/>
  <c r="BB3" i="5"/>
  <c r="BD2" i="5"/>
  <c r="BC2" i="5"/>
  <c r="BB2" i="5"/>
  <c r="BB5" i="4"/>
  <c r="BB4" i="4"/>
  <c r="BB3" i="4"/>
  <c r="BD2" i="4"/>
  <c r="BC2" i="4"/>
  <c r="BB2" i="4"/>
  <c r="BB5" i="3"/>
  <c r="BB4" i="3"/>
  <c r="BB3" i="3"/>
  <c r="BD2" i="3"/>
  <c r="BC2" i="3"/>
  <c r="BB2" i="3"/>
  <c r="BB5" i="2"/>
  <c r="BB4" i="2"/>
  <c r="BB3" i="2"/>
  <c r="BD2" i="2"/>
  <c r="BC2" i="2"/>
  <c r="BB2" i="2"/>
  <c r="BB5" i="1" l="1"/>
  <c r="BB4" i="1"/>
  <c r="BB3" i="1"/>
  <c r="BD2" i="1"/>
  <c r="BC2" i="1"/>
  <c r="BB2" i="1"/>
  <c r="P18" i="7" l="1"/>
  <c r="O18" i="7"/>
  <c r="N18" i="7"/>
  <c r="M18" i="7"/>
  <c r="L18" i="7"/>
  <c r="K18" i="7"/>
  <c r="J18" i="7"/>
  <c r="I18" i="7"/>
  <c r="H18" i="7"/>
  <c r="G18" i="7"/>
  <c r="F18" i="7"/>
  <c r="E18" i="7"/>
  <c r="E21" i="7"/>
  <c r="F21" i="7"/>
  <c r="G21" i="7"/>
  <c r="H21" i="7"/>
  <c r="I21" i="7"/>
  <c r="J21" i="7"/>
  <c r="K21" i="7"/>
  <c r="L21" i="7"/>
  <c r="M21" i="7"/>
  <c r="N21" i="7"/>
  <c r="O21" i="7"/>
  <c r="D21" i="7"/>
  <c r="D18" i="7"/>
  <c r="BB8" i="11"/>
  <c r="BB10" i="11" s="1"/>
  <c r="BB7" i="11"/>
  <c r="BB6" i="11"/>
  <c r="BB9" i="11"/>
  <c r="BB18" i="11"/>
  <c r="BB17" i="11"/>
  <c r="BB15" i="11"/>
  <c r="BB14" i="11"/>
  <c r="BB13" i="11"/>
  <c r="BB25" i="11"/>
  <c r="BB24" i="11"/>
  <c r="BB23" i="11"/>
  <c r="BD22" i="11"/>
  <c r="BC22" i="11"/>
  <c r="BB22" i="11"/>
  <c r="BD16" i="11"/>
  <c r="BC16" i="11"/>
  <c r="BB16" i="11"/>
  <c r="BD12" i="11"/>
  <c r="BC12" i="11"/>
  <c r="BB12" i="11"/>
  <c r="BD9" i="11"/>
  <c r="BC9" i="11"/>
  <c r="O9" i="7"/>
  <c r="O8" i="7"/>
  <c r="O7" i="7"/>
  <c r="O17" i="7"/>
  <c r="O16" i="7"/>
  <c r="O15" i="7"/>
  <c r="O5" i="7"/>
  <c r="O4" i="7"/>
  <c r="O3" i="7"/>
  <c r="O13" i="7"/>
  <c r="O12" i="7"/>
  <c r="O11" i="7"/>
  <c r="O25" i="7"/>
  <c r="O24" i="7"/>
  <c r="O23" i="7"/>
  <c r="Q6" i="7"/>
  <c r="P6" i="7"/>
  <c r="O6" i="7"/>
  <c r="Q18" i="7"/>
  <c r="Q14" i="7"/>
  <c r="P14" i="7"/>
  <c r="O14" i="7"/>
  <c r="O10" i="7"/>
  <c r="Q10" i="7"/>
  <c r="P10" i="7"/>
  <c r="Q22" i="7"/>
  <c r="P22" i="7"/>
  <c r="O22" i="7"/>
  <c r="Q2" i="7"/>
  <c r="P2" i="7"/>
  <c r="O2" i="7"/>
  <c r="BB29" i="21" l="1"/>
  <c r="BB21" i="21"/>
  <c r="BB17" i="21"/>
  <c r="BB13" i="21"/>
  <c r="BB9" i="21"/>
  <c r="BB9" i="20" l="1"/>
  <c r="BB8" i="20"/>
  <c r="BB7" i="20"/>
  <c r="BD6" i="20"/>
  <c r="BC6" i="20"/>
  <c r="BB6" i="20"/>
  <c r="BB13" i="20"/>
  <c r="BB12" i="20"/>
  <c r="BB11" i="20"/>
  <c r="BD10" i="20"/>
  <c r="BC10" i="20"/>
  <c r="BB10" i="20"/>
  <c r="BD14" i="20"/>
  <c r="BC14" i="20"/>
  <c r="BB17" i="20"/>
  <c r="BB16" i="20"/>
  <c r="BB15" i="20"/>
  <c r="BB14" i="20"/>
  <c r="BB24" i="20"/>
  <c r="BB22" i="20"/>
  <c r="AA11" i="19" l="1"/>
  <c r="AA10" i="19"/>
  <c r="AA9" i="19"/>
  <c r="AA8" i="19"/>
  <c r="AA7" i="19"/>
  <c r="AC6" i="19"/>
  <c r="AB6" i="19"/>
  <c r="AA6" i="19"/>
  <c r="AA15" i="19"/>
  <c r="AA14" i="19"/>
  <c r="AA13" i="19"/>
  <c r="AC12" i="19"/>
  <c r="AB12" i="19"/>
  <c r="AA12" i="19"/>
  <c r="AA22" i="19"/>
  <c r="AA21" i="19"/>
  <c r="AA20" i="19"/>
  <c r="AC19" i="19"/>
  <c r="AB19" i="19"/>
  <c r="AA19" i="19"/>
  <c r="BB9" i="18"/>
  <c r="BB8" i="18"/>
  <c r="BB7" i="18"/>
  <c r="BD6" i="18"/>
  <c r="BC6" i="18"/>
  <c r="BB6" i="18"/>
  <c r="BB13" i="18"/>
  <c r="BB12" i="18"/>
  <c r="BB11" i="18"/>
  <c r="BD10" i="18"/>
  <c r="BC10" i="18"/>
  <c r="BB10" i="18"/>
  <c r="BB17" i="18"/>
  <c r="BB16" i="18"/>
  <c r="BB15" i="18"/>
  <c r="BD14" i="18"/>
  <c r="BC14" i="18"/>
  <c r="BB14" i="18"/>
  <c r="BB25" i="18"/>
  <c r="BB24" i="18"/>
  <c r="BB23" i="18"/>
  <c r="BD22" i="18"/>
  <c r="BC22" i="18"/>
  <c r="BB22" i="18"/>
  <c r="BB9" i="17"/>
  <c r="BD6" i="17"/>
  <c r="BC6" i="17"/>
  <c r="BB6" i="17"/>
  <c r="BB8" i="17"/>
  <c r="BB7" i="17"/>
  <c r="BB13" i="17"/>
  <c r="BB12" i="17"/>
  <c r="BB11" i="17"/>
  <c r="BD10" i="17"/>
  <c r="BC10" i="17"/>
  <c r="BB10" i="17"/>
  <c r="BB21" i="17"/>
  <c r="BB20" i="17"/>
  <c r="BB19" i="17"/>
  <c r="BD18" i="17"/>
  <c r="BC18" i="17"/>
  <c r="BB18" i="17"/>
  <c r="BB17" i="17"/>
  <c r="BB16" i="17"/>
  <c r="BB15" i="17"/>
  <c r="BD14" i="17"/>
  <c r="BC14" i="17"/>
  <c r="BB14" i="17"/>
  <c r="BB27" i="17"/>
  <c r="BB26" i="17"/>
  <c r="BB25" i="17"/>
  <c r="BD18" i="20" l="1"/>
  <c r="BC18" i="20"/>
  <c r="BB18" i="20"/>
  <c r="BA18" i="20"/>
  <c r="AZ18" i="20"/>
  <c r="AY18" i="20"/>
  <c r="AX18" i="20"/>
  <c r="AW18" i="20"/>
  <c r="AV18" i="20"/>
  <c r="AU18" i="20"/>
  <c r="AT18" i="20"/>
  <c r="AS18" i="20"/>
  <c r="AR18" i="20"/>
  <c r="AQ18" i="20"/>
  <c r="AP18" i="20"/>
  <c r="AO18" i="20"/>
  <c r="AN18" i="20"/>
  <c r="AM18" i="20"/>
  <c r="AL18" i="20"/>
  <c r="AK18" i="20"/>
  <c r="AJ18" i="20"/>
  <c r="AI18" i="20"/>
  <c r="AH18" i="20"/>
  <c r="AG18" i="20"/>
  <c r="AF18" i="20"/>
  <c r="AE18" i="20"/>
  <c r="AD18" i="20"/>
  <c r="AC18" i="20"/>
  <c r="AB18" i="20"/>
  <c r="AA18" i="20"/>
  <c r="Z18" i="20"/>
  <c r="Y18" i="20"/>
  <c r="X18" i="20"/>
  <c r="W18" i="20"/>
  <c r="V18" i="20"/>
  <c r="U18" i="20"/>
  <c r="T18" i="20"/>
  <c r="S18" i="20"/>
  <c r="R18" i="20"/>
  <c r="Q18" i="20"/>
  <c r="P18" i="20"/>
  <c r="O18" i="20"/>
  <c r="N18" i="20"/>
  <c r="M18" i="20"/>
  <c r="L18" i="20"/>
  <c r="K18" i="20"/>
  <c r="J18" i="20"/>
  <c r="I18" i="20"/>
  <c r="H18" i="20"/>
  <c r="G18" i="20"/>
  <c r="F18" i="20"/>
  <c r="E18" i="20"/>
  <c r="D18" i="20"/>
  <c r="E21" i="20"/>
  <c r="F21" i="20"/>
  <c r="G21" i="20"/>
  <c r="H21" i="20"/>
  <c r="I21" i="20"/>
  <c r="J21" i="20"/>
  <c r="K21" i="20"/>
  <c r="L21" i="20"/>
  <c r="M21" i="20"/>
  <c r="N21" i="20"/>
  <c r="O21" i="20"/>
  <c r="P21" i="20"/>
  <c r="Q21" i="20"/>
  <c r="R21" i="20"/>
  <c r="S21" i="20"/>
  <c r="T21" i="20"/>
  <c r="U21" i="20"/>
  <c r="V21" i="20"/>
  <c r="W21" i="20"/>
  <c r="X21" i="20"/>
  <c r="Y21" i="20"/>
  <c r="Z21" i="20"/>
  <c r="AA21" i="20"/>
  <c r="AB21" i="20"/>
  <c r="AC21" i="20"/>
  <c r="AD21" i="20"/>
  <c r="AE21" i="20"/>
  <c r="AF21" i="20"/>
  <c r="AG21" i="20"/>
  <c r="AH21" i="20"/>
  <c r="AI21" i="20"/>
  <c r="AJ21" i="20"/>
  <c r="AK21" i="20"/>
  <c r="AL21" i="20"/>
  <c r="AM21" i="20"/>
  <c r="AN21" i="20"/>
  <c r="AO21" i="20"/>
  <c r="AP21" i="20"/>
  <c r="AQ21" i="20"/>
  <c r="AR21" i="20"/>
  <c r="AS21" i="20"/>
  <c r="AT21" i="20"/>
  <c r="AU21" i="20"/>
  <c r="AV21" i="20"/>
  <c r="AW21" i="20"/>
  <c r="AX21" i="20"/>
  <c r="AY21" i="20"/>
  <c r="AZ21" i="20"/>
  <c r="BA21" i="20"/>
  <c r="BB21" i="20"/>
  <c r="D21" i="20"/>
  <c r="BD21" i="17"/>
  <c r="BC21" i="17"/>
  <c r="BA21" i="17"/>
  <c r="AZ21" i="17"/>
  <c r="AY21" i="17"/>
  <c r="AX21" i="17"/>
  <c r="AW21" i="17"/>
  <c r="AV21" i="17"/>
  <c r="AU21" i="17"/>
  <c r="AT21" i="17"/>
  <c r="AS21" i="17"/>
  <c r="AR21" i="17"/>
  <c r="AQ21" i="17"/>
  <c r="AP21" i="17"/>
  <c r="AO21" i="17"/>
  <c r="AN21" i="17"/>
  <c r="AM21" i="17"/>
  <c r="AL21" i="17"/>
  <c r="AK21" i="17"/>
  <c r="AJ21" i="17"/>
  <c r="AI21" i="17"/>
  <c r="AH21" i="17"/>
  <c r="AG21" i="17"/>
  <c r="AF21" i="17"/>
  <c r="AE21" i="17"/>
  <c r="AD21" i="17"/>
  <c r="AC21" i="17"/>
  <c r="AB21" i="17"/>
  <c r="AA21" i="17"/>
  <c r="Z21" i="17"/>
  <c r="Y21" i="17"/>
  <c r="X21" i="17"/>
  <c r="W21" i="17"/>
  <c r="V21" i="17"/>
  <c r="U21" i="17"/>
  <c r="T21" i="17"/>
  <c r="S21" i="17"/>
  <c r="R21" i="17"/>
  <c r="Q21" i="17"/>
  <c r="P21" i="17"/>
  <c r="O21" i="17"/>
  <c r="N21" i="17"/>
  <c r="M21" i="17"/>
  <c r="L21" i="17"/>
  <c r="K21" i="17"/>
  <c r="J21" i="17"/>
  <c r="I21" i="17"/>
  <c r="H21" i="17"/>
  <c r="G21" i="17"/>
  <c r="F21" i="17"/>
  <c r="E21" i="17"/>
  <c r="D21" i="17"/>
  <c r="D24" i="17" s="1"/>
  <c r="E24" i="17"/>
  <c r="F24" i="17"/>
  <c r="G24" i="17"/>
  <c r="H24" i="17"/>
  <c r="I24" i="17"/>
  <c r="J24" i="17"/>
  <c r="K24" i="17"/>
  <c r="L24" i="17"/>
  <c r="M24" i="17"/>
  <c r="N24" i="17"/>
  <c r="O24" i="17"/>
  <c r="P24" i="17"/>
  <c r="Q24" i="17"/>
  <c r="R24" i="17"/>
  <c r="S24" i="17"/>
  <c r="T24" i="17"/>
  <c r="U24" i="17"/>
  <c r="V24" i="17"/>
  <c r="W24" i="17"/>
  <c r="X24" i="17"/>
  <c r="Y24" i="17"/>
  <c r="Z24" i="17"/>
  <c r="AA24" i="17"/>
  <c r="AB24" i="17"/>
  <c r="AC24" i="17"/>
  <c r="AD24" i="17"/>
  <c r="AE24" i="17"/>
  <c r="AF24" i="17"/>
  <c r="AG24" i="17"/>
  <c r="AH24" i="17"/>
  <c r="AI24" i="17"/>
  <c r="AJ24" i="17"/>
  <c r="AK24" i="17"/>
  <c r="AL24" i="17"/>
  <c r="AM24" i="17"/>
  <c r="AN24" i="17"/>
  <c r="AO24" i="17"/>
  <c r="AP24" i="17"/>
  <c r="AQ24" i="17"/>
  <c r="AR24" i="17"/>
  <c r="AS24" i="17"/>
  <c r="AT24" i="17"/>
  <c r="AU24" i="17"/>
  <c r="AV24" i="17"/>
  <c r="AW24" i="17"/>
  <c r="AX24" i="17"/>
  <c r="AY24" i="17"/>
  <c r="AZ24" i="17"/>
  <c r="BA24" i="17"/>
  <c r="BB24" i="17"/>
  <c r="BB9" i="16"/>
  <c r="BB8" i="16"/>
  <c r="BB7" i="16"/>
  <c r="BD6" i="16"/>
  <c r="BC6" i="16"/>
  <c r="BB6" i="16"/>
  <c r="BB13" i="16"/>
  <c r="BB12" i="16"/>
  <c r="BB11" i="16"/>
  <c r="BD10" i="16"/>
  <c r="BC10" i="16"/>
  <c r="BB10" i="16"/>
  <c r="BB20" i="16"/>
  <c r="BB19" i="16"/>
  <c r="BB18" i="16"/>
  <c r="BD17" i="16"/>
  <c r="BC17" i="16"/>
  <c r="BB17" i="16"/>
  <c r="BC16" i="16"/>
  <c r="BB15" i="16"/>
  <c r="BB14" i="16"/>
  <c r="BD21" i="16"/>
  <c r="BC21" i="16"/>
  <c r="BB21" i="16"/>
  <c r="BA21" i="16"/>
  <c r="AZ21" i="16"/>
  <c r="AY21" i="16"/>
  <c r="AX21" i="16"/>
  <c r="AW21" i="16"/>
  <c r="AV21" i="16"/>
  <c r="AU21" i="16"/>
  <c r="AT21" i="16"/>
  <c r="AS21" i="16"/>
  <c r="AR21" i="16"/>
  <c r="AQ21" i="16"/>
  <c r="AP21" i="16"/>
  <c r="AO21" i="16"/>
  <c r="AN21" i="16"/>
  <c r="AM21" i="16"/>
  <c r="AL21" i="16"/>
  <c r="AK21" i="16"/>
  <c r="AJ21" i="16"/>
  <c r="AI21" i="16"/>
  <c r="AH21" i="16"/>
  <c r="AG21" i="16"/>
  <c r="AF21" i="16"/>
  <c r="AE21" i="16"/>
  <c r="AD21" i="16"/>
  <c r="AC21" i="16"/>
  <c r="AB21" i="16"/>
  <c r="AA21" i="16"/>
  <c r="Z21" i="16"/>
  <c r="Y21" i="16"/>
  <c r="X21" i="16"/>
  <c r="W21" i="16"/>
  <c r="V21" i="16"/>
  <c r="U21" i="16"/>
  <c r="T21" i="16"/>
  <c r="S21" i="16"/>
  <c r="R21" i="16"/>
  <c r="Q21" i="16"/>
  <c r="P21" i="16"/>
  <c r="O21" i="16"/>
  <c r="N21" i="16"/>
  <c r="M21" i="16"/>
  <c r="L21" i="16"/>
  <c r="K21" i="16"/>
  <c r="J21" i="16"/>
  <c r="I21" i="16"/>
  <c r="H21" i="16"/>
  <c r="G21" i="16"/>
  <c r="F21" i="16"/>
  <c r="E21" i="16"/>
  <c r="D21" i="16"/>
  <c r="E24" i="16"/>
  <c r="F24" i="16"/>
  <c r="G24" i="16"/>
  <c r="H24" i="16"/>
  <c r="I24" i="16"/>
  <c r="J24" i="16"/>
  <c r="K24" i="16"/>
  <c r="L24" i="16"/>
  <c r="M24" i="16"/>
  <c r="N24" i="16"/>
  <c r="O24" i="16"/>
  <c r="P24" i="16"/>
  <c r="Q24" i="16"/>
  <c r="R24" i="16"/>
  <c r="S24" i="16"/>
  <c r="T24" i="16"/>
  <c r="U24" i="16"/>
  <c r="V24" i="16"/>
  <c r="W24" i="16"/>
  <c r="X24" i="16"/>
  <c r="Y24" i="16"/>
  <c r="Z24" i="16"/>
  <c r="AA24" i="16"/>
  <c r="AB24" i="16"/>
  <c r="AC24" i="16"/>
  <c r="AD24" i="16"/>
  <c r="AE24" i="16"/>
  <c r="AF24" i="16"/>
  <c r="AG24" i="16"/>
  <c r="AH24" i="16"/>
  <c r="AI24" i="16"/>
  <c r="AJ24" i="16"/>
  <c r="AK24" i="16"/>
  <c r="AL24" i="16"/>
  <c r="AM24" i="16"/>
  <c r="AN24" i="16"/>
  <c r="AO24" i="16"/>
  <c r="AP24" i="16"/>
  <c r="AQ24" i="16"/>
  <c r="AR24" i="16"/>
  <c r="AS24" i="16"/>
  <c r="AT24" i="16"/>
  <c r="AU24" i="16"/>
  <c r="AV24" i="16"/>
  <c r="AW24" i="16"/>
  <c r="AX24" i="16"/>
  <c r="AY24" i="16"/>
  <c r="AZ24" i="16"/>
  <c r="BA24" i="16"/>
  <c r="BB24" i="16"/>
  <c r="D24" i="16"/>
  <c r="BD21" i="14"/>
  <c r="BC21" i="14"/>
  <c r="BB21" i="14"/>
  <c r="BA21" i="14"/>
  <c r="AZ21" i="14"/>
  <c r="AY21" i="14"/>
  <c r="AX21" i="14"/>
  <c r="AX24" i="14" s="1"/>
  <c r="AW21" i="14"/>
  <c r="AV21" i="14"/>
  <c r="AU21" i="14"/>
  <c r="AT21" i="14"/>
  <c r="AS21" i="14"/>
  <c r="AR21" i="14"/>
  <c r="AQ21" i="14"/>
  <c r="AP21" i="14"/>
  <c r="AO21" i="14"/>
  <c r="AN21" i="14"/>
  <c r="AM21" i="14"/>
  <c r="AL21" i="14"/>
  <c r="AK21" i="14"/>
  <c r="AJ21" i="14"/>
  <c r="AI21" i="14"/>
  <c r="AH21" i="14"/>
  <c r="AG21" i="14"/>
  <c r="AF21" i="14"/>
  <c r="AE21" i="14"/>
  <c r="AD21" i="14"/>
  <c r="AC21" i="14"/>
  <c r="AB21" i="14"/>
  <c r="AA21" i="14"/>
  <c r="Z21" i="14"/>
  <c r="Y21" i="14"/>
  <c r="X21" i="14"/>
  <c r="W21" i="14"/>
  <c r="V21" i="14"/>
  <c r="U21" i="14"/>
  <c r="T21" i="14"/>
  <c r="S21" i="14"/>
  <c r="R21" i="14"/>
  <c r="Q21" i="14"/>
  <c r="P21" i="14"/>
  <c r="O21" i="14"/>
  <c r="N21" i="14"/>
  <c r="M21" i="14"/>
  <c r="L21" i="14"/>
  <c r="K21" i="14"/>
  <c r="J21" i="14"/>
  <c r="I21" i="14"/>
  <c r="H21" i="14"/>
  <c r="G21" i="14"/>
  <c r="F21" i="14"/>
  <c r="E21" i="14"/>
  <c r="D21" i="14"/>
  <c r="D24" i="14"/>
  <c r="E24" i="14"/>
  <c r="F24" i="14"/>
  <c r="G24" i="14"/>
  <c r="H24" i="14"/>
  <c r="I24" i="14"/>
  <c r="J24" i="14"/>
  <c r="K24" i="14"/>
  <c r="L24" i="14"/>
  <c r="M24" i="14"/>
  <c r="N24" i="14"/>
  <c r="O24" i="14"/>
  <c r="P24" i="14"/>
  <c r="Q24" i="14"/>
  <c r="R24" i="14"/>
  <c r="S24" i="14"/>
  <c r="T24" i="14"/>
  <c r="U24" i="14"/>
  <c r="V24" i="14"/>
  <c r="W24" i="14"/>
  <c r="X24" i="14"/>
  <c r="Y24" i="14"/>
  <c r="Z24" i="14"/>
  <c r="AA24" i="14"/>
  <c r="AB24" i="14"/>
  <c r="AC24" i="14"/>
  <c r="AD24" i="14"/>
  <c r="AE24" i="14"/>
  <c r="AF24" i="14"/>
  <c r="AG24" i="14"/>
  <c r="AH24" i="14"/>
  <c r="AI24" i="14"/>
  <c r="AJ24" i="14"/>
  <c r="AK24" i="14"/>
  <c r="AL24" i="14"/>
  <c r="AM24" i="14"/>
  <c r="AN24" i="14"/>
  <c r="AO24" i="14"/>
  <c r="AP24" i="14"/>
  <c r="AQ24" i="14"/>
  <c r="AR24" i="14"/>
  <c r="AS24" i="14"/>
  <c r="AT24" i="14"/>
  <c r="AU24" i="14"/>
  <c r="AV24" i="14"/>
  <c r="AW24" i="14"/>
  <c r="AY24" i="14"/>
  <c r="AZ24" i="14"/>
  <c r="BA24" i="14"/>
  <c r="BB24" i="14"/>
  <c r="E25" i="21"/>
  <c r="F25" i="21"/>
  <c r="G25" i="21"/>
  <c r="H25" i="21"/>
  <c r="I25" i="21"/>
  <c r="J25" i="21"/>
  <c r="K25" i="21"/>
  <c r="L25" i="21"/>
  <c r="M25" i="21"/>
  <c r="N25" i="21"/>
  <c r="O25" i="21"/>
  <c r="P25" i="21"/>
  <c r="Q25" i="21"/>
  <c r="R25" i="21"/>
  <c r="S25" i="21"/>
  <c r="T25" i="21"/>
  <c r="U25" i="21"/>
  <c r="V25" i="21"/>
  <c r="W25" i="21"/>
  <c r="X25" i="21"/>
  <c r="Y25" i="21"/>
  <c r="Z25" i="21"/>
  <c r="AA25" i="21"/>
  <c r="AB25" i="21"/>
  <c r="AC25" i="21"/>
  <c r="AD25" i="21"/>
  <c r="AE25" i="21"/>
  <c r="AF25" i="21"/>
  <c r="AG25" i="21"/>
  <c r="AH25" i="21"/>
  <c r="AI25" i="21"/>
  <c r="AJ25" i="21"/>
  <c r="AK25" i="21"/>
  <c r="AL25" i="21"/>
  <c r="AM25" i="21"/>
  <c r="AN25" i="21"/>
  <c r="AO25" i="21"/>
  <c r="AP25" i="21"/>
  <c r="AQ25" i="21"/>
  <c r="AR25" i="21"/>
  <c r="AS25" i="21"/>
  <c r="AT25" i="21"/>
  <c r="AU25" i="21"/>
  <c r="AV25" i="21"/>
  <c r="AW25" i="21"/>
  <c r="AX25" i="21"/>
  <c r="AY25" i="21"/>
  <c r="AZ25" i="21"/>
  <c r="BA25" i="21"/>
  <c r="BB25" i="21"/>
  <c r="D25" i="21"/>
  <c r="BD22" i="13" l="1"/>
  <c r="BC22" i="13"/>
  <c r="BB22" i="13"/>
  <c r="BA22" i="13"/>
  <c r="AZ22" i="13"/>
  <c r="AY22" i="13"/>
  <c r="AX22" i="13"/>
  <c r="AW22" i="13"/>
  <c r="AV22" i="13"/>
  <c r="AU22" i="13"/>
  <c r="AT22" i="13"/>
  <c r="AS22" i="13"/>
  <c r="AR22" i="13"/>
  <c r="AQ22" i="13"/>
  <c r="AP22" i="13"/>
  <c r="AO22" i="13"/>
  <c r="AN22" i="13"/>
  <c r="AM22" i="13"/>
  <c r="AL22" i="13"/>
  <c r="AK22" i="13"/>
  <c r="AJ22" i="13"/>
  <c r="AI22" i="13"/>
  <c r="AH22" i="13"/>
  <c r="AG22" i="13"/>
  <c r="AF22" i="13"/>
  <c r="AE22" i="13"/>
  <c r="AD22" i="13"/>
  <c r="AC22" i="13"/>
  <c r="AB22" i="13"/>
  <c r="AA22" i="13"/>
  <c r="Z22" i="13"/>
  <c r="Y22" i="13"/>
  <c r="X22" i="13"/>
  <c r="W22" i="13"/>
  <c r="V22" i="13"/>
  <c r="U22" i="13"/>
  <c r="T22" i="13"/>
  <c r="S22" i="13"/>
  <c r="R22" i="13"/>
  <c r="Q22" i="13"/>
  <c r="P22" i="13"/>
  <c r="O22" i="13"/>
  <c r="N22" i="13"/>
  <c r="M22" i="13"/>
  <c r="L22" i="13"/>
  <c r="K22" i="13"/>
  <c r="J22" i="13"/>
  <c r="I22" i="13"/>
  <c r="H22" i="13"/>
  <c r="G22" i="13"/>
  <c r="F22" i="13"/>
  <c r="E22" i="13"/>
  <c r="D22" i="13"/>
  <c r="E25" i="13"/>
  <c r="F25" i="13"/>
  <c r="G25" i="13"/>
  <c r="H25" i="13"/>
  <c r="I25" i="13"/>
  <c r="J25" i="13"/>
  <c r="K25" i="13"/>
  <c r="L25" i="13"/>
  <c r="M25" i="13"/>
  <c r="N25" i="13"/>
  <c r="O25" i="13"/>
  <c r="P25" i="13"/>
  <c r="Q25" i="13"/>
  <c r="R25" i="13"/>
  <c r="S25" i="13"/>
  <c r="T25" i="13"/>
  <c r="U25" i="13"/>
  <c r="V25" i="13"/>
  <c r="W25" i="13"/>
  <c r="X25" i="13"/>
  <c r="Y25" i="13"/>
  <c r="Z25" i="13"/>
  <c r="AA25" i="13"/>
  <c r="AB25" i="13"/>
  <c r="AC25" i="13"/>
  <c r="AD25" i="13"/>
  <c r="AE25" i="13"/>
  <c r="AF25" i="13"/>
  <c r="AG25" i="13"/>
  <c r="AH25" i="13"/>
  <c r="AI25" i="13"/>
  <c r="AJ25" i="13"/>
  <c r="AK25" i="13"/>
  <c r="AL25" i="13"/>
  <c r="AM25" i="13"/>
  <c r="AN25" i="13"/>
  <c r="AO25" i="13"/>
  <c r="AP25" i="13"/>
  <c r="AQ25" i="13"/>
  <c r="AR25" i="13"/>
  <c r="AS25" i="13"/>
  <c r="AT25" i="13"/>
  <c r="AU25" i="13"/>
  <c r="AV25" i="13"/>
  <c r="AW25" i="13"/>
  <c r="AX25" i="13"/>
  <c r="AY25" i="13"/>
  <c r="AZ25" i="13"/>
  <c r="BA25" i="13"/>
  <c r="BB25" i="13"/>
  <c r="BC25" i="13"/>
  <c r="BD25" i="13"/>
  <c r="D25" i="13"/>
  <c r="BD22" i="12"/>
  <c r="BC22" i="12"/>
  <c r="BB22" i="12"/>
  <c r="BA22" i="12"/>
  <c r="AZ22" i="12"/>
  <c r="AY22" i="12"/>
  <c r="AX22" i="12"/>
  <c r="AW22" i="12"/>
  <c r="AV22" i="12"/>
  <c r="AU22" i="12"/>
  <c r="AT22" i="12"/>
  <c r="AS22" i="12"/>
  <c r="AR22" i="12"/>
  <c r="AQ22" i="12"/>
  <c r="AP22" i="12"/>
  <c r="AO22" i="12"/>
  <c r="AN22" i="12"/>
  <c r="AM22" i="12"/>
  <c r="AL22" i="12"/>
  <c r="AK22" i="12"/>
  <c r="AJ22" i="12"/>
  <c r="AI22" i="12"/>
  <c r="AH22" i="12"/>
  <c r="AG22" i="12"/>
  <c r="AF22" i="12"/>
  <c r="AE22" i="12"/>
  <c r="AD22" i="12"/>
  <c r="AC22" i="12"/>
  <c r="AB22" i="12"/>
  <c r="AA22" i="12"/>
  <c r="Z22" i="12"/>
  <c r="Y22" i="12"/>
  <c r="X22" i="12"/>
  <c r="W22" i="12"/>
  <c r="V22" i="12"/>
  <c r="U22" i="12"/>
  <c r="T22" i="12"/>
  <c r="S22" i="12"/>
  <c r="R22" i="12"/>
  <c r="Q22" i="12"/>
  <c r="P22" i="12"/>
  <c r="O22" i="12"/>
  <c r="N22" i="12"/>
  <c r="M22" i="12"/>
  <c r="L22" i="12"/>
  <c r="K22" i="12"/>
  <c r="J22" i="12"/>
  <c r="I22" i="12"/>
  <c r="H22" i="12"/>
  <c r="G22" i="12"/>
  <c r="F22" i="12"/>
  <c r="E22" i="12"/>
  <c r="D22" i="12"/>
  <c r="E25" i="12"/>
  <c r="F25" i="12"/>
  <c r="G25" i="12"/>
  <c r="H25" i="12"/>
  <c r="I25" i="12"/>
  <c r="J25" i="12"/>
  <c r="K25" i="12"/>
  <c r="L25" i="12"/>
  <c r="M25" i="12"/>
  <c r="N25" i="12"/>
  <c r="O25" i="12"/>
  <c r="P25" i="12"/>
  <c r="Q25" i="12"/>
  <c r="R25" i="12"/>
  <c r="S25" i="12"/>
  <c r="T25" i="12"/>
  <c r="U25" i="12"/>
  <c r="V25" i="12"/>
  <c r="W25" i="12"/>
  <c r="X25" i="12"/>
  <c r="Y25" i="12"/>
  <c r="Z25" i="12"/>
  <c r="AA25" i="12"/>
  <c r="AB25" i="12"/>
  <c r="AC25" i="12"/>
  <c r="AD25" i="12"/>
  <c r="AE25" i="12"/>
  <c r="AF25" i="12"/>
  <c r="AG25" i="12"/>
  <c r="AH25" i="12"/>
  <c r="AI25" i="12"/>
  <c r="AJ25" i="12"/>
  <c r="AK25" i="12"/>
  <c r="AL25" i="12"/>
  <c r="AM25" i="12"/>
  <c r="AN25" i="12"/>
  <c r="AO25" i="12"/>
  <c r="AP25" i="12"/>
  <c r="AQ25" i="12"/>
  <c r="AR25" i="12"/>
  <c r="AS25" i="12"/>
  <c r="AT25" i="12"/>
  <c r="AU25" i="12"/>
  <c r="AV25" i="12"/>
  <c r="AW25" i="12"/>
  <c r="AX25" i="12"/>
  <c r="AY25" i="12"/>
  <c r="AZ25" i="12"/>
  <c r="BA25" i="12"/>
  <c r="BB25" i="12"/>
  <c r="BD25" i="12"/>
  <c r="D25" i="12"/>
  <c r="BD19" i="10" l="1"/>
  <c r="BC19" i="10"/>
  <c r="BA19" i="10"/>
  <c r="BB19" i="10"/>
  <c r="AZ19" i="10"/>
  <c r="AY19" i="10"/>
  <c r="AX19" i="10"/>
  <c r="AW19" i="10"/>
  <c r="AV19" i="10"/>
  <c r="AU19" i="10"/>
  <c r="AT19" i="10"/>
  <c r="AS19" i="10"/>
  <c r="AR19" i="10"/>
  <c r="AQ19" i="10"/>
  <c r="AP19" i="10"/>
  <c r="AO19" i="10"/>
  <c r="AN19" i="10"/>
  <c r="AM19" i="10"/>
  <c r="AL19" i="10"/>
  <c r="AK19" i="10"/>
  <c r="AJ19" i="10"/>
  <c r="AI19" i="10"/>
  <c r="AH19" i="10"/>
  <c r="AG19" i="10"/>
  <c r="AF19" i="10"/>
  <c r="AE19" i="10"/>
  <c r="AD19" i="10"/>
  <c r="AC19" i="10"/>
  <c r="AB19" i="10"/>
  <c r="AA19" i="10"/>
  <c r="Z19" i="10"/>
  <c r="Y19" i="10"/>
  <c r="X19" i="10"/>
  <c r="W19" i="10"/>
  <c r="V19" i="10"/>
  <c r="U19" i="10"/>
  <c r="T19" i="10"/>
  <c r="S19" i="10"/>
  <c r="R19" i="10"/>
  <c r="Q19" i="10"/>
  <c r="P19" i="10"/>
  <c r="O19" i="10"/>
  <c r="N19" i="10"/>
  <c r="M19" i="10"/>
  <c r="L19" i="10"/>
  <c r="K19" i="10"/>
  <c r="J19" i="10"/>
  <c r="I19" i="10"/>
  <c r="H19" i="10"/>
  <c r="G19" i="10"/>
  <c r="F19" i="10"/>
  <c r="E19" i="10"/>
  <c r="D19" i="10"/>
  <c r="E22" i="10"/>
  <c r="F22" i="10"/>
  <c r="G22" i="10"/>
  <c r="H22" i="10"/>
  <c r="I22" i="10"/>
  <c r="J22" i="10"/>
  <c r="K22" i="10"/>
  <c r="L22" i="10"/>
  <c r="M22" i="10"/>
  <c r="N22" i="10"/>
  <c r="O22" i="10"/>
  <c r="P22" i="10"/>
  <c r="Q22" i="10"/>
  <c r="R22" i="10"/>
  <c r="S22" i="10"/>
  <c r="T22" i="10"/>
  <c r="U22" i="10"/>
  <c r="V22" i="10"/>
  <c r="W22" i="10"/>
  <c r="X22" i="10"/>
  <c r="Y22" i="10"/>
  <c r="Z22" i="10"/>
  <c r="AA22" i="10"/>
  <c r="AB22" i="10"/>
  <c r="AC22" i="10"/>
  <c r="AD22" i="10"/>
  <c r="AE22" i="10"/>
  <c r="AF22" i="10"/>
  <c r="AG22" i="10"/>
  <c r="AH22" i="10"/>
  <c r="AI22" i="10"/>
  <c r="AJ22" i="10"/>
  <c r="AK22" i="10"/>
  <c r="AL22" i="10"/>
  <c r="AM22" i="10"/>
  <c r="AN22" i="10"/>
  <c r="AO22" i="10"/>
  <c r="AP22" i="10"/>
  <c r="AQ22" i="10"/>
  <c r="AR22" i="10"/>
  <c r="AS22" i="10"/>
  <c r="AT22" i="10"/>
  <c r="AU22" i="10"/>
  <c r="AV22" i="10"/>
  <c r="AW22" i="10"/>
  <c r="AX22" i="10"/>
  <c r="AY22" i="10"/>
  <c r="AZ22" i="10"/>
  <c r="BA22" i="10"/>
  <c r="BB22" i="10"/>
  <c r="BC22" i="10"/>
  <c r="D22" i="10"/>
  <c r="BD18" i="9"/>
  <c r="BC18" i="9"/>
  <c r="BB18" i="9"/>
  <c r="BA18" i="9"/>
  <c r="AZ18" i="9"/>
  <c r="AY18" i="9"/>
  <c r="AX18" i="9"/>
  <c r="AW18" i="9"/>
  <c r="AV18" i="9"/>
  <c r="AU18" i="9"/>
  <c r="AT18" i="9"/>
  <c r="AS18" i="9"/>
  <c r="AR18" i="9"/>
  <c r="AQ18" i="9"/>
  <c r="AP18" i="9"/>
  <c r="AO18" i="9"/>
  <c r="AN18" i="9"/>
  <c r="AM18" i="9"/>
  <c r="AL18" i="9"/>
  <c r="AK18" i="9"/>
  <c r="AJ18" i="9"/>
  <c r="AI18" i="9"/>
  <c r="AH18" i="9"/>
  <c r="AG18" i="9"/>
  <c r="AF18" i="9"/>
  <c r="AE18" i="9"/>
  <c r="AD18" i="9"/>
  <c r="AC18" i="9"/>
  <c r="AB18" i="9"/>
  <c r="AA18" i="9"/>
  <c r="Z18" i="9"/>
  <c r="Y18" i="9"/>
  <c r="X18" i="9"/>
  <c r="W18" i="9"/>
  <c r="V18" i="9"/>
  <c r="U18" i="9"/>
  <c r="T18" i="9"/>
  <c r="S18" i="9"/>
  <c r="R18" i="9"/>
  <c r="Q18" i="9"/>
  <c r="P18" i="9"/>
  <c r="O18" i="9"/>
  <c r="N18" i="9"/>
  <c r="M18" i="9"/>
  <c r="L18" i="9"/>
  <c r="K18" i="9"/>
  <c r="J18" i="9"/>
  <c r="I18" i="9"/>
  <c r="H18" i="9"/>
  <c r="G18" i="9"/>
  <c r="F18" i="9"/>
  <c r="E18" i="9"/>
  <c r="D18" i="9"/>
  <c r="E21" i="9"/>
  <c r="F21" i="9"/>
  <c r="G21" i="9"/>
  <c r="H21" i="9"/>
  <c r="I21" i="9"/>
  <c r="J21" i="9"/>
  <c r="K21" i="9"/>
  <c r="L21" i="9"/>
  <c r="M21" i="9"/>
  <c r="N21" i="9"/>
  <c r="O21" i="9"/>
  <c r="P21" i="9"/>
  <c r="Q21" i="9"/>
  <c r="R21" i="9"/>
  <c r="S21" i="9"/>
  <c r="T21" i="9"/>
  <c r="U21" i="9"/>
  <c r="V21" i="9"/>
  <c r="W21" i="9"/>
  <c r="X21" i="9"/>
  <c r="Y21" i="9"/>
  <c r="Z21" i="9"/>
  <c r="AA21" i="9"/>
  <c r="AB21" i="9"/>
  <c r="AC21" i="9"/>
  <c r="AD21" i="9"/>
  <c r="AE21" i="9"/>
  <c r="AF21" i="9"/>
  <c r="AG21" i="9"/>
  <c r="AH21" i="9"/>
  <c r="AI21" i="9"/>
  <c r="AJ21" i="9"/>
  <c r="AK21" i="9"/>
  <c r="AL21" i="9"/>
  <c r="AM21" i="9"/>
  <c r="AN21" i="9"/>
  <c r="AO21" i="9"/>
  <c r="AP21" i="9"/>
  <c r="AQ21" i="9"/>
  <c r="AR21" i="9"/>
  <c r="AS21" i="9"/>
  <c r="AT21" i="9"/>
  <c r="AU21" i="9"/>
  <c r="AV21" i="9"/>
  <c r="AW21" i="9"/>
  <c r="AX21" i="9"/>
  <c r="AY21" i="9"/>
  <c r="AZ21" i="9"/>
  <c r="BA21" i="9"/>
  <c r="BB21" i="9"/>
  <c r="BC21" i="9"/>
  <c r="D21" i="9"/>
  <c r="E25" i="8"/>
  <c r="F25" i="8"/>
  <c r="G25" i="8"/>
  <c r="H25" i="8"/>
  <c r="I25" i="8"/>
  <c r="J25" i="8"/>
  <c r="K25" i="8"/>
  <c r="L25" i="8"/>
  <c r="M25" i="8"/>
  <c r="N25" i="8"/>
  <c r="O25" i="8"/>
  <c r="P25" i="8"/>
  <c r="Q25" i="8"/>
  <c r="R25" i="8"/>
  <c r="S25" i="8"/>
  <c r="T25" i="8"/>
  <c r="U25" i="8"/>
  <c r="V25" i="8"/>
  <c r="W25" i="8"/>
  <c r="X25" i="8"/>
  <c r="Y25" i="8"/>
  <c r="Z25" i="8"/>
  <c r="AA25" i="8"/>
  <c r="AB25" i="8"/>
  <c r="AC25" i="8"/>
  <c r="AD25" i="8"/>
  <c r="AE25" i="8"/>
  <c r="AF25" i="8"/>
  <c r="AG25" i="8"/>
  <c r="AH25" i="8"/>
  <c r="AI25" i="8"/>
  <c r="AJ25" i="8"/>
  <c r="AK25" i="8"/>
  <c r="AL25" i="8"/>
  <c r="AM25" i="8"/>
  <c r="AN25" i="8"/>
  <c r="AO25" i="8"/>
  <c r="AP25" i="8"/>
  <c r="AQ25" i="8"/>
  <c r="AR25" i="8"/>
  <c r="AS25" i="8"/>
  <c r="AT25" i="8"/>
  <c r="AU25" i="8"/>
  <c r="AV25" i="8"/>
  <c r="AW25" i="8"/>
  <c r="AX25" i="8"/>
  <c r="AY25" i="8"/>
  <c r="AZ25" i="8"/>
  <c r="BA25" i="8"/>
  <c r="BB25" i="8"/>
  <c r="BC25" i="8"/>
  <c r="BD22" i="8"/>
  <c r="BC22" i="8"/>
  <c r="BB22" i="8"/>
  <c r="BA22" i="8"/>
  <c r="AZ22" i="8"/>
  <c r="AY22" i="8"/>
  <c r="AX22" i="8"/>
  <c r="AW22" i="8"/>
  <c r="AV22" i="8"/>
  <c r="AU22" i="8"/>
  <c r="AT22" i="8"/>
  <c r="AS22" i="8"/>
  <c r="AR22" i="8"/>
  <c r="AQ22" i="8"/>
  <c r="AP22" i="8"/>
  <c r="AO22" i="8"/>
  <c r="AN22" i="8"/>
  <c r="AM22" i="8"/>
  <c r="AL22" i="8"/>
  <c r="AK22" i="8"/>
  <c r="AJ22" i="8"/>
  <c r="AI22" i="8"/>
  <c r="AH22" i="8"/>
  <c r="AG22" i="8"/>
  <c r="AF22" i="8"/>
  <c r="AE22" i="8"/>
  <c r="AD22" i="8"/>
  <c r="AC22" i="8"/>
  <c r="AB22" i="8"/>
  <c r="AA22" i="8"/>
  <c r="Z22" i="8"/>
  <c r="Y22" i="8"/>
  <c r="X22" i="8"/>
  <c r="W22" i="8"/>
  <c r="V22" i="8"/>
  <c r="U22" i="8"/>
  <c r="T22" i="8"/>
  <c r="S22" i="8"/>
  <c r="R22" i="8"/>
  <c r="Q22" i="8"/>
  <c r="P22" i="8"/>
  <c r="O22" i="8"/>
  <c r="N22" i="8"/>
  <c r="M22" i="8"/>
  <c r="L22" i="8"/>
  <c r="K22" i="8"/>
  <c r="J22" i="8"/>
  <c r="I22" i="8"/>
  <c r="H22" i="8"/>
  <c r="G22" i="8"/>
  <c r="F22" i="8"/>
  <c r="E22" i="8"/>
  <c r="D22" i="8"/>
  <c r="D25" i="8"/>
  <c r="BD21" i="6" l="1"/>
  <c r="BC21" i="6"/>
  <c r="BB21" i="6"/>
  <c r="BA21" i="6"/>
  <c r="AZ21" i="6"/>
  <c r="AY21" i="6"/>
  <c r="AX21" i="6"/>
  <c r="AW21" i="6"/>
  <c r="AV21" i="6"/>
  <c r="AU21" i="6"/>
  <c r="AT21" i="6"/>
  <c r="AS21" i="6"/>
  <c r="AR21" i="6"/>
  <c r="AQ21" i="6"/>
  <c r="AP21" i="6"/>
  <c r="AO21" i="6"/>
  <c r="AN21" i="6"/>
  <c r="AM21" i="6"/>
  <c r="AL21" i="6"/>
  <c r="AK21" i="6"/>
  <c r="AJ21" i="6"/>
  <c r="AI21" i="6"/>
  <c r="AH21" i="6"/>
  <c r="AG21" i="6"/>
  <c r="AF21" i="6"/>
  <c r="AE21" i="6"/>
  <c r="AD21" i="6"/>
  <c r="AC21" i="6"/>
  <c r="AB21" i="6"/>
  <c r="AA21" i="6"/>
  <c r="Z21" i="6"/>
  <c r="Y21" i="6"/>
  <c r="X21" i="6"/>
  <c r="W21" i="6"/>
  <c r="V21" i="6"/>
  <c r="U21" i="6"/>
  <c r="T21" i="6"/>
  <c r="S21" i="6"/>
  <c r="R21" i="6"/>
  <c r="Q21" i="6"/>
  <c r="P21" i="6"/>
  <c r="O21" i="6"/>
  <c r="N21" i="6"/>
  <c r="M21" i="6"/>
  <c r="L21" i="6"/>
  <c r="K21" i="6"/>
  <c r="J21" i="6"/>
  <c r="I21" i="6"/>
  <c r="H21" i="6"/>
  <c r="G21" i="6"/>
  <c r="F21" i="6"/>
  <c r="E21" i="6"/>
  <c r="D21" i="6"/>
  <c r="E24" i="6"/>
  <c r="F24" i="6"/>
  <c r="G24" i="6"/>
  <c r="H24" i="6"/>
  <c r="I24" i="6"/>
  <c r="J24" i="6"/>
  <c r="K24" i="6"/>
  <c r="L24" i="6"/>
  <c r="M24" i="6"/>
  <c r="N24" i="6"/>
  <c r="O24" i="6"/>
  <c r="P24" i="6"/>
  <c r="Q24" i="6"/>
  <c r="R24" i="6"/>
  <c r="S24" i="6"/>
  <c r="T24" i="6"/>
  <c r="U24" i="6"/>
  <c r="V24" i="6"/>
  <c r="W24" i="6"/>
  <c r="X24" i="6"/>
  <c r="Y24" i="6"/>
  <c r="Z24" i="6"/>
  <c r="AA24" i="6"/>
  <c r="AB24" i="6"/>
  <c r="AC24" i="6"/>
  <c r="AD24" i="6"/>
  <c r="AE24" i="6"/>
  <c r="AF24" i="6"/>
  <c r="AG24" i="6"/>
  <c r="AH24" i="6"/>
  <c r="AI24" i="6"/>
  <c r="AJ24" i="6"/>
  <c r="AK24" i="6"/>
  <c r="AL24" i="6"/>
  <c r="AM24" i="6"/>
  <c r="AN24" i="6"/>
  <c r="AO24" i="6"/>
  <c r="AP24" i="6"/>
  <c r="AQ24" i="6"/>
  <c r="AR24" i="6"/>
  <c r="AS24" i="6"/>
  <c r="AT24" i="6"/>
  <c r="AU24" i="6"/>
  <c r="AV24" i="6"/>
  <c r="AW24" i="6"/>
  <c r="AX24" i="6"/>
  <c r="AY24" i="6"/>
  <c r="AZ24" i="6"/>
  <c r="BA24" i="6"/>
  <c r="BB24" i="6"/>
  <c r="BC24" i="6"/>
  <c r="D24" i="6"/>
  <c r="BD18" i="5"/>
  <c r="BC18" i="5"/>
  <c r="BB18" i="5"/>
  <c r="BA18" i="5"/>
  <c r="AZ18" i="5"/>
  <c r="AY18" i="5"/>
  <c r="AX18" i="5"/>
  <c r="AW18" i="5"/>
  <c r="AV18" i="5"/>
  <c r="AU18" i="5"/>
  <c r="AT18" i="5"/>
  <c r="AS18" i="5"/>
  <c r="AR18" i="5"/>
  <c r="AQ18" i="5"/>
  <c r="AP18" i="5"/>
  <c r="AO18" i="5"/>
  <c r="AN18" i="5"/>
  <c r="AM18" i="5"/>
  <c r="AL18" i="5"/>
  <c r="AK18" i="5"/>
  <c r="AJ18" i="5"/>
  <c r="AI18" i="5"/>
  <c r="AH18" i="5"/>
  <c r="AG18" i="5"/>
  <c r="AF18" i="5"/>
  <c r="AE18" i="5"/>
  <c r="AD18" i="5"/>
  <c r="AC18" i="5"/>
  <c r="AB18" i="5"/>
  <c r="AA18" i="5"/>
  <c r="Z18" i="5"/>
  <c r="Y18" i="5"/>
  <c r="X18" i="5"/>
  <c r="W18" i="5"/>
  <c r="V18" i="5"/>
  <c r="U18" i="5"/>
  <c r="T18" i="5"/>
  <c r="S18" i="5"/>
  <c r="R18" i="5"/>
  <c r="Q18" i="5"/>
  <c r="P18" i="5"/>
  <c r="O18" i="5"/>
  <c r="N18" i="5"/>
  <c r="M18" i="5"/>
  <c r="L18" i="5"/>
  <c r="K18" i="5"/>
  <c r="J18" i="5"/>
  <c r="I18" i="5"/>
  <c r="H18" i="5"/>
  <c r="G18" i="5"/>
  <c r="F18" i="5"/>
  <c r="E18" i="5"/>
  <c r="D18" i="5"/>
  <c r="E25" i="5"/>
  <c r="F25" i="5"/>
  <c r="G25" i="5"/>
  <c r="H25" i="5"/>
  <c r="I25" i="5"/>
  <c r="J25" i="5"/>
  <c r="K25" i="5"/>
  <c r="L25" i="5"/>
  <c r="M25" i="5"/>
  <c r="N25" i="5"/>
  <c r="O25" i="5"/>
  <c r="P25" i="5"/>
  <c r="Q25" i="5"/>
  <c r="R25" i="5"/>
  <c r="S25" i="5"/>
  <c r="T25" i="5"/>
  <c r="U25" i="5"/>
  <c r="V25" i="5"/>
  <c r="W25" i="5"/>
  <c r="X25" i="5"/>
  <c r="Y25" i="5"/>
  <c r="Z25" i="5"/>
  <c r="AA25" i="5"/>
  <c r="AB25" i="5"/>
  <c r="AC25" i="5"/>
  <c r="AD25" i="5"/>
  <c r="AE25" i="5"/>
  <c r="AF25" i="5"/>
  <c r="AG25" i="5"/>
  <c r="AH25" i="5"/>
  <c r="AI25" i="5"/>
  <c r="AJ25" i="5"/>
  <c r="AK25" i="5"/>
  <c r="AL25" i="5"/>
  <c r="AM25" i="5"/>
  <c r="AN25" i="5"/>
  <c r="AO25" i="5"/>
  <c r="AP25" i="5"/>
  <c r="AQ25" i="5"/>
  <c r="AR25" i="5"/>
  <c r="AS25" i="5"/>
  <c r="AT25" i="5"/>
  <c r="AU25" i="5"/>
  <c r="AV25" i="5"/>
  <c r="AW25" i="5"/>
  <c r="AX25" i="5"/>
  <c r="AY25" i="5"/>
  <c r="AZ25" i="5"/>
  <c r="BA25" i="5"/>
  <c r="BB25" i="5"/>
  <c r="BC25" i="5"/>
  <c r="D25" i="5"/>
  <c r="E18" i="4"/>
  <c r="F18" i="4"/>
  <c r="G18" i="4"/>
  <c r="H18" i="4"/>
  <c r="I18" i="4"/>
  <c r="J18" i="4"/>
  <c r="K18" i="4"/>
  <c r="L18" i="4"/>
  <c r="M18" i="4"/>
  <c r="N18" i="4"/>
  <c r="O18" i="4"/>
  <c r="P18" i="4"/>
  <c r="Q18" i="4"/>
  <c r="R18" i="4"/>
  <c r="S18" i="4"/>
  <c r="T18" i="4"/>
  <c r="U18" i="4"/>
  <c r="V18" i="4"/>
  <c r="W18" i="4"/>
  <c r="X18" i="4"/>
  <c r="Y18" i="4"/>
  <c r="Z18" i="4"/>
  <c r="AA18" i="4"/>
  <c r="AB18" i="4"/>
  <c r="AC18" i="4"/>
  <c r="AD18" i="4"/>
  <c r="AE18" i="4"/>
  <c r="AF18" i="4"/>
  <c r="AG18" i="4"/>
  <c r="AH18" i="4"/>
  <c r="AI18" i="4"/>
  <c r="AJ18" i="4"/>
  <c r="AK18" i="4"/>
  <c r="AL18" i="4"/>
  <c r="AM18" i="4"/>
  <c r="AN18" i="4"/>
  <c r="AO18" i="4"/>
  <c r="AP18" i="4"/>
  <c r="AQ18" i="4"/>
  <c r="AR18" i="4"/>
  <c r="AS18" i="4"/>
  <c r="AT18" i="4"/>
  <c r="AU18" i="4"/>
  <c r="AV18" i="4"/>
  <c r="AW18" i="4"/>
  <c r="AX18" i="4"/>
  <c r="AY18" i="4"/>
  <c r="AZ18" i="4"/>
  <c r="BA18" i="4"/>
  <c r="BB18" i="4"/>
  <c r="D18" i="4"/>
  <c r="BD22" i="2"/>
  <c r="BC22" i="2"/>
  <c r="BB22" i="2"/>
  <c r="BB25" i="2" s="1"/>
  <c r="BA22" i="2"/>
  <c r="AZ22" i="2"/>
  <c r="AZ25" i="2" s="1"/>
  <c r="AY22" i="2"/>
  <c r="AX22" i="2"/>
  <c r="AX25" i="2" s="1"/>
  <c r="AW22" i="2"/>
  <c r="AV22" i="2"/>
  <c r="AV25" i="2" s="1"/>
  <c r="AU22" i="2"/>
  <c r="AT22" i="2"/>
  <c r="AT25" i="2" s="1"/>
  <c r="AS22" i="2"/>
  <c r="AR22" i="2"/>
  <c r="AR25" i="2" s="1"/>
  <c r="AQ22" i="2"/>
  <c r="AP22" i="2"/>
  <c r="AP25" i="2" s="1"/>
  <c r="AO22" i="2"/>
  <c r="AN22" i="2"/>
  <c r="AN25" i="2" s="1"/>
  <c r="AM22" i="2"/>
  <c r="AL22" i="2"/>
  <c r="AL25" i="2" s="1"/>
  <c r="AK22" i="2"/>
  <c r="AJ22" i="2"/>
  <c r="AJ25" i="2" s="1"/>
  <c r="AI22" i="2"/>
  <c r="AH22" i="2"/>
  <c r="AH25" i="2" s="1"/>
  <c r="AG22" i="2"/>
  <c r="AF22" i="2"/>
  <c r="AF25" i="2" s="1"/>
  <c r="AE22" i="2"/>
  <c r="AD22" i="2"/>
  <c r="AD25" i="2" s="1"/>
  <c r="AC22" i="2"/>
  <c r="AB22" i="2"/>
  <c r="AB25" i="2" s="1"/>
  <c r="AA22" i="2"/>
  <c r="Z22" i="2"/>
  <c r="Z25" i="2" s="1"/>
  <c r="Y22" i="2"/>
  <c r="X22" i="2"/>
  <c r="X25" i="2" s="1"/>
  <c r="W22" i="2"/>
  <c r="V22" i="2"/>
  <c r="V25" i="2" s="1"/>
  <c r="U22" i="2"/>
  <c r="T22" i="2"/>
  <c r="T25" i="2" s="1"/>
  <c r="S22" i="2"/>
  <c r="R22" i="2"/>
  <c r="R25" i="2" s="1"/>
  <c r="Q22" i="2"/>
  <c r="P22" i="2"/>
  <c r="P25" i="2" s="1"/>
  <c r="O22" i="2"/>
  <c r="N22" i="2"/>
  <c r="N25" i="2" s="1"/>
  <c r="M22" i="2"/>
  <c r="L22" i="2"/>
  <c r="L25" i="2" s="1"/>
  <c r="K22" i="2"/>
  <c r="J22" i="2"/>
  <c r="J25" i="2" s="1"/>
  <c r="I22" i="2"/>
  <c r="H22" i="2"/>
  <c r="H25" i="2" s="1"/>
  <c r="G22" i="2"/>
  <c r="F22" i="2"/>
  <c r="F25" i="2" s="1"/>
  <c r="G25" i="2"/>
  <c r="I25" i="2"/>
  <c r="K25" i="2"/>
  <c r="M25" i="2"/>
  <c r="O25" i="2"/>
  <c r="Q25" i="2"/>
  <c r="S25" i="2"/>
  <c r="U25" i="2"/>
  <c r="W25" i="2"/>
  <c r="Y25" i="2"/>
  <c r="AA25" i="2"/>
  <c r="AC25" i="2"/>
  <c r="AE25" i="2"/>
  <c r="AG25" i="2"/>
  <c r="AI25" i="2"/>
  <c r="AK25" i="2"/>
  <c r="AM25" i="2"/>
  <c r="AO25" i="2"/>
  <c r="AQ25" i="2"/>
  <c r="AS25" i="2"/>
  <c r="AU25" i="2"/>
  <c r="AW25" i="2"/>
  <c r="AY25" i="2"/>
  <c r="BA25" i="2"/>
  <c r="E22" i="2"/>
  <c r="E25" i="2" s="1"/>
  <c r="D22" i="2"/>
  <c r="D25" i="2" s="1"/>
  <c r="BD22" i="3"/>
  <c r="BC22" i="3"/>
  <c r="BB22" i="3"/>
  <c r="BA22" i="3"/>
  <c r="AZ22" i="3"/>
  <c r="AY22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Z22" i="3"/>
  <c r="Y22" i="3"/>
  <c r="X22" i="3"/>
  <c r="W22" i="3"/>
  <c r="V22" i="3"/>
  <c r="U22" i="3"/>
  <c r="T22" i="3"/>
  <c r="S22" i="3"/>
  <c r="R22" i="3"/>
  <c r="Q22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BC15" i="16"/>
  <c r="BC14" i="16"/>
  <c r="BC27" i="16"/>
  <c r="BC26" i="16"/>
  <c r="BD25" i="16"/>
  <c r="BC25" i="16"/>
  <c r="BC28" i="16" s="1"/>
  <c r="AB17" i="15"/>
  <c r="AB16" i="15"/>
  <c r="AB6" i="15"/>
  <c r="AB7" i="15" s="1"/>
  <c r="AB9" i="15"/>
  <c r="AC8" i="15"/>
  <c r="AB8" i="15"/>
  <c r="AB10" i="15" s="1"/>
  <c r="AB13" i="15"/>
  <c r="AB12" i="15"/>
  <c r="AC11" i="15"/>
  <c r="AB11" i="15"/>
  <c r="AB14" i="15" s="1"/>
  <c r="AB21" i="15"/>
  <c r="AB20" i="15"/>
  <c r="AC19" i="15"/>
  <c r="AB19" i="15"/>
  <c r="AB22" i="15" s="1"/>
  <c r="BC8" i="14"/>
  <c r="BC7" i="14"/>
  <c r="BD6" i="14"/>
  <c r="BC6" i="14"/>
  <c r="BC9" i="14" s="1"/>
  <c r="BC23" i="14"/>
  <c r="BC22" i="14"/>
  <c r="BC12" i="14"/>
  <c r="BC11" i="14"/>
  <c r="BD10" i="14"/>
  <c r="BC10" i="14"/>
  <c r="BC19" i="14"/>
  <c r="BC18" i="14"/>
  <c r="BD17" i="14"/>
  <c r="BC17" i="14"/>
  <c r="BC20" i="14" s="1"/>
  <c r="BC15" i="14"/>
  <c r="BC14" i="14"/>
  <c r="BD13" i="14"/>
  <c r="BC13" i="14"/>
  <c r="BC16" i="14" s="1"/>
  <c r="BC26" i="14"/>
  <c r="BC27" i="14"/>
  <c r="BD25" i="14"/>
  <c r="BC25" i="14"/>
  <c r="BC28" i="14" s="1"/>
  <c r="BC8" i="13"/>
  <c r="BC7" i="13"/>
  <c r="BD6" i="13"/>
  <c r="BC6" i="13"/>
  <c r="BC9" i="13" s="1"/>
  <c r="BC12" i="13"/>
  <c r="BC11" i="13"/>
  <c r="BD10" i="13"/>
  <c r="BC10" i="13"/>
  <c r="BC13" i="13" s="1"/>
  <c r="BC23" i="13"/>
  <c r="BC20" i="13"/>
  <c r="BC19" i="13"/>
  <c r="BD18" i="13"/>
  <c r="BC18" i="13"/>
  <c r="BC21" i="13" s="1"/>
  <c r="BC16" i="13"/>
  <c r="BC15" i="13"/>
  <c r="BD14" i="13"/>
  <c r="BC14" i="13"/>
  <c r="BC17" i="13" s="1"/>
  <c r="BC28" i="13"/>
  <c r="BC27" i="13"/>
  <c r="BD26" i="13"/>
  <c r="BC26" i="13"/>
  <c r="BC29" i="13" s="1"/>
  <c r="BC24" i="14" l="1"/>
  <c r="BC25" i="12"/>
  <c r="BC20" i="12"/>
  <c r="BC19" i="12"/>
  <c r="BD18" i="12"/>
  <c r="BC18" i="12"/>
  <c r="BC21" i="12" s="1"/>
  <c r="BC8" i="12"/>
  <c r="BC7" i="12"/>
  <c r="BD6" i="12"/>
  <c r="BC6" i="12"/>
  <c r="BC9" i="12" s="1"/>
  <c r="BC12" i="12"/>
  <c r="BC11" i="12"/>
  <c r="BD10" i="12"/>
  <c r="BC10" i="12"/>
  <c r="BC13" i="12" s="1"/>
  <c r="BC16" i="12"/>
  <c r="BC15" i="12"/>
  <c r="BD14" i="12"/>
  <c r="BC14" i="12"/>
  <c r="BC17" i="12" s="1"/>
  <c r="BC28" i="12"/>
  <c r="BC27" i="12"/>
  <c r="BD26" i="12"/>
  <c r="BC26" i="12"/>
  <c r="BC29" i="12" s="1"/>
  <c r="BC7" i="10"/>
  <c r="BC6" i="10"/>
  <c r="BC8" i="10" s="1"/>
  <c r="BC11" i="10"/>
  <c r="BC10" i="10"/>
  <c r="BC21" i="10"/>
  <c r="BC20" i="10"/>
  <c r="BD9" i="10"/>
  <c r="BC9" i="10"/>
  <c r="BC12" i="10" s="1"/>
  <c r="BC17" i="10"/>
  <c r="BC15" i="10"/>
  <c r="BC14" i="10"/>
  <c r="BD13" i="10"/>
  <c r="BC13" i="10"/>
  <c r="BC16" i="10" s="1"/>
  <c r="BC24" i="10"/>
  <c r="BD23" i="10"/>
  <c r="BC23" i="10"/>
  <c r="BC26" i="10" s="1"/>
  <c r="BC8" i="9"/>
  <c r="BC7" i="9"/>
  <c r="BD6" i="9"/>
  <c r="BC6" i="9"/>
  <c r="BC9" i="9" s="1"/>
  <c r="BC12" i="9"/>
  <c r="BC11" i="9"/>
  <c r="BD10" i="9"/>
  <c r="BC10" i="9"/>
  <c r="BC13" i="9" s="1"/>
  <c r="BC16" i="9"/>
  <c r="BC15" i="9"/>
  <c r="BD14" i="9"/>
  <c r="BC14" i="9"/>
  <c r="BC17" i="9" s="1"/>
  <c r="BC8" i="8" l="1"/>
  <c r="BC7" i="8"/>
  <c r="BC12" i="8"/>
  <c r="BC11" i="8"/>
  <c r="BC20" i="8"/>
  <c r="BC16" i="8"/>
  <c r="BC15" i="8"/>
  <c r="BC28" i="8"/>
  <c r="BC27" i="8"/>
  <c r="BD6" i="8"/>
  <c r="BC6" i="8"/>
  <c r="BC9" i="8" s="1"/>
  <c r="BD10" i="8"/>
  <c r="BC10" i="8"/>
  <c r="BC13" i="8" s="1"/>
  <c r="BD18" i="8"/>
  <c r="BC18" i="8"/>
  <c r="BC21" i="8" s="1"/>
  <c r="BD14" i="8"/>
  <c r="BC14" i="8"/>
  <c r="BC17" i="8" s="1"/>
  <c r="BD26" i="8"/>
  <c r="BC26" i="8"/>
  <c r="BC29" i="8" s="1"/>
  <c r="BD15" i="4" l="1"/>
  <c r="BC15" i="4"/>
  <c r="BC20" i="1"/>
  <c r="BC19" i="1"/>
  <c r="BD10" i="1"/>
  <c r="BC10" i="1"/>
  <c r="BC8" i="6" l="1"/>
  <c r="BC7" i="6"/>
  <c r="BC11" i="6"/>
  <c r="BC23" i="6"/>
  <c r="BC22" i="6"/>
  <c r="BC19" i="6"/>
  <c r="BC18" i="6"/>
  <c r="BC15" i="6"/>
  <c r="BC14" i="6"/>
  <c r="BC27" i="6"/>
  <c r="BC26" i="6"/>
  <c r="BD6" i="6"/>
  <c r="BC6" i="6"/>
  <c r="BD10" i="6"/>
  <c r="BC10" i="6"/>
  <c r="BD17" i="6"/>
  <c r="BC17" i="6"/>
  <c r="BD13" i="6"/>
  <c r="BC13" i="6"/>
  <c r="BD25" i="6"/>
  <c r="BC25" i="6"/>
  <c r="BC28" i="6" l="1"/>
  <c r="BC16" i="6"/>
  <c r="BC20" i="6"/>
  <c r="BC9" i="6"/>
  <c r="BC8" i="5"/>
  <c r="BC7" i="5"/>
  <c r="BC12" i="5"/>
  <c r="BC11" i="5"/>
  <c r="BC24" i="5"/>
  <c r="BC23" i="5"/>
  <c r="BC20" i="5"/>
  <c r="BC19" i="5"/>
  <c r="BC16" i="5"/>
  <c r="BC15" i="5"/>
  <c r="BC28" i="5"/>
  <c r="BC27" i="5"/>
  <c r="BD6" i="5"/>
  <c r="BC6" i="5"/>
  <c r="BC9" i="5" s="1"/>
  <c r="BD10" i="5"/>
  <c r="BC10" i="5"/>
  <c r="BC13" i="5" s="1"/>
  <c r="BC21" i="5"/>
  <c r="BD14" i="5"/>
  <c r="BC14" i="5"/>
  <c r="BC17" i="5" s="1"/>
  <c r="BD26" i="5"/>
  <c r="BC26" i="5"/>
  <c r="BC29" i="5" s="1"/>
  <c r="BD9" i="4"/>
  <c r="BC9" i="4"/>
  <c r="BD19" i="4"/>
  <c r="BC19" i="4"/>
  <c r="BC7" i="4"/>
  <c r="BC6" i="4"/>
  <c r="BC11" i="4"/>
  <c r="BC10" i="4"/>
  <c r="BC17" i="4"/>
  <c r="BC16" i="4"/>
  <c r="BC13" i="4"/>
  <c r="BC21" i="4"/>
  <c r="BC20" i="4"/>
  <c r="BC8" i="3"/>
  <c r="BC7" i="3"/>
  <c r="BC12" i="3"/>
  <c r="BC11" i="3"/>
  <c r="BC24" i="3"/>
  <c r="BC25" i="3" s="1"/>
  <c r="BC20" i="3"/>
  <c r="BC19" i="3"/>
  <c r="BC16" i="3"/>
  <c r="BC15" i="3"/>
  <c r="BC28" i="3"/>
  <c r="BC27" i="3"/>
  <c r="BD6" i="3"/>
  <c r="BC6" i="3"/>
  <c r="BD10" i="3"/>
  <c r="BC10" i="3"/>
  <c r="BD18" i="3"/>
  <c r="BC18" i="3"/>
  <c r="BD14" i="3"/>
  <c r="BC14" i="3"/>
  <c r="BD26" i="3"/>
  <c r="BC26" i="3"/>
  <c r="BD6" i="2"/>
  <c r="BC6" i="2"/>
  <c r="BD10" i="2"/>
  <c r="BC10" i="2"/>
  <c r="BD18" i="2"/>
  <c r="BC18" i="2"/>
  <c r="BD14" i="2"/>
  <c r="BC14" i="2"/>
  <c r="BC26" i="2"/>
  <c r="BD26" i="2"/>
  <c r="BC8" i="2"/>
  <c r="BC7" i="2"/>
  <c r="BC12" i="2"/>
  <c r="BC11" i="2"/>
  <c r="BC24" i="2"/>
  <c r="BC23" i="2"/>
  <c r="BC20" i="2"/>
  <c r="BC16" i="2"/>
  <c r="BC15" i="2"/>
  <c r="BC28" i="2"/>
  <c r="BD6" i="1"/>
  <c r="BC6" i="1"/>
  <c r="BD22" i="1"/>
  <c r="BC22" i="1"/>
  <c r="BC16" i="1"/>
  <c r="BC15" i="1"/>
  <c r="BC11" i="1"/>
  <c r="BC24" i="1"/>
  <c r="BC12" i="1"/>
  <c r="BC8" i="1"/>
  <c r="BC7" i="1"/>
  <c r="BC25" i="2" l="1"/>
  <c r="BC21" i="2"/>
  <c r="BC18" i="4"/>
  <c r="BC22" i="4"/>
  <c r="BC12" i="4"/>
  <c r="BC29" i="3"/>
  <c r="BC17" i="3"/>
  <c r="BC21" i="3"/>
  <c r="BC13" i="3"/>
  <c r="BC9" i="3"/>
  <c r="BC17" i="2"/>
  <c r="BC13" i="2"/>
  <c r="BC9" i="2"/>
  <c r="BC29" i="2"/>
  <c r="BC13" i="1"/>
  <c r="BC9" i="1"/>
  <c r="BC25" i="1"/>
  <c r="BC28" i="1"/>
  <c r="BD18" i="1"/>
  <c r="BC18" i="1"/>
  <c r="BC21" i="1" s="1"/>
  <c r="BD14" i="1"/>
  <c r="BC14" i="1"/>
  <c r="BC17" i="1" s="1"/>
  <c r="BD26" i="1"/>
  <c r="BC26" i="1"/>
  <c r="BA161" i="19"/>
  <c r="AZ161" i="19"/>
  <c r="BB161" i="19" s="1"/>
  <c r="AY161" i="19"/>
  <c r="AX161" i="19"/>
  <c r="AW161" i="19"/>
  <c r="AV161" i="19"/>
  <c r="BA160" i="19"/>
  <c r="AZ160" i="19"/>
  <c r="BB160" i="19" s="1"/>
  <c r="AY160" i="19"/>
  <c r="AX160" i="19"/>
  <c r="AW160" i="19"/>
  <c r="AV160" i="19"/>
  <c r="BA159" i="19"/>
  <c r="AZ159" i="19"/>
  <c r="BB159" i="19" s="1"/>
  <c r="AY159" i="19"/>
  <c r="AX159" i="19"/>
  <c r="AW159" i="19"/>
  <c r="AV159" i="19"/>
  <c r="BA158" i="19"/>
  <c r="AZ158" i="19"/>
  <c r="BB158" i="19" s="1"/>
  <c r="AY158" i="19"/>
  <c r="AX158" i="19"/>
  <c r="AW158" i="19"/>
  <c r="AV158" i="19"/>
  <c r="BA157" i="19"/>
  <c r="AZ157" i="19"/>
  <c r="BB157" i="19" s="1"/>
  <c r="AY157" i="19"/>
  <c r="AX157" i="19"/>
  <c r="AW157" i="19"/>
  <c r="AV157" i="19"/>
  <c r="BA156" i="19"/>
  <c r="AZ156" i="19"/>
  <c r="BB156" i="19" s="1"/>
  <c r="AY156" i="19"/>
  <c r="AX156" i="19"/>
  <c r="AW156" i="19"/>
  <c r="AV156" i="19"/>
  <c r="BA155" i="19"/>
  <c r="AZ155" i="19"/>
  <c r="BB155" i="19" s="1"/>
  <c r="AY155" i="19"/>
  <c r="AX155" i="19"/>
  <c r="AW155" i="19"/>
  <c r="AV155" i="19"/>
  <c r="BA154" i="19"/>
  <c r="AZ154" i="19"/>
  <c r="BB154" i="19" s="1"/>
  <c r="AY154" i="19"/>
  <c r="AX154" i="19"/>
  <c r="AW154" i="19"/>
  <c r="AV154" i="19"/>
  <c r="BA153" i="19"/>
  <c r="AZ153" i="19"/>
  <c r="BB153" i="19" s="1"/>
  <c r="AY153" i="19"/>
  <c r="AX153" i="19"/>
  <c r="AW153" i="19"/>
  <c r="AV153" i="19"/>
  <c r="BA152" i="19"/>
  <c r="AZ152" i="19"/>
  <c r="BB152" i="19" s="1"/>
  <c r="AY152" i="19"/>
  <c r="AX152" i="19"/>
  <c r="AW152" i="19"/>
  <c r="AV152" i="19"/>
  <c r="AZ151" i="19"/>
  <c r="AY151" i="19"/>
  <c r="AX151" i="19"/>
  <c r="BB151" i="19" s="1"/>
  <c r="AW151" i="19"/>
  <c r="AV151" i="19"/>
  <c r="AU151" i="19"/>
  <c r="AY150" i="19"/>
  <c r="AX150" i="19"/>
  <c r="BB150" i="19" s="1"/>
  <c r="AW150" i="19"/>
  <c r="AV150" i="19"/>
  <c r="AU150" i="19"/>
  <c r="AZ149" i="19"/>
  <c r="AY149" i="19"/>
  <c r="AX149" i="19"/>
  <c r="BB149" i="19" s="1"/>
  <c r="AW149" i="19"/>
  <c r="AV149" i="19"/>
  <c r="AU149" i="19"/>
  <c r="AZ148" i="19"/>
  <c r="AY148" i="19"/>
  <c r="AX148" i="19"/>
  <c r="BB148" i="19" s="1"/>
  <c r="AW148" i="19"/>
  <c r="AV148" i="19"/>
  <c r="AU148" i="19"/>
  <c r="BA147" i="19"/>
  <c r="AZ147" i="19"/>
  <c r="BB147" i="19" s="1"/>
  <c r="AY147" i="19"/>
  <c r="AX147" i="19"/>
  <c r="AW147" i="19"/>
  <c r="AV147" i="19"/>
  <c r="BA146" i="19"/>
  <c r="AZ146" i="19"/>
  <c r="BB146" i="19" s="1"/>
  <c r="AY146" i="19"/>
  <c r="AX146" i="19"/>
  <c r="AW146" i="19"/>
  <c r="AV146" i="19"/>
  <c r="BA145" i="19"/>
  <c r="AZ145" i="19"/>
  <c r="BB145" i="19" s="1"/>
  <c r="AY145" i="19"/>
  <c r="AX145" i="19"/>
  <c r="AW145" i="19"/>
  <c r="AV145" i="19"/>
  <c r="BA144" i="19"/>
  <c r="AZ144" i="19"/>
  <c r="BB144" i="19" s="1"/>
  <c r="AY144" i="19"/>
  <c r="AX144" i="19"/>
  <c r="AW144" i="19"/>
  <c r="AV144" i="19"/>
  <c r="BA143" i="19"/>
  <c r="AZ143" i="19"/>
  <c r="BB143" i="19" s="1"/>
  <c r="AY143" i="19"/>
  <c r="AX143" i="19"/>
  <c r="AW143" i="19"/>
  <c r="AV143" i="19"/>
  <c r="BA142" i="19"/>
  <c r="AZ142" i="19"/>
  <c r="BB142" i="19" s="1"/>
  <c r="AY142" i="19"/>
  <c r="AX142" i="19"/>
  <c r="AW142" i="19"/>
  <c r="AV142" i="19"/>
  <c r="BA141" i="19"/>
  <c r="AZ141" i="19"/>
  <c r="BB141" i="19" s="1"/>
  <c r="AY141" i="19"/>
  <c r="AX141" i="19"/>
  <c r="AW141" i="19"/>
  <c r="AV141" i="19"/>
  <c r="BA140" i="19"/>
  <c r="AZ140" i="19"/>
  <c r="BB140" i="19" s="1"/>
  <c r="AY140" i="19"/>
  <c r="AX140" i="19"/>
  <c r="AW140" i="19"/>
  <c r="AV140" i="19"/>
  <c r="BA139" i="19"/>
  <c r="AZ139" i="19"/>
  <c r="BB139" i="19" s="1"/>
  <c r="AY139" i="19"/>
  <c r="AX139" i="19"/>
  <c r="AW139" i="19"/>
  <c r="AV139" i="19"/>
  <c r="BA138" i="19"/>
  <c r="AZ138" i="19"/>
  <c r="BB138" i="19" s="1"/>
  <c r="AY138" i="19"/>
  <c r="AX138" i="19"/>
  <c r="AW138" i="19"/>
  <c r="AV138" i="19"/>
  <c r="BA137" i="19"/>
  <c r="AZ137" i="19"/>
  <c r="BB137" i="19" s="1"/>
  <c r="AY137" i="19"/>
  <c r="AX137" i="19"/>
  <c r="AW137" i="19"/>
  <c r="AV137" i="19"/>
  <c r="BA136" i="19"/>
  <c r="AZ136" i="19"/>
  <c r="BB136" i="19" s="1"/>
  <c r="AY136" i="19"/>
  <c r="AX136" i="19"/>
  <c r="AW136" i="19"/>
  <c r="AV136" i="19"/>
  <c r="BA135" i="19"/>
  <c r="AZ135" i="19"/>
  <c r="BB135" i="19" s="1"/>
  <c r="AY135" i="19"/>
  <c r="AX135" i="19"/>
  <c r="AW135" i="19"/>
  <c r="AV135" i="19"/>
  <c r="BA134" i="19"/>
  <c r="AZ134" i="19"/>
  <c r="BB134" i="19" s="1"/>
  <c r="AY134" i="19"/>
  <c r="AX134" i="19"/>
  <c r="AW134" i="19"/>
  <c r="AV134" i="19"/>
  <c r="BA133" i="19"/>
  <c r="AZ133" i="19"/>
  <c r="BB133" i="19" s="1"/>
  <c r="AY133" i="19"/>
  <c r="AX133" i="19"/>
  <c r="AW133" i="19"/>
  <c r="AV133" i="19"/>
  <c r="BA132" i="19"/>
  <c r="AZ132" i="19"/>
  <c r="BB132" i="19" s="1"/>
  <c r="AY132" i="19"/>
  <c r="AX132" i="19"/>
  <c r="AW132" i="19"/>
  <c r="AV132" i="19"/>
  <c r="BA131" i="19"/>
  <c r="AZ131" i="19"/>
  <c r="BB131" i="19" s="1"/>
  <c r="AY131" i="19"/>
  <c r="AX131" i="19"/>
  <c r="AW131" i="19"/>
  <c r="AV131" i="19"/>
  <c r="BA130" i="19"/>
  <c r="AZ130" i="19"/>
  <c r="BB130" i="19" s="1"/>
  <c r="AY130" i="19"/>
  <c r="AX130" i="19"/>
  <c r="AW130" i="19"/>
  <c r="AV130" i="19"/>
  <c r="BA129" i="19"/>
  <c r="AZ129" i="19"/>
  <c r="BB129" i="19" s="1"/>
  <c r="AY129" i="19"/>
  <c r="AX129" i="19"/>
  <c r="AW129" i="19"/>
  <c r="AV129" i="19"/>
  <c r="BA128" i="19"/>
  <c r="AZ128" i="19"/>
  <c r="BB128" i="19" s="1"/>
  <c r="AY128" i="19"/>
  <c r="AX128" i="19"/>
  <c r="AW128" i="19"/>
  <c r="AV128" i="19"/>
  <c r="AZ127" i="19"/>
  <c r="AY127" i="19"/>
  <c r="AX127" i="19"/>
  <c r="BB127" i="19" s="1"/>
  <c r="AW127" i="19"/>
  <c r="AV127" i="19"/>
  <c r="AU127" i="19"/>
  <c r="AY126" i="19"/>
  <c r="AX126" i="19"/>
  <c r="BB126" i="19" s="1"/>
  <c r="AW126" i="19"/>
  <c r="AV126" i="19"/>
  <c r="AU126" i="19"/>
  <c r="AZ125" i="19"/>
  <c r="AY125" i="19"/>
  <c r="AX125" i="19"/>
  <c r="BB125" i="19" s="1"/>
  <c r="AW125" i="19"/>
  <c r="AV125" i="19"/>
  <c r="AU125" i="19"/>
  <c r="AZ124" i="19"/>
  <c r="AY124" i="19"/>
  <c r="AX124" i="19"/>
  <c r="BB124" i="19" s="1"/>
  <c r="AW124" i="19"/>
  <c r="AV124" i="19"/>
  <c r="AU124" i="19"/>
  <c r="BA123" i="19"/>
  <c r="AZ123" i="19"/>
  <c r="BB123" i="19" s="1"/>
  <c r="AY123" i="19"/>
  <c r="AX123" i="19"/>
  <c r="AW123" i="19"/>
  <c r="AV123" i="19"/>
  <c r="BA122" i="19"/>
  <c r="AZ122" i="19"/>
  <c r="BB122" i="19" s="1"/>
  <c r="AY122" i="19"/>
  <c r="AX122" i="19"/>
  <c r="AW122" i="19"/>
  <c r="AV122" i="19"/>
  <c r="BA121" i="19"/>
  <c r="AZ121" i="19"/>
  <c r="BB121" i="19" s="1"/>
  <c r="AY121" i="19"/>
  <c r="AX121" i="19"/>
  <c r="AW121" i="19"/>
  <c r="AV121" i="19"/>
  <c r="BA120" i="19"/>
  <c r="AZ120" i="19"/>
  <c r="BB120" i="19" s="1"/>
  <c r="AY120" i="19"/>
  <c r="AX120" i="19"/>
  <c r="AW120" i="19"/>
  <c r="AV120" i="19"/>
  <c r="BA119" i="19"/>
  <c r="AZ119" i="19"/>
  <c r="BB119" i="19" s="1"/>
  <c r="AY119" i="19"/>
  <c r="AX119" i="19"/>
  <c r="AW119" i="19"/>
  <c r="AV119" i="19"/>
  <c r="BA118" i="19"/>
  <c r="AZ118" i="19"/>
  <c r="BB118" i="19" s="1"/>
  <c r="AY118" i="19"/>
  <c r="AX118" i="19"/>
  <c r="AW118" i="19"/>
  <c r="AV118" i="19"/>
  <c r="BA117" i="19"/>
  <c r="AZ117" i="19"/>
  <c r="BB117" i="19" s="1"/>
  <c r="AY117" i="19"/>
  <c r="AX117" i="19"/>
  <c r="AW117" i="19"/>
  <c r="AV117" i="19"/>
  <c r="BA116" i="19"/>
  <c r="AZ116" i="19"/>
  <c r="BB116" i="19" s="1"/>
  <c r="AY116" i="19"/>
  <c r="AX116" i="19"/>
  <c r="AW116" i="19"/>
  <c r="AV116" i="19"/>
  <c r="BA115" i="19"/>
  <c r="AZ115" i="19"/>
  <c r="BB115" i="19" s="1"/>
  <c r="AY115" i="19"/>
  <c r="AX115" i="19"/>
  <c r="AW115" i="19"/>
  <c r="AV115" i="19"/>
  <c r="BA114" i="19"/>
  <c r="AZ114" i="19"/>
  <c r="BB114" i="19" s="1"/>
  <c r="AY114" i="19"/>
  <c r="AX114" i="19"/>
  <c r="AW114" i="19"/>
  <c r="AV114" i="19"/>
  <c r="BA113" i="19"/>
  <c r="AZ113" i="19"/>
  <c r="BB113" i="19" s="1"/>
  <c r="AY113" i="19"/>
  <c r="AX113" i="19"/>
  <c r="AW113" i="19"/>
  <c r="AV113" i="19"/>
  <c r="BA112" i="19"/>
  <c r="AZ112" i="19"/>
  <c r="BB112" i="19" s="1"/>
  <c r="AY112" i="19"/>
  <c r="AX112" i="19"/>
  <c r="AW112" i="19"/>
  <c r="AV112" i="19"/>
  <c r="BA111" i="19"/>
  <c r="AZ111" i="19"/>
  <c r="BB111" i="19" s="1"/>
  <c r="AY111" i="19"/>
  <c r="AX111" i="19"/>
  <c r="AW111" i="19"/>
  <c r="AV111" i="19"/>
  <c r="BA110" i="19"/>
  <c r="AZ110" i="19"/>
  <c r="BB110" i="19" s="1"/>
  <c r="AY110" i="19"/>
  <c r="AX110" i="19"/>
  <c r="AW110" i="19"/>
  <c r="AV110" i="19"/>
  <c r="BA109" i="19"/>
  <c r="AZ109" i="19"/>
  <c r="BB109" i="19" s="1"/>
  <c r="AY109" i="19"/>
  <c r="AX109" i="19"/>
  <c r="AW109" i="19"/>
  <c r="AV109" i="19"/>
  <c r="BA108" i="19"/>
  <c r="AZ108" i="19"/>
  <c r="BB108" i="19" s="1"/>
  <c r="AY108" i="19"/>
  <c r="AX108" i="19"/>
  <c r="AW108" i="19"/>
  <c r="AV108" i="19"/>
  <c r="BA107" i="19"/>
  <c r="AZ107" i="19"/>
  <c r="BB107" i="19" s="1"/>
  <c r="AY107" i="19"/>
  <c r="AX107" i="19"/>
  <c r="AW107" i="19"/>
  <c r="AV107" i="19"/>
  <c r="BA106" i="19"/>
  <c r="AZ106" i="19"/>
  <c r="BB106" i="19" s="1"/>
  <c r="AY106" i="19"/>
  <c r="AX106" i="19"/>
  <c r="AW106" i="19"/>
  <c r="AV106" i="19"/>
  <c r="BA105" i="19"/>
  <c r="AZ105" i="19"/>
  <c r="BB105" i="19" s="1"/>
  <c r="AY105" i="19"/>
  <c r="AX105" i="19"/>
  <c r="AW105" i="19"/>
  <c r="AV105" i="19"/>
  <c r="BA104" i="19"/>
  <c r="AZ104" i="19"/>
  <c r="BB104" i="19" s="1"/>
  <c r="AY104" i="19"/>
  <c r="AX104" i="19"/>
  <c r="AW104" i="19"/>
  <c r="AV104" i="19"/>
  <c r="BA103" i="19"/>
  <c r="AZ103" i="19"/>
  <c r="BB103" i="19" s="1"/>
  <c r="AY103" i="19"/>
  <c r="AX103" i="19"/>
  <c r="AW103" i="19"/>
  <c r="AV103" i="19"/>
  <c r="BA102" i="19"/>
  <c r="AZ102" i="19"/>
  <c r="BB102" i="19" s="1"/>
  <c r="AY102" i="19"/>
  <c r="AX102" i="19"/>
  <c r="AW102" i="19"/>
  <c r="AV102" i="19"/>
  <c r="BA101" i="19"/>
  <c r="AZ101" i="19"/>
  <c r="BB101" i="19" s="1"/>
  <c r="AY101" i="19"/>
  <c r="AX101" i="19"/>
  <c r="AW101" i="19"/>
  <c r="AV101" i="19"/>
  <c r="BA100" i="19"/>
  <c r="AZ100" i="19"/>
  <c r="BB100" i="19" s="1"/>
  <c r="AY100" i="19"/>
  <c r="AX100" i="19"/>
  <c r="AW100" i="19"/>
  <c r="AV100" i="19"/>
  <c r="BA99" i="19"/>
  <c r="AZ99" i="19"/>
  <c r="BB99" i="19" s="1"/>
  <c r="AY99" i="19"/>
  <c r="AX99" i="19"/>
  <c r="AW99" i="19"/>
  <c r="AV99" i="19"/>
  <c r="BA98" i="19"/>
  <c r="AZ98" i="19"/>
  <c r="BB98" i="19" s="1"/>
  <c r="AY98" i="19"/>
  <c r="AX98" i="19"/>
  <c r="AW98" i="19"/>
  <c r="AV98" i="19"/>
  <c r="BA97" i="19"/>
  <c r="AZ97" i="19"/>
  <c r="BB97" i="19" s="1"/>
  <c r="AY97" i="19"/>
  <c r="AX97" i="19"/>
  <c r="AW97" i="19"/>
  <c r="AV97" i="19"/>
  <c r="BA96" i="19"/>
  <c r="AZ96" i="19"/>
  <c r="BB96" i="19" s="1"/>
  <c r="AY96" i="19"/>
  <c r="AX96" i="19"/>
  <c r="AW96" i="19"/>
  <c r="AV96" i="19"/>
  <c r="BA95" i="19"/>
  <c r="AZ95" i="19"/>
  <c r="BB95" i="19" s="1"/>
  <c r="AY95" i="19"/>
  <c r="AX95" i="19"/>
  <c r="AW95" i="19"/>
  <c r="AV95" i="19"/>
  <c r="AZ94" i="19"/>
  <c r="AY94" i="19"/>
  <c r="AX94" i="19"/>
  <c r="BB94" i="19" s="1"/>
  <c r="AW94" i="19"/>
  <c r="AV94" i="19"/>
  <c r="AU94" i="19"/>
  <c r="AY93" i="19"/>
  <c r="AX93" i="19"/>
  <c r="BB93" i="19" s="1"/>
  <c r="AW93" i="19"/>
  <c r="AV93" i="19"/>
  <c r="AU93" i="19"/>
  <c r="AZ92" i="19"/>
  <c r="AY92" i="19"/>
  <c r="AX92" i="19"/>
  <c r="BB92" i="19" s="1"/>
  <c r="AW92" i="19"/>
  <c r="AV92" i="19"/>
  <c r="AU92" i="19"/>
  <c r="AZ91" i="19"/>
  <c r="AY91" i="19"/>
  <c r="AX91" i="19"/>
  <c r="BB91" i="19" s="1"/>
  <c r="AW91" i="19"/>
  <c r="AV91" i="19"/>
  <c r="AU91" i="19"/>
  <c r="BA90" i="19"/>
  <c r="AZ90" i="19"/>
  <c r="BB90" i="19" s="1"/>
  <c r="AY90" i="19"/>
  <c r="AX90" i="19"/>
  <c r="AW90" i="19"/>
  <c r="AV90" i="19"/>
  <c r="BA89" i="19"/>
  <c r="AZ89" i="19"/>
  <c r="BB89" i="19" s="1"/>
  <c r="AY89" i="19"/>
  <c r="AX89" i="19"/>
  <c r="AW89" i="19"/>
  <c r="AV89" i="19"/>
  <c r="BA88" i="19"/>
  <c r="AZ88" i="19"/>
  <c r="BB88" i="19" s="1"/>
  <c r="AY88" i="19"/>
  <c r="AX88" i="19"/>
  <c r="AW88" i="19"/>
  <c r="AV88" i="19"/>
  <c r="BA87" i="19"/>
  <c r="AZ87" i="19"/>
  <c r="BB87" i="19" s="1"/>
  <c r="AY87" i="19"/>
  <c r="AX87" i="19"/>
  <c r="AW87" i="19"/>
  <c r="AV87" i="19"/>
  <c r="BA86" i="19"/>
  <c r="AZ86" i="19"/>
  <c r="BB86" i="19" s="1"/>
  <c r="AY86" i="19"/>
  <c r="AX86" i="19"/>
  <c r="AW86" i="19"/>
  <c r="AV86" i="19"/>
  <c r="BA85" i="19"/>
  <c r="AZ85" i="19"/>
  <c r="BB85" i="19" s="1"/>
  <c r="AY85" i="19"/>
  <c r="AX85" i="19"/>
  <c r="AW85" i="19"/>
  <c r="AV85" i="19"/>
  <c r="BA84" i="19"/>
  <c r="AZ84" i="19"/>
  <c r="BB84" i="19" s="1"/>
  <c r="AY84" i="19"/>
  <c r="AX84" i="19"/>
  <c r="AW84" i="19"/>
  <c r="AV84" i="19"/>
  <c r="BA83" i="19"/>
  <c r="AZ83" i="19"/>
  <c r="BB83" i="19" s="1"/>
  <c r="AY83" i="19"/>
  <c r="AX83" i="19"/>
  <c r="AW83" i="19"/>
  <c r="AV83" i="19"/>
  <c r="BA82" i="19"/>
  <c r="AZ82" i="19"/>
  <c r="BB82" i="19" s="1"/>
  <c r="AY82" i="19"/>
  <c r="AX82" i="19"/>
  <c r="AW82" i="19"/>
  <c r="AV82" i="19"/>
  <c r="BA81" i="19"/>
  <c r="AZ81" i="19"/>
  <c r="BB81" i="19" s="1"/>
  <c r="AY81" i="19"/>
  <c r="AX81" i="19"/>
  <c r="AW81" i="19"/>
  <c r="AV81" i="19"/>
  <c r="BA80" i="19"/>
  <c r="AZ80" i="19"/>
  <c r="BB80" i="19" s="1"/>
  <c r="AY80" i="19"/>
  <c r="AX80" i="19"/>
  <c r="AW80" i="19"/>
  <c r="AV80" i="19"/>
  <c r="BA79" i="19"/>
  <c r="AZ79" i="19"/>
  <c r="BB79" i="19" s="1"/>
  <c r="AY79" i="19"/>
  <c r="AX79" i="19"/>
  <c r="AW79" i="19"/>
  <c r="AV79" i="19"/>
  <c r="BA78" i="19"/>
  <c r="AZ78" i="19"/>
  <c r="BB78" i="19" s="1"/>
  <c r="AY78" i="19"/>
  <c r="AX78" i="19"/>
  <c r="AW78" i="19"/>
  <c r="AV78" i="19"/>
  <c r="BA77" i="19"/>
  <c r="AZ77" i="19"/>
  <c r="BB77" i="19" s="1"/>
  <c r="AY77" i="19"/>
  <c r="AX77" i="19"/>
  <c r="AW77" i="19"/>
  <c r="AV77" i="19"/>
  <c r="BA76" i="19"/>
  <c r="AZ76" i="19"/>
  <c r="BB76" i="19" s="1"/>
  <c r="AY76" i="19"/>
  <c r="AX76" i="19"/>
  <c r="AW76" i="19"/>
  <c r="AV76" i="19"/>
  <c r="BA75" i="19"/>
  <c r="AZ75" i="19"/>
  <c r="BB75" i="19" s="1"/>
  <c r="AY75" i="19"/>
  <c r="AX75" i="19"/>
  <c r="AW75" i="19"/>
  <c r="AV75" i="19"/>
  <c r="BA74" i="19"/>
  <c r="AZ74" i="19"/>
  <c r="BB74" i="19" s="1"/>
  <c r="AY74" i="19"/>
  <c r="AX74" i="19"/>
  <c r="AW74" i="19"/>
  <c r="AV74" i="19"/>
  <c r="AZ73" i="19"/>
  <c r="AY73" i="19"/>
  <c r="AX73" i="19"/>
  <c r="BB73" i="19" s="1"/>
  <c r="AW73" i="19"/>
  <c r="AV73" i="19"/>
  <c r="AU73" i="19"/>
  <c r="AY72" i="19"/>
  <c r="AX72" i="19"/>
  <c r="BB72" i="19" s="1"/>
  <c r="AW72" i="19"/>
  <c r="AV72" i="19"/>
  <c r="AU72" i="19"/>
  <c r="AZ71" i="19"/>
  <c r="AY71" i="19"/>
  <c r="AX71" i="19"/>
  <c r="BB71" i="19" s="1"/>
  <c r="AW71" i="19"/>
  <c r="AV71" i="19"/>
  <c r="AU71" i="19"/>
  <c r="AZ70" i="19"/>
  <c r="AY70" i="19"/>
  <c r="AX70" i="19"/>
  <c r="BB70" i="19" s="1"/>
  <c r="AW70" i="19"/>
  <c r="AV70" i="19"/>
  <c r="AU70" i="19"/>
  <c r="BA69" i="19"/>
  <c r="AZ69" i="19"/>
  <c r="BB69" i="19" s="1"/>
  <c r="AY69" i="19"/>
  <c r="AX69" i="19"/>
  <c r="AW69" i="19"/>
  <c r="AV69" i="19"/>
  <c r="BA68" i="19"/>
  <c r="AZ68" i="19"/>
  <c r="BB68" i="19" s="1"/>
  <c r="AY68" i="19"/>
  <c r="AX68" i="19"/>
  <c r="AW68" i="19"/>
  <c r="AV68" i="19"/>
  <c r="BA67" i="19"/>
  <c r="AZ67" i="19"/>
  <c r="BB67" i="19" s="1"/>
  <c r="AY67" i="19"/>
  <c r="AX67" i="19"/>
  <c r="AW67" i="19"/>
  <c r="AV67" i="19"/>
  <c r="BA66" i="19"/>
  <c r="AZ66" i="19"/>
  <c r="BB66" i="19" s="1"/>
  <c r="AY66" i="19"/>
  <c r="AX66" i="19"/>
  <c r="AW66" i="19"/>
  <c r="AV66" i="19"/>
  <c r="BA65" i="19"/>
  <c r="AZ65" i="19"/>
  <c r="BB65" i="19" s="1"/>
  <c r="AY65" i="19"/>
  <c r="AX65" i="19"/>
  <c r="AW65" i="19"/>
  <c r="AV65" i="19"/>
  <c r="BA64" i="19"/>
  <c r="AZ64" i="19"/>
  <c r="BB64" i="19" s="1"/>
  <c r="AY64" i="19"/>
  <c r="AX64" i="19"/>
  <c r="AW64" i="19"/>
  <c r="AV64" i="19"/>
  <c r="BA63" i="19"/>
  <c r="AZ63" i="19"/>
  <c r="BB63" i="19" s="1"/>
  <c r="AY63" i="19"/>
  <c r="AX63" i="19"/>
  <c r="AW63" i="19"/>
  <c r="AV63" i="19"/>
  <c r="BA62" i="19"/>
  <c r="AZ62" i="19"/>
  <c r="BB62" i="19" s="1"/>
  <c r="AY62" i="19"/>
  <c r="AX62" i="19"/>
  <c r="AW62" i="19"/>
  <c r="AV62" i="19"/>
  <c r="BA61" i="19"/>
  <c r="AZ61" i="19"/>
  <c r="BB61" i="19" s="1"/>
  <c r="AY61" i="19"/>
  <c r="AX61" i="19"/>
  <c r="AW61" i="19"/>
  <c r="AV61" i="19"/>
  <c r="BA60" i="19"/>
  <c r="AZ60" i="19"/>
  <c r="BB60" i="19" s="1"/>
  <c r="AY60" i="19"/>
  <c r="AX60" i="19"/>
  <c r="AW60" i="19"/>
  <c r="AV60" i="19"/>
  <c r="BA59" i="19"/>
  <c r="AZ59" i="19"/>
  <c r="BB59" i="19" s="1"/>
  <c r="AY59" i="19"/>
  <c r="AX59" i="19"/>
  <c r="AW59" i="19"/>
  <c r="AV59" i="19"/>
  <c r="BA58" i="19"/>
  <c r="AZ58" i="19"/>
  <c r="BB58" i="19" s="1"/>
  <c r="AY58" i="19"/>
  <c r="AX58" i="19"/>
  <c r="AW58" i="19"/>
  <c r="AV58" i="19"/>
  <c r="BA57" i="19"/>
  <c r="AZ57" i="19"/>
  <c r="BB57" i="19" s="1"/>
  <c r="AY57" i="19"/>
  <c r="AX57" i="19"/>
  <c r="AW57" i="19"/>
  <c r="AV57" i="19"/>
  <c r="BA56" i="19"/>
  <c r="AZ56" i="19"/>
  <c r="BB56" i="19" s="1"/>
  <c r="AY56" i="19"/>
  <c r="AX56" i="19"/>
  <c r="AW56" i="19"/>
  <c r="AV56" i="19"/>
  <c r="BA55" i="19"/>
  <c r="AZ55" i="19"/>
  <c r="BB55" i="19" s="1"/>
  <c r="AY55" i="19"/>
  <c r="AX55" i="19"/>
  <c r="AW55" i="19"/>
  <c r="AV55" i="19"/>
  <c r="BA54" i="19"/>
  <c r="AZ54" i="19"/>
  <c r="BB54" i="19" s="1"/>
  <c r="AY54" i="19"/>
  <c r="AX54" i="19"/>
  <c r="AW54" i="19"/>
  <c r="AV54" i="19"/>
  <c r="BA53" i="19"/>
  <c r="AZ53" i="19"/>
  <c r="BB53" i="19" s="1"/>
  <c r="AY53" i="19"/>
  <c r="AX53" i="19"/>
  <c r="AW53" i="19"/>
  <c r="AV53" i="19"/>
  <c r="BA52" i="19"/>
  <c r="AZ52" i="19"/>
  <c r="BB52" i="19" s="1"/>
  <c r="AY52" i="19"/>
  <c r="AX52" i="19"/>
  <c r="AW52" i="19"/>
  <c r="AV52" i="19"/>
  <c r="BA51" i="19"/>
  <c r="AZ51" i="19"/>
  <c r="BB51" i="19" s="1"/>
  <c r="AY51" i="19"/>
  <c r="AX51" i="19"/>
  <c r="AW51" i="19"/>
  <c r="AV51" i="19"/>
  <c r="BA50" i="19"/>
  <c r="AZ50" i="19"/>
  <c r="BB50" i="19" s="1"/>
  <c r="AY50" i="19"/>
  <c r="AX50" i="19"/>
  <c r="AW50" i="19"/>
  <c r="AV50" i="19"/>
  <c r="BA49" i="19"/>
  <c r="AZ49" i="19"/>
  <c r="BB49" i="19" s="1"/>
  <c r="AY49" i="19"/>
  <c r="AX49" i="19"/>
  <c r="AW49" i="19"/>
  <c r="AV49" i="19"/>
  <c r="BA48" i="19"/>
  <c r="AZ48" i="19"/>
  <c r="BB48" i="19" s="1"/>
  <c r="AY48" i="19"/>
  <c r="AX48" i="19"/>
  <c r="AW48" i="19"/>
  <c r="AV48" i="19"/>
  <c r="BA47" i="19"/>
  <c r="AZ47" i="19"/>
  <c r="BB47" i="19" s="1"/>
  <c r="AY47" i="19"/>
  <c r="AX47" i="19"/>
  <c r="AW47" i="19"/>
  <c r="AV47" i="19"/>
  <c r="BA46" i="19"/>
  <c r="AZ46" i="19"/>
  <c r="BB46" i="19" s="1"/>
  <c r="AY46" i="19"/>
  <c r="AX46" i="19"/>
  <c r="AW46" i="19"/>
  <c r="AV46" i="19"/>
  <c r="AZ45" i="19"/>
  <c r="AY45" i="19"/>
  <c r="AX45" i="19"/>
  <c r="BB45" i="19" s="1"/>
  <c r="AW45" i="19"/>
  <c r="AV45" i="19"/>
  <c r="AU45" i="19"/>
  <c r="AY44" i="19"/>
  <c r="AX44" i="19"/>
  <c r="BB44" i="19" s="1"/>
  <c r="AW44" i="19"/>
  <c r="AV44" i="19"/>
  <c r="AU44" i="19"/>
  <c r="AZ43" i="19"/>
  <c r="AY43" i="19"/>
  <c r="AX43" i="19"/>
  <c r="BB43" i="19" s="1"/>
  <c r="AW43" i="19"/>
  <c r="AV43" i="19"/>
  <c r="AU43" i="19"/>
  <c r="AZ42" i="19"/>
  <c r="AY42" i="19"/>
  <c r="AX42" i="19"/>
  <c r="BB42" i="19" s="1"/>
  <c r="AW42" i="19"/>
  <c r="AV42" i="19"/>
  <c r="AU42" i="19"/>
  <c r="BA41" i="19"/>
  <c r="AZ41" i="19"/>
  <c r="BB41" i="19" s="1"/>
  <c r="AY41" i="19"/>
  <c r="AX41" i="19"/>
  <c r="AW41" i="19"/>
  <c r="AV41" i="19"/>
  <c r="BA40" i="19"/>
  <c r="AZ40" i="19"/>
  <c r="BB40" i="19" s="1"/>
  <c r="AY40" i="19"/>
  <c r="AX40" i="19"/>
  <c r="AW40" i="19"/>
  <c r="AV40" i="19"/>
  <c r="BA39" i="19"/>
  <c r="AZ39" i="19"/>
  <c r="BB39" i="19" s="1"/>
  <c r="AY39" i="19"/>
  <c r="AX39" i="19"/>
  <c r="AW39" i="19"/>
  <c r="AV39" i="19"/>
  <c r="BA38" i="19"/>
  <c r="AZ38" i="19"/>
  <c r="BB38" i="19" s="1"/>
  <c r="AY38" i="19"/>
  <c r="AX38" i="19"/>
  <c r="AW38" i="19"/>
  <c r="AV38" i="19"/>
  <c r="BA37" i="19"/>
  <c r="AZ37" i="19"/>
  <c r="BB37" i="19" s="1"/>
  <c r="AY37" i="19"/>
  <c r="AX37" i="19"/>
  <c r="AW37" i="19"/>
  <c r="AV37" i="19"/>
  <c r="BA36" i="19"/>
  <c r="AZ36" i="19"/>
  <c r="BB36" i="19" s="1"/>
  <c r="AY36" i="19"/>
  <c r="AX36" i="19"/>
  <c r="AW36" i="19"/>
  <c r="AV36" i="19"/>
  <c r="BA35" i="19"/>
  <c r="AZ35" i="19"/>
  <c r="BB35" i="19" s="1"/>
  <c r="AY35" i="19"/>
  <c r="AX35" i="19"/>
  <c r="AW35" i="19"/>
  <c r="AV35" i="19"/>
  <c r="BA34" i="19"/>
  <c r="AZ34" i="19"/>
  <c r="BB34" i="19" s="1"/>
  <c r="AY34" i="19"/>
  <c r="AX34" i="19"/>
  <c r="AW34" i="19"/>
  <c r="AV34" i="19"/>
  <c r="BA33" i="19"/>
  <c r="AZ33" i="19"/>
  <c r="BB33" i="19" s="1"/>
  <c r="AY33" i="19"/>
  <c r="AX33" i="19"/>
  <c r="AW33" i="19"/>
  <c r="AV33" i="19"/>
  <c r="BA32" i="19"/>
  <c r="AZ32" i="19"/>
  <c r="BB32" i="19" s="1"/>
  <c r="AY32" i="19"/>
  <c r="AX32" i="19"/>
  <c r="AW32" i="19"/>
  <c r="AV32" i="19"/>
  <c r="BA31" i="19"/>
  <c r="AZ31" i="19"/>
  <c r="BB31" i="19" s="1"/>
  <c r="AY31" i="19"/>
  <c r="AX31" i="19"/>
  <c r="AW31" i="19"/>
  <c r="AV31" i="19"/>
  <c r="BA30" i="19"/>
  <c r="AZ30" i="19"/>
  <c r="BB30" i="19" s="1"/>
  <c r="AY30" i="19"/>
  <c r="AX30" i="19"/>
  <c r="AW30" i="19"/>
  <c r="AV30" i="19"/>
  <c r="BA29" i="19"/>
  <c r="AZ29" i="19"/>
  <c r="BB29" i="19" s="1"/>
  <c r="AY29" i="19"/>
  <c r="AX29" i="19"/>
  <c r="AW29" i="19"/>
  <c r="AV29" i="19"/>
  <c r="BA28" i="19"/>
  <c r="AZ28" i="19"/>
  <c r="BB28" i="19" s="1"/>
  <c r="AY28" i="19"/>
  <c r="AX28" i="19"/>
  <c r="AW28" i="19"/>
  <c r="AV28" i="19"/>
  <c r="AZ160" i="15"/>
  <c r="AY160" i="15"/>
  <c r="BA160" i="15" s="1"/>
  <c r="AX160" i="15"/>
  <c r="AW160" i="15"/>
  <c r="AV160" i="15"/>
  <c r="AU160" i="15"/>
  <c r="AZ159" i="15"/>
  <c r="AY159" i="15"/>
  <c r="BA159" i="15" s="1"/>
  <c r="AX159" i="15"/>
  <c r="AW159" i="15"/>
  <c r="AV159" i="15"/>
  <c r="AU159" i="15"/>
  <c r="AZ158" i="15"/>
  <c r="AY158" i="15"/>
  <c r="BA158" i="15" s="1"/>
  <c r="AX158" i="15"/>
  <c r="AW158" i="15"/>
  <c r="AV158" i="15"/>
  <c r="AU158" i="15"/>
  <c r="AZ157" i="15"/>
  <c r="AY157" i="15"/>
  <c r="BA157" i="15" s="1"/>
  <c r="AX157" i="15"/>
  <c r="AW157" i="15"/>
  <c r="AV157" i="15"/>
  <c r="AU157" i="15"/>
  <c r="AZ156" i="15"/>
  <c r="AY156" i="15"/>
  <c r="BA156" i="15" s="1"/>
  <c r="AX156" i="15"/>
  <c r="AW156" i="15"/>
  <c r="AV156" i="15"/>
  <c r="AU156" i="15"/>
  <c r="AZ155" i="15"/>
  <c r="AY155" i="15"/>
  <c r="BA155" i="15" s="1"/>
  <c r="AX155" i="15"/>
  <c r="AW155" i="15"/>
  <c r="AV155" i="15"/>
  <c r="AU155" i="15"/>
  <c r="AZ154" i="15"/>
  <c r="AY154" i="15"/>
  <c r="BA154" i="15" s="1"/>
  <c r="AX154" i="15"/>
  <c r="AW154" i="15"/>
  <c r="AV154" i="15"/>
  <c r="AU154" i="15"/>
  <c r="AZ153" i="15"/>
  <c r="AY153" i="15"/>
  <c r="BA153" i="15" s="1"/>
  <c r="AX153" i="15"/>
  <c r="AW153" i="15"/>
  <c r="AV153" i="15"/>
  <c r="AU153" i="15"/>
  <c r="AZ152" i="15"/>
  <c r="AY152" i="15"/>
  <c r="BA152" i="15" s="1"/>
  <c r="AX152" i="15"/>
  <c r="AW152" i="15"/>
  <c r="AV152" i="15"/>
  <c r="AU152" i="15"/>
  <c r="AZ151" i="15"/>
  <c r="AY151" i="15"/>
  <c r="BA151" i="15" s="1"/>
  <c r="AX151" i="15"/>
  <c r="AW151" i="15"/>
  <c r="AV151" i="15"/>
  <c r="AU151" i="15"/>
  <c r="AY150" i="15"/>
  <c r="AX150" i="15"/>
  <c r="AW150" i="15"/>
  <c r="AV150" i="15"/>
  <c r="AU150" i="15"/>
  <c r="AT150" i="15"/>
  <c r="AY149" i="15"/>
  <c r="AX149" i="15"/>
  <c r="AW149" i="15"/>
  <c r="BA149" i="15" s="1"/>
  <c r="AV149" i="15"/>
  <c r="AU149" i="15"/>
  <c r="AT149" i="15"/>
  <c r="AY148" i="15"/>
  <c r="AX148" i="15"/>
  <c r="AW148" i="15"/>
  <c r="BA148" i="15" s="1"/>
  <c r="AV148" i="15"/>
  <c r="AU148" i="15"/>
  <c r="AT148" i="15"/>
  <c r="AY147" i="15"/>
  <c r="AX147" i="15"/>
  <c r="AW147" i="15"/>
  <c r="BA147" i="15" s="1"/>
  <c r="AV147" i="15"/>
  <c r="AU147" i="15"/>
  <c r="AT147" i="15"/>
  <c r="AZ146" i="15"/>
  <c r="AY146" i="15"/>
  <c r="BA146" i="15" s="1"/>
  <c r="AX146" i="15"/>
  <c r="AW146" i="15"/>
  <c r="AV146" i="15"/>
  <c r="AU146" i="15"/>
  <c r="AZ145" i="15"/>
  <c r="AY145" i="15"/>
  <c r="BA145" i="15" s="1"/>
  <c r="AX145" i="15"/>
  <c r="AW145" i="15"/>
  <c r="AV145" i="15"/>
  <c r="AU145" i="15"/>
  <c r="AZ144" i="15"/>
  <c r="AY144" i="15"/>
  <c r="BA144" i="15" s="1"/>
  <c r="AX144" i="15"/>
  <c r="AW144" i="15"/>
  <c r="AV144" i="15"/>
  <c r="AU144" i="15"/>
  <c r="AZ143" i="15"/>
  <c r="AY143" i="15"/>
  <c r="BA143" i="15" s="1"/>
  <c r="AX143" i="15"/>
  <c r="AW143" i="15"/>
  <c r="AV143" i="15"/>
  <c r="AU143" i="15"/>
  <c r="AZ142" i="15"/>
  <c r="AY142" i="15"/>
  <c r="BA142" i="15" s="1"/>
  <c r="AX142" i="15"/>
  <c r="AW142" i="15"/>
  <c r="AV142" i="15"/>
  <c r="AU142" i="15"/>
  <c r="AZ141" i="15"/>
  <c r="AY141" i="15"/>
  <c r="BA141" i="15" s="1"/>
  <c r="AX141" i="15"/>
  <c r="AW141" i="15"/>
  <c r="AV141" i="15"/>
  <c r="AU141" i="15"/>
  <c r="AZ140" i="15"/>
  <c r="AY140" i="15"/>
  <c r="BA140" i="15" s="1"/>
  <c r="AX140" i="15"/>
  <c r="AW140" i="15"/>
  <c r="AV140" i="15"/>
  <c r="AU140" i="15"/>
  <c r="AZ139" i="15"/>
  <c r="AY139" i="15"/>
  <c r="BA139" i="15" s="1"/>
  <c r="AX139" i="15"/>
  <c r="AW139" i="15"/>
  <c r="AV139" i="15"/>
  <c r="AU139" i="15"/>
  <c r="AZ138" i="15"/>
  <c r="AY138" i="15"/>
  <c r="BA138" i="15" s="1"/>
  <c r="AX138" i="15"/>
  <c r="AW138" i="15"/>
  <c r="AV138" i="15"/>
  <c r="AU138" i="15"/>
  <c r="AZ137" i="15"/>
  <c r="AY137" i="15"/>
  <c r="BA137" i="15" s="1"/>
  <c r="AX137" i="15"/>
  <c r="AW137" i="15"/>
  <c r="AV137" i="15"/>
  <c r="AU137" i="15"/>
  <c r="AZ136" i="15"/>
  <c r="AY136" i="15"/>
  <c r="BA136" i="15" s="1"/>
  <c r="AX136" i="15"/>
  <c r="AW136" i="15"/>
  <c r="AV136" i="15"/>
  <c r="AU136" i="15"/>
  <c r="AZ135" i="15"/>
  <c r="AY135" i="15"/>
  <c r="BA135" i="15" s="1"/>
  <c r="AX135" i="15"/>
  <c r="AW135" i="15"/>
  <c r="AV135" i="15"/>
  <c r="AU135" i="15"/>
  <c r="AZ134" i="15"/>
  <c r="AY134" i="15"/>
  <c r="BA134" i="15" s="1"/>
  <c r="AX134" i="15"/>
  <c r="AW134" i="15"/>
  <c r="AV134" i="15"/>
  <c r="AU134" i="15"/>
  <c r="AZ133" i="15"/>
  <c r="AY133" i="15"/>
  <c r="BA133" i="15" s="1"/>
  <c r="AX133" i="15"/>
  <c r="AW133" i="15"/>
  <c r="AV133" i="15"/>
  <c r="AU133" i="15"/>
  <c r="AZ132" i="15"/>
  <c r="AY132" i="15"/>
  <c r="BA132" i="15" s="1"/>
  <c r="AX132" i="15"/>
  <c r="AW132" i="15"/>
  <c r="AV132" i="15"/>
  <c r="AU132" i="15"/>
  <c r="AZ131" i="15"/>
  <c r="AY131" i="15"/>
  <c r="BA131" i="15" s="1"/>
  <c r="AX131" i="15"/>
  <c r="AW131" i="15"/>
  <c r="AV131" i="15"/>
  <c r="AU131" i="15"/>
  <c r="AZ130" i="15"/>
  <c r="AY130" i="15"/>
  <c r="BA130" i="15" s="1"/>
  <c r="AX130" i="15"/>
  <c r="AW130" i="15"/>
  <c r="AV130" i="15"/>
  <c r="AU130" i="15"/>
  <c r="AZ129" i="15"/>
  <c r="AY129" i="15"/>
  <c r="BA129" i="15" s="1"/>
  <c r="AX129" i="15"/>
  <c r="AW129" i="15"/>
  <c r="AV129" i="15"/>
  <c r="AU129" i="15"/>
  <c r="AZ128" i="15"/>
  <c r="AY128" i="15"/>
  <c r="BA128" i="15" s="1"/>
  <c r="AX128" i="15"/>
  <c r="AW128" i="15"/>
  <c r="AV128" i="15"/>
  <c r="AU128" i="15"/>
  <c r="AZ127" i="15"/>
  <c r="AY127" i="15"/>
  <c r="BA127" i="15" s="1"/>
  <c r="AX127" i="15"/>
  <c r="AW127" i="15"/>
  <c r="AV127" i="15"/>
  <c r="AU127" i="15"/>
  <c r="AY126" i="15"/>
  <c r="AX126" i="15"/>
  <c r="AW126" i="15"/>
  <c r="AV126" i="15"/>
  <c r="AU126" i="15"/>
  <c r="AT126" i="15"/>
  <c r="AY125" i="15"/>
  <c r="AX125" i="15"/>
  <c r="AW125" i="15"/>
  <c r="BA125" i="15" s="1"/>
  <c r="AV125" i="15"/>
  <c r="AU125" i="15"/>
  <c r="AT125" i="15"/>
  <c r="AY124" i="15"/>
  <c r="AX124" i="15"/>
  <c r="AW124" i="15"/>
  <c r="BA124" i="15" s="1"/>
  <c r="AV124" i="15"/>
  <c r="AU124" i="15"/>
  <c r="AT124" i="15"/>
  <c r="AY123" i="15"/>
  <c r="AX123" i="15"/>
  <c r="AW123" i="15"/>
  <c r="BA123" i="15" s="1"/>
  <c r="AV123" i="15"/>
  <c r="AU123" i="15"/>
  <c r="AT123" i="15"/>
  <c r="AZ122" i="15"/>
  <c r="AY122" i="15"/>
  <c r="BA122" i="15" s="1"/>
  <c r="AX122" i="15"/>
  <c r="AW122" i="15"/>
  <c r="AV122" i="15"/>
  <c r="AU122" i="15"/>
  <c r="AZ121" i="15"/>
  <c r="AY121" i="15"/>
  <c r="BA121" i="15" s="1"/>
  <c r="AX121" i="15"/>
  <c r="AW121" i="15"/>
  <c r="AV121" i="15"/>
  <c r="AU121" i="15"/>
  <c r="AZ120" i="15"/>
  <c r="AY120" i="15"/>
  <c r="BA120" i="15" s="1"/>
  <c r="AX120" i="15"/>
  <c r="AW120" i="15"/>
  <c r="AV120" i="15"/>
  <c r="AU120" i="15"/>
  <c r="AZ119" i="15"/>
  <c r="AY119" i="15"/>
  <c r="BA119" i="15" s="1"/>
  <c r="AX119" i="15"/>
  <c r="AW119" i="15"/>
  <c r="AV119" i="15"/>
  <c r="AU119" i="15"/>
  <c r="AZ118" i="15"/>
  <c r="AY118" i="15"/>
  <c r="BA118" i="15" s="1"/>
  <c r="AX118" i="15"/>
  <c r="AW118" i="15"/>
  <c r="AV118" i="15"/>
  <c r="AU118" i="15"/>
  <c r="AZ117" i="15"/>
  <c r="AY117" i="15"/>
  <c r="BA117" i="15" s="1"/>
  <c r="AX117" i="15"/>
  <c r="AW117" i="15"/>
  <c r="AV117" i="15"/>
  <c r="AU117" i="15"/>
  <c r="AZ116" i="15"/>
  <c r="AY116" i="15"/>
  <c r="BA116" i="15" s="1"/>
  <c r="AX116" i="15"/>
  <c r="AW116" i="15"/>
  <c r="AV116" i="15"/>
  <c r="AU116" i="15"/>
  <c r="AZ115" i="15"/>
  <c r="AY115" i="15"/>
  <c r="BA115" i="15" s="1"/>
  <c r="AX115" i="15"/>
  <c r="AW115" i="15"/>
  <c r="AV115" i="15"/>
  <c r="AU115" i="15"/>
  <c r="AZ114" i="15"/>
  <c r="AY114" i="15"/>
  <c r="BA114" i="15" s="1"/>
  <c r="AX114" i="15"/>
  <c r="AW114" i="15"/>
  <c r="AV114" i="15"/>
  <c r="AU114" i="15"/>
  <c r="AZ113" i="15"/>
  <c r="AY113" i="15"/>
  <c r="BA113" i="15" s="1"/>
  <c r="AX113" i="15"/>
  <c r="AW113" i="15"/>
  <c r="AV113" i="15"/>
  <c r="AU113" i="15"/>
  <c r="AZ112" i="15"/>
  <c r="AY112" i="15"/>
  <c r="BA112" i="15" s="1"/>
  <c r="AX112" i="15"/>
  <c r="AW112" i="15"/>
  <c r="AV112" i="15"/>
  <c r="AU112" i="15"/>
  <c r="AZ111" i="15"/>
  <c r="AY111" i="15"/>
  <c r="BA111" i="15" s="1"/>
  <c r="AX111" i="15"/>
  <c r="AW111" i="15"/>
  <c r="AV111" i="15"/>
  <c r="AU111" i="15"/>
  <c r="AZ110" i="15"/>
  <c r="AY110" i="15"/>
  <c r="BA110" i="15" s="1"/>
  <c r="AX110" i="15"/>
  <c r="AW110" i="15"/>
  <c r="AV110" i="15"/>
  <c r="AU110" i="15"/>
  <c r="AZ109" i="15"/>
  <c r="AY109" i="15"/>
  <c r="BA109" i="15" s="1"/>
  <c r="AX109" i="15"/>
  <c r="AW109" i="15"/>
  <c r="AV109" i="15"/>
  <c r="AU109" i="15"/>
  <c r="AZ108" i="15"/>
  <c r="AY108" i="15"/>
  <c r="BA108" i="15" s="1"/>
  <c r="AX108" i="15"/>
  <c r="AW108" i="15"/>
  <c r="AV108" i="15"/>
  <c r="AU108" i="15"/>
  <c r="AZ107" i="15"/>
  <c r="AY107" i="15"/>
  <c r="BA107" i="15" s="1"/>
  <c r="AX107" i="15"/>
  <c r="AW107" i="15"/>
  <c r="AV107" i="15"/>
  <c r="AU107" i="15"/>
  <c r="AZ106" i="15"/>
  <c r="AY106" i="15"/>
  <c r="BA106" i="15" s="1"/>
  <c r="AX106" i="15"/>
  <c r="AW106" i="15"/>
  <c r="AV106" i="15"/>
  <c r="AU106" i="15"/>
  <c r="AZ105" i="15"/>
  <c r="AY105" i="15"/>
  <c r="BA105" i="15" s="1"/>
  <c r="AX105" i="15"/>
  <c r="AW105" i="15"/>
  <c r="AV105" i="15"/>
  <c r="AU105" i="15"/>
  <c r="AZ104" i="15"/>
  <c r="AY104" i="15"/>
  <c r="BA104" i="15" s="1"/>
  <c r="AX104" i="15"/>
  <c r="AW104" i="15"/>
  <c r="AV104" i="15"/>
  <c r="AU104" i="15"/>
  <c r="AZ103" i="15"/>
  <c r="AY103" i="15"/>
  <c r="BA103" i="15" s="1"/>
  <c r="AX103" i="15"/>
  <c r="AW103" i="15"/>
  <c r="AV103" i="15"/>
  <c r="AU103" i="15"/>
  <c r="AZ102" i="15"/>
  <c r="AY102" i="15"/>
  <c r="BA102" i="15" s="1"/>
  <c r="AX102" i="15"/>
  <c r="AW102" i="15"/>
  <c r="AV102" i="15"/>
  <c r="AU102" i="15"/>
  <c r="AZ101" i="15"/>
  <c r="AY101" i="15"/>
  <c r="BA101" i="15" s="1"/>
  <c r="AX101" i="15"/>
  <c r="AW101" i="15"/>
  <c r="AV101" i="15"/>
  <c r="AU101" i="15"/>
  <c r="AZ100" i="15"/>
  <c r="AY100" i="15"/>
  <c r="BA100" i="15" s="1"/>
  <c r="AX100" i="15"/>
  <c r="AW100" i="15"/>
  <c r="AV100" i="15"/>
  <c r="AU100" i="15"/>
  <c r="AZ99" i="15"/>
  <c r="AY99" i="15"/>
  <c r="BA99" i="15" s="1"/>
  <c r="AX99" i="15"/>
  <c r="AW99" i="15"/>
  <c r="AV99" i="15"/>
  <c r="AU99" i="15"/>
  <c r="AZ98" i="15"/>
  <c r="AY98" i="15"/>
  <c r="BA98" i="15" s="1"/>
  <c r="AX98" i="15"/>
  <c r="AW98" i="15"/>
  <c r="AV98" i="15"/>
  <c r="AU98" i="15"/>
  <c r="AZ97" i="15"/>
  <c r="AY97" i="15"/>
  <c r="BA97" i="15" s="1"/>
  <c r="AX97" i="15"/>
  <c r="AW97" i="15"/>
  <c r="AV97" i="15"/>
  <c r="AU97" i="15"/>
  <c r="AZ96" i="15"/>
  <c r="AY96" i="15"/>
  <c r="BA96" i="15" s="1"/>
  <c r="AX96" i="15"/>
  <c r="AW96" i="15"/>
  <c r="AV96" i="15"/>
  <c r="AU96" i="15"/>
  <c r="AY95" i="15"/>
  <c r="AX95" i="15"/>
  <c r="AW95" i="15"/>
  <c r="AV95" i="15"/>
  <c r="AU95" i="15"/>
  <c r="AT95" i="15"/>
  <c r="AY94" i="15"/>
  <c r="AX94" i="15"/>
  <c r="AW94" i="15"/>
  <c r="BA94" i="15" s="1"/>
  <c r="AV94" i="15"/>
  <c r="AU94" i="15"/>
  <c r="AT94" i="15"/>
  <c r="AY93" i="15"/>
  <c r="AX93" i="15"/>
  <c r="AW93" i="15"/>
  <c r="BA93" i="15" s="1"/>
  <c r="AV93" i="15"/>
  <c r="AU93" i="15"/>
  <c r="AT93" i="15"/>
  <c r="AY92" i="15"/>
  <c r="AX92" i="15"/>
  <c r="AW92" i="15"/>
  <c r="BA92" i="15" s="1"/>
  <c r="AV92" i="15"/>
  <c r="AU92" i="15"/>
  <c r="AT92" i="15"/>
  <c r="AZ91" i="15"/>
  <c r="AY91" i="15"/>
  <c r="BA91" i="15" s="1"/>
  <c r="AX91" i="15"/>
  <c r="AW91" i="15"/>
  <c r="AV91" i="15"/>
  <c r="AU91" i="15"/>
  <c r="AZ90" i="15"/>
  <c r="AY90" i="15"/>
  <c r="BA90" i="15" s="1"/>
  <c r="AX90" i="15"/>
  <c r="AW90" i="15"/>
  <c r="AV90" i="15"/>
  <c r="AU90" i="15"/>
  <c r="AZ89" i="15"/>
  <c r="AY89" i="15"/>
  <c r="BA89" i="15" s="1"/>
  <c r="AX89" i="15"/>
  <c r="AW89" i="15"/>
  <c r="AV89" i="15"/>
  <c r="AU89" i="15"/>
  <c r="AZ88" i="15"/>
  <c r="AY88" i="15"/>
  <c r="BA88" i="15" s="1"/>
  <c r="AX88" i="15"/>
  <c r="AW88" i="15"/>
  <c r="AV88" i="15"/>
  <c r="AU88" i="15"/>
  <c r="AZ87" i="15"/>
  <c r="AY87" i="15"/>
  <c r="BA87" i="15" s="1"/>
  <c r="AX87" i="15"/>
  <c r="AW87" i="15"/>
  <c r="AV87" i="15"/>
  <c r="AU87" i="15"/>
  <c r="AZ86" i="15"/>
  <c r="AY86" i="15"/>
  <c r="BA86" i="15" s="1"/>
  <c r="AX86" i="15"/>
  <c r="AW86" i="15"/>
  <c r="AV86" i="15"/>
  <c r="AU86" i="15"/>
  <c r="AZ85" i="15"/>
  <c r="AY85" i="15"/>
  <c r="BA85" i="15" s="1"/>
  <c r="AX85" i="15"/>
  <c r="AW85" i="15"/>
  <c r="AV85" i="15"/>
  <c r="AU85" i="15"/>
  <c r="AZ84" i="15"/>
  <c r="AY84" i="15"/>
  <c r="BA84" i="15" s="1"/>
  <c r="AX84" i="15"/>
  <c r="AW84" i="15"/>
  <c r="AV84" i="15"/>
  <c r="AU84" i="15"/>
  <c r="AZ83" i="15"/>
  <c r="AY83" i="15"/>
  <c r="BA83" i="15" s="1"/>
  <c r="AX83" i="15"/>
  <c r="AW83" i="15"/>
  <c r="AV83" i="15"/>
  <c r="AU83" i="15"/>
  <c r="AZ82" i="15"/>
  <c r="AY82" i="15"/>
  <c r="BA82" i="15" s="1"/>
  <c r="AX82" i="15"/>
  <c r="AW82" i="15"/>
  <c r="AV82" i="15"/>
  <c r="AU82" i="15"/>
  <c r="AZ81" i="15"/>
  <c r="AY81" i="15"/>
  <c r="BA81" i="15" s="1"/>
  <c r="AX81" i="15"/>
  <c r="AW81" i="15"/>
  <c r="AV81" i="15"/>
  <c r="AU81" i="15"/>
  <c r="AZ80" i="15"/>
  <c r="AY80" i="15"/>
  <c r="BA80" i="15" s="1"/>
  <c r="AX80" i="15"/>
  <c r="AW80" i="15"/>
  <c r="AV80" i="15"/>
  <c r="AU80" i="15"/>
  <c r="AZ79" i="15"/>
  <c r="AY79" i="15"/>
  <c r="BA79" i="15" s="1"/>
  <c r="AX79" i="15"/>
  <c r="AW79" i="15"/>
  <c r="AV79" i="15"/>
  <c r="AU79" i="15"/>
  <c r="AZ78" i="15"/>
  <c r="AY78" i="15"/>
  <c r="BA78" i="15" s="1"/>
  <c r="AX78" i="15"/>
  <c r="AW78" i="15"/>
  <c r="AV78" i="15"/>
  <c r="AU78" i="15"/>
  <c r="AZ77" i="15"/>
  <c r="AY77" i="15"/>
  <c r="BA77" i="15" s="1"/>
  <c r="AX77" i="15"/>
  <c r="AW77" i="15"/>
  <c r="AV77" i="15"/>
  <c r="AU77" i="15"/>
  <c r="AZ76" i="15"/>
  <c r="AY76" i="15"/>
  <c r="BA76" i="15" s="1"/>
  <c r="AX76" i="15"/>
  <c r="AW76" i="15"/>
  <c r="AV76" i="15"/>
  <c r="AU76" i="15"/>
  <c r="AZ75" i="15"/>
  <c r="AY75" i="15"/>
  <c r="BA75" i="15" s="1"/>
  <c r="AX75" i="15"/>
  <c r="AW75" i="15"/>
  <c r="AV75" i="15"/>
  <c r="AU75" i="15"/>
  <c r="AY74" i="15"/>
  <c r="AX74" i="15"/>
  <c r="AW74" i="15"/>
  <c r="AV74" i="15"/>
  <c r="AU74" i="15"/>
  <c r="AT74" i="15"/>
  <c r="AY73" i="15"/>
  <c r="AX73" i="15"/>
  <c r="AW73" i="15"/>
  <c r="BA73" i="15" s="1"/>
  <c r="AV73" i="15"/>
  <c r="AU73" i="15"/>
  <c r="AT73" i="15"/>
  <c r="AY72" i="15"/>
  <c r="AX72" i="15"/>
  <c r="AW72" i="15"/>
  <c r="BA72" i="15" s="1"/>
  <c r="AV72" i="15"/>
  <c r="AU72" i="15"/>
  <c r="AT72" i="15"/>
  <c r="AY71" i="15"/>
  <c r="AX71" i="15"/>
  <c r="AW71" i="15"/>
  <c r="BA71" i="15" s="1"/>
  <c r="AV71" i="15"/>
  <c r="AU71" i="15"/>
  <c r="AT71" i="15"/>
  <c r="AZ70" i="15"/>
  <c r="AY70" i="15"/>
  <c r="BA70" i="15" s="1"/>
  <c r="AX70" i="15"/>
  <c r="AW70" i="15"/>
  <c r="AV70" i="15"/>
  <c r="AU70" i="15"/>
  <c r="AZ69" i="15"/>
  <c r="AY69" i="15"/>
  <c r="BA69" i="15" s="1"/>
  <c r="AX69" i="15"/>
  <c r="AW69" i="15"/>
  <c r="AV69" i="15"/>
  <c r="AU69" i="15"/>
  <c r="AZ68" i="15"/>
  <c r="AY68" i="15"/>
  <c r="BA68" i="15" s="1"/>
  <c r="AX68" i="15"/>
  <c r="AW68" i="15"/>
  <c r="AV68" i="15"/>
  <c r="AU68" i="15"/>
  <c r="AZ67" i="15"/>
  <c r="AY67" i="15"/>
  <c r="BA67" i="15" s="1"/>
  <c r="AX67" i="15"/>
  <c r="AW67" i="15"/>
  <c r="AV67" i="15"/>
  <c r="AU67" i="15"/>
  <c r="AZ66" i="15"/>
  <c r="AY66" i="15"/>
  <c r="BA66" i="15" s="1"/>
  <c r="AX66" i="15"/>
  <c r="AW66" i="15"/>
  <c r="AV66" i="15"/>
  <c r="AU66" i="15"/>
  <c r="AZ65" i="15"/>
  <c r="AY65" i="15"/>
  <c r="BA65" i="15" s="1"/>
  <c r="AX65" i="15"/>
  <c r="AW65" i="15"/>
  <c r="AV65" i="15"/>
  <c r="AU65" i="15"/>
  <c r="AZ64" i="15"/>
  <c r="AY64" i="15"/>
  <c r="BA64" i="15" s="1"/>
  <c r="AX64" i="15"/>
  <c r="AW64" i="15"/>
  <c r="AV64" i="15"/>
  <c r="AU64" i="15"/>
  <c r="AZ63" i="15"/>
  <c r="AY63" i="15"/>
  <c r="BA63" i="15" s="1"/>
  <c r="AX63" i="15"/>
  <c r="AW63" i="15"/>
  <c r="AV63" i="15"/>
  <c r="AU63" i="15"/>
  <c r="AZ62" i="15"/>
  <c r="AY62" i="15"/>
  <c r="BA62" i="15" s="1"/>
  <c r="AX62" i="15"/>
  <c r="AW62" i="15"/>
  <c r="AV62" i="15"/>
  <c r="AU62" i="15"/>
  <c r="AZ61" i="15"/>
  <c r="AY61" i="15"/>
  <c r="BA61" i="15" s="1"/>
  <c r="AX61" i="15"/>
  <c r="AW61" i="15"/>
  <c r="AV61" i="15"/>
  <c r="AU61" i="15"/>
  <c r="AZ60" i="15"/>
  <c r="AY60" i="15"/>
  <c r="BA60" i="15" s="1"/>
  <c r="AX60" i="15"/>
  <c r="AW60" i="15"/>
  <c r="AV60" i="15"/>
  <c r="AU60" i="15"/>
  <c r="AZ59" i="15"/>
  <c r="AY59" i="15"/>
  <c r="BA59" i="15" s="1"/>
  <c r="AX59" i="15"/>
  <c r="AW59" i="15"/>
  <c r="AV59" i="15"/>
  <c r="AU59" i="15"/>
  <c r="AZ58" i="15"/>
  <c r="AY58" i="15"/>
  <c r="BA58" i="15" s="1"/>
  <c r="AX58" i="15"/>
  <c r="AW58" i="15"/>
  <c r="AV58" i="15"/>
  <c r="AU58" i="15"/>
  <c r="AZ57" i="15"/>
  <c r="AY57" i="15"/>
  <c r="BA57" i="15" s="1"/>
  <c r="AX57" i="15"/>
  <c r="AW57" i="15"/>
  <c r="AV57" i="15"/>
  <c r="AU57" i="15"/>
  <c r="AZ56" i="15"/>
  <c r="AY56" i="15"/>
  <c r="BA56" i="15" s="1"/>
  <c r="AX56" i="15"/>
  <c r="AW56" i="15"/>
  <c r="AV56" i="15"/>
  <c r="AU56" i="15"/>
  <c r="AZ55" i="15"/>
  <c r="AY55" i="15"/>
  <c r="BA55" i="15" s="1"/>
  <c r="AX55" i="15"/>
  <c r="AW55" i="15"/>
  <c r="AV55" i="15"/>
  <c r="AU55" i="15"/>
  <c r="AZ54" i="15"/>
  <c r="AY54" i="15"/>
  <c r="BA54" i="15" s="1"/>
  <c r="AX54" i="15"/>
  <c r="AW54" i="15"/>
  <c r="AV54" i="15"/>
  <c r="AU54" i="15"/>
  <c r="AZ53" i="15"/>
  <c r="AY53" i="15"/>
  <c r="BA53" i="15" s="1"/>
  <c r="AX53" i="15"/>
  <c r="AW53" i="15"/>
  <c r="AV53" i="15"/>
  <c r="AU53" i="15"/>
  <c r="AZ52" i="15"/>
  <c r="AY52" i="15"/>
  <c r="BA52" i="15" s="1"/>
  <c r="AX52" i="15"/>
  <c r="AW52" i="15"/>
  <c r="AV52" i="15"/>
  <c r="AU52" i="15"/>
  <c r="AZ51" i="15"/>
  <c r="AY51" i="15"/>
  <c r="BA51" i="15" s="1"/>
  <c r="AX51" i="15"/>
  <c r="AW51" i="15"/>
  <c r="AV51" i="15"/>
  <c r="AU51" i="15"/>
  <c r="AZ50" i="15"/>
  <c r="AY50" i="15"/>
  <c r="BA50" i="15" s="1"/>
  <c r="AX50" i="15"/>
  <c r="AW50" i="15"/>
  <c r="AV50" i="15"/>
  <c r="AU50" i="15"/>
  <c r="AZ49" i="15"/>
  <c r="AY49" i="15"/>
  <c r="BA49" i="15" s="1"/>
  <c r="AX49" i="15"/>
  <c r="AW49" i="15"/>
  <c r="AV49" i="15"/>
  <c r="AU49" i="15"/>
  <c r="AZ48" i="15"/>
  <c r="AY48" i="15"/>
  <c r="BA48" i="15" s="1"/>
  <c r="AX48" i="15"/>
  <c r="AW48" i="15"/>
  <c r="AV48" i="15"/>
  <c r="AU48" i="15"/>
  <c r="AZ47" i="15"/>
  <c r="AY47" i="15"/>
  <c r="BA47" i="15" s="1"/>
  <c r="AX47" i="15"/>
  <c r="AW47" i="15"/>
  <c r="AV47" i="15"/>
  <c r="AU47" i="15"/>
  <c r="AY46" i="15"/>
  <c r="AX46" i="15"/>
  <c r="AW46" i="15"/>
  <c r="AV46" i="15"/>
  <c r="AU46" i="15"/>
  <c r="AT46" i="15"/>
  <c r="AY45" i="15"/>
  <c r="AX45" i="15"/>
  <c r="AW45" i="15"/>
  <c r="BA45" i="15" s="1"/>
  <c r="AV45" i="15"/>
  <c r="AU45" i="15"/>
  <c r="AT45" i="15"/>
  <c r="AY44" i="15"/>
  <c r="AX44" i="15"/>
  <c r="AW44" i="15"/>
  <c r="BA44" i="15" s="1"/>
  <c r="AV44" i="15"/>
  <c r="AU44" i="15"/>
  <c r="AT44" i="15"/>
  <c r="AY43" i="15"/>
  <c r="AX43" i="15"/>
  <c r="AW43" i="15"/>
  <c r="BA43" i="15" s="1"/>
  <c r="AV43" i="15"/>
  <c r="AU43" i="15"/>
  <c r="AT43" i="15"/>
  <c r="AZ42" i="15"/>
  <c r="AY42" i="15"/>
  <c r="BA42" i="15" s="1"/>
  <c r="AX42" i="15"/>
  <c r="AW42" i="15"/>
  <c r="AV42" i="15"/>
  <c r="AU42" i="15"/>
  <c r="AZ41" i="15"/>
  <c r="AY41" i="15"/>
  <c r="BA41" i="15" s="1"/>
  <c r="AX41" i="15"/>
  <c r="AW41" i="15"/>
  <c r="AV41" i="15"/>
  <c r="AU41" i="15"/>
  <c r="AZ40" i="15"/>
  <c r="AY40" i="15"/>
  <c r="BA40" i="15" s="1"/>
  <c r="AX40" i="15"/>
  <c r="AW40" i="15"/>
  <c r="AV40" i="15"/>
  <c r="AU40" i="15"/>
  <c r="AZ39" i="15"/>
  <c r="AY39" i="15"/>
  <c r="BA39" i="15" s="1"/>
  <c r="AX39" i="15"/>
  <c r="AW39" i="15"/>
  <c r="AV39" i="15"/>
  <c r="AU39" i="15"/>
  <c r="AZ38" i="15"/>
  <c r="AY38" i="15"/>
  <c r="BA38" i="15" s="1"/>
  <c r="AX38" i="15"/>
  <c r="AW38" i="15"/>
  <c r="AV38" i="15"/>
  <c r="AU38" i="15"/>
  <c r="AZ37" i="15"/>
  <c r="AY37" i="15"/>
  <c r="BA37" i="15" s="1"/>
  <c r="AX37" i="15"/>
  <c r="AW37" i="15"/>
  <c r="AV37" i="15"/>
  <c r="AU37" i="15"/>
  <c r="AZ36" i="15"/>
  <c r="AY36" i="15"/>
  <c r="BA36" i="15" s="1"/>
  <c r="AX36" i="15"/>
  <c r="AW36" i="15"/>
  <c r="AV36" i="15"/>
  <c r="AU36" i="15"/>
  <c r="AZ35" i="15"/>
  <c r="AY35" i="15"/>
  <c r="BA35" i="15" s="1"/>
  <c r="AX35" i="15"/>
  <c r="AW35" i="15"/>
  <c r="AV35" i="15"/>
  <c r="AU35" i="15"/>
  <c r="AZ34" i="15"/>
  <c r="AY34" i="15"/>
  <c r="BA34" i="15" s="1"/>
  <c r="AX34" i="15"/>
  <c r="AW34" i="15"/>
  <c r="AV34" i="15"/>
  <c r="AU34" i="15"/>
  <c r="AZ33" i="15"/>
  <c r="AY33" i="15"/>
  <c r="BA33" i="15" s="1"/>
  <c r="AX33" i="15"/>
  <c r="AW33" i="15"/>
  <c r="AV33" i="15"/>
  <c r="AU33" i="15"/>
  <c r="AZ32" i="15"/>
  <c r="AY32" i="15"/>
  <c r="BA32" i="15" s="1"/>
  <c r="AX32" i="15"/>
  <c r="AW32" i="15"/>
  <c r="AV32" i="15"/>
  <c r="AU32" i="15"/>
  <c r="AZ31" i="15"/>
  <c r="AY31" i="15"/>
  <c r="BA31" i="15" s="1"/>
  <c r="AX31" i="15"/>
  <c r="AW31" i="15"/>
  <c r="AV31" i="15"/>
  <c r="AU31" i="15"/>
  <c r="AZ30" i="15"/>
  <c r="AY30" i="15"/>
  <c r="BA30" i="15" s="1"/>
  <c r="AX30" i="15"/>
  <c r="AW30" i="15"/>
  <c r="AV30" i="15"/>
  <c r="AU30" i="15"/>
  <c r="AZ29" i="15"/>
  <c r="AY29" i="15"/>
  <c r="BA29" i="15" s="1"/>
  <c r="AX29" i="15"/>
  <c r="AW29" i="15"/>
  <c r="AV29" i="15"/>
  <c r="AU29" i="15"/>
  <c r="BG542" i="22"/>
  <c r="BF542" i="22"/>
  <c r="BE542" i="22"/>
  <c r="BD542" i="22"/>
  <c r="BC542" i="22"/>
  <c r="BH541" i="22"/>
  <c r="BG541" i="22"/>
  <c r="BF541" i="22"/>
  <c r="BJ541" i="22" s="1"/>
  <c r="BE541" i="22"/>
  <c r="BD541" i="22"/>
  <c r="BC541" i="22"/>
  <c r="BH540" i="22"/>
  <c r="BG540" i="22"/>
  <c r="BF540" i="22"/>
  <c r="BE540" i="22"/>
  <c r="BD540" i="22"/>
  <c r="BC540" i="22"/>
  <c r="BH539" i="22"/>
  <c r="BG539" i="22"/>
  <c r="BF539" i="22"/>
  <c r="BJ539" i="22" s="1"/>
  <c r="BE539" i="22"/>
  <c r="BD539" i="22"/>
  <c r="BC539" i="22"/>
  <c r="BI518" i="22"/>
  <c r="BH518" i="22"/>
  <c r="BG518" i="22"/>
  <c r="BF518" i="22"/>
  <c r="BE518" i="22"/>
  <c r="BD518" i="22"/>
  <c r="BI517" i="22"/>
  <c r="BH517" i="22"/>
  <c r="BG517" i="22"/>
  <c r="BF517" i="22"/>
  <c r="BE517" i="22"/>
  <c r="BD517" i="22"/>
  <c r="BI516" i="22"/>
  <c r="BH516" i="22"/>
  <c r="BG516" i="22"/>
  <c r="BF516" i="22"/>
  <c r="BE516" i="22"/>
  <c r="BD516" i="22"/>
  <c r="BH515" i="22"/>
  <c r="BG515" i="22"/>
  <c r="BF515" i="22"/>
  <c r="BE515" i="22"/>
  <c r="BD515" i="22"/>
  <c r="BC515" i="22"/>
  <c r="BH514" i="22"/>
  <c r="BG514" i="22"/>
  <c r="BF514" i="22"/>
  <c r="BE514" i="22"/>
  <c r="BD514" i="22"/>
  <c r="BC514" i="22"/>
  <c r="BH513" i="22"/>
  <c r="BG513" i="22"/>
  <c r="BF513" i="22"/>
  <c r="BE513" i="22"/>
  <c r="BD513" i="22"/>
  <c r="BC513" i="22"/>
  <c r="BH512" i="22"/>
  <c r="BG512" i="22"/>
  <c r="BF512" i="22"/>
  <c r="BE512" i="22"/>
  <c r="BD512" i="22"/>
  <c r="BC512" i="22"/>
  <c r="BI511" i="22"/>
  <c r="BH511" i="22"/>
  <c r="BG511" i="22"/>
  <c r="BF511" i="22"/>
  <c r="BE511" i="22"/>
  <c r="BD511" i="22"/>
  <c r="BI510" i="22"/>
  <c r="BH510" i="22"/>
  <c r="BG510" i="22"/>
  <c r="BF510" i="22"/>
  <c r="BE510" i="22"/>
  <c r="BD510" i="22"/>
  <c r="BI509" i="22"/>
  <c r="BH509" i="22"/>
  <c r="BG509" i="22"/>
  <c r="BF509" i="22"/>
  <c r="BE509" i="22"/>
  <c r="BD509" i="22"/>
  <c r="BI508" i="22"/>
  <c r="BH508" i="22"/>
  <c r="BG508" i="22"/>
  <c r="BF508" i="22"/>
  <c r="BE508" i="22"/>
  <c r="BD508" i="22"/>
  <c r="BI507" i="22"/>
  <c r="BH507" i="22"/>
  <c r="BG507" i="22"/>
  <c r="BF507" i="22"/>
  <c r="BE507" i="22"/>
  <c r="BD507" i="22"/>
  <c r="BI506" i="22"/>
  <c r="BH506" i="22"/>
  <c r="BG506" i="22"/>
  <c r="BF506" i="22"/>
  <c r="BE506" i="22"/>
  <c r="BD506" i="22"/>
  <c r="BI505" i="22"/>
  <c r="BH505" i="22"/>
  <c r="BG505" i="22"/>
  <c r="BF505" i="22"/>
  <c r="BE505" i="22"/>
  <c r="BD505" i="22"/>
  <c r="BI504" i="22"/>
  <c r="BH504" i="22"/>
  <c r="BG504" i="22"/>
  <c r="BF504" i="22"/>
  <c r="BE504" i="22"/>
  <c r="BD504" i="22"/>
  <c r="BI503" i="22"/>
  <c r="BH503" i="22"/>
  <c r="BG503" i="22"/>
  <c r="BF503" i="22"/>
  <c r="BE503" i="22"/>
  <c r="BD503" i="22"/>
  <c r="BI502" i="22"/>
  <c r="BH502" i="22"/>
  <c r="BG502" i="22"/>
  <c r="BF502" i="22"/>
  <c r="BE502" i="22"/>
  <c r="BD502" i="22"/>
  <c r="BI501" i="22"/>
  <c r="BH501" i="22"/>
  <c r="BG501" i="22"/>
  <c r="BF501" i="22"/>
  <c r="BE501" i="22"/>
  <c r="BD501" i="22"/>
  <c r="BI500" i="22"/>
  <c r="BH500" i="22"/>
  <c r="BG500" i="22"/>
  <c r="BF500" i="22"/>
  <c r="BE500" i="22"/>
  <c r="BD500" i="22"/>
  <c r="BI499" i="22"/>
  <c r="BH499" i="22"/>
  <c r="BG499" i="22"/>
  <c r="BF499" i="22"/>
  <c r="BE499" i="22"/>
  <c r="BD499" i="22"/>
  <c r="BI498" i="22"/>
  <c r="BH498" i="22"/>
  <c r="BG498" i="22"/>
  <c r="BF498" i="22"/>
  <c r="BE498" i="22"/>
  <c r="BD498" i="22"/>
  <c r="BI497" i="22"/>
  <c r="BH497" i="22"/>
  <c r="BG497" i="22"/>
  <c r="BF497" i="22"/>
  <c r="BE497" i="22"/>
  <c r="BD497" i="22"/>
  <c r="BI496" i="22"/>
  <c r="BH496" i="22"/>
  <c r="BG496" i="22"/>
  <c r="BF496" i="22"/>
  <c r="BE496" i="22"/>
  <c r="BD496" i="22"/>
  <c r="BI495" i="22"/>
  <c r="BH495" i="22"/>
  <c r="BG495" i="22"/>
  <c r="BF495" i="22"/>
  <c r="BE495" i="22"/>
  <c r="BD495" i="22"/>
  <c r="BI494" i="22"/>
  <c r="BH494" i="22"/>
  <c r="BG494" i="22"/>
  <c r="BF494" i="22"/>
  <c r="BE494" i="22"/>
  <c r="BD494" i="22"/>
  <c r="BI493" i="22"/>
  <c r="BH493" i="22"/>
  <c r="BG493" i="22"/>
  <c r="BF493" i="22"/>
  <c r="BE493" i="22"/>
  <c r="BD493" i="22"/>
  <c r="BI492" i="22"/>
  <c r="BH492" i="22"/>
  <c r="BG492" i="22"/>
  <c r="BF492" i="22"/>
  <c r="BE492" i="22"/>
  <c r="BD492" i="22"/>
  <c r="BH491" i="22"/>
  <c r="BG491" i="22"/>
  <c r="BF491" i="22"/>
  <c r="BE491" i="22"/>
  <c r="BD491" i="22"/>
  <c r="BC491" i="22"/>
  <c r="BH490" i="22"/>
  <c r="BG490" i="22"/>
  <c r="BF490" i="22"/>
  <c r="BE490" i="22"/>
  <c r="BD490" i="22"/>
  <c r="BC490" i="22"/>
  <c r="BH489" i="22"/>
  <c r="BG489" i="22"/>
  <c r="BF489" i="22"/>
  <c r="BE489" i="22"/>
  <c r="BD489" i="22"/>
  <c r="BC489" i="22"/>
  <c r="BI488" i="22"/>
  <c r="BH488" i="22"/>
  <c r="BG488" i="22"/>
  <c r="BF488" i="22"/>
  <c r="BE488" i="22"/>
  <c r="BD488" i="22"/>
  <c r="BI487" i="22"/>
  <c r="BH487" i="22"/>
  <c r="BG487" i="22"/>
  <c r="BF487" i="22"/>
  <c r="BE487" i="22"/>
  <c r="BD487" i="22"/>
  <c r="BI486" i="22"/>
  <c r="BH486" i="22"/>
  <c r="BG486" i="22"/>
  <c r="BF486" i="22"/>
  <c r="BE486" i="22"/>
  <c r="BD486" i="22"/>
  <c r="BI485" i="22"/>
  <c r="BH485" i="22"/>
  <c r="BG485" i="22"/>
  <c r="BF485" i="22"/>
  <c r="BE485" i="22"/>
  <c r="BD485" i="22"/>
  <c r="BI484" i="22"/>
  <c r="BH484" i="22"/>
  <c r="BG484" i="22"/>
  <c r="BF484" i="22"/>
  <c r="BE484" i="22"/>
  <c r="BD484" i="22"/>
  <c r="BI483" i="22"/>
  <c r="BH483" i="22"/>
  <c r="BG483" i="22"/>
  <c r="BF483" i="22"/>
  <c r="BE483" i="22"/>
  <c r="BD483" i="22"/>
  <c r="BI482" i="22"/>
  <c r="BH482" i="22"/>
  <c r="BG482" i="22"/>
  <c r="BF482" i="22"/>
  <c r="BE482" i="22"/>
  <c r="BD482" i="22"/>
  <c r="BI481" i="22"/>
  <c r="BH481" i="22"/>
  <c r="BG481" i="22"/>
  <c r="BF481" i="22"/>
  <c r="BE481" i="22"/>
  <c r="BD481" i="22"/>
  <c r="BI480" i="22"/>
  <c r="BH480" i="22"/>
  <c r="BG480" i="22"/>
  <c r="BF480" i="22"/>
  <c r="BE480" i="22"/>
  <c r="BD480" i="22"/>
  <c r="BI479" i="22"/>
  <c r="BH479" i="22"/>
  <c r="BG479" i="22"/>
  <c r="BF479" i="22"/>
  <c r="BE479" i="22"/>
  <c r="BD479" i="22"/>
  <c r="BI478" i="22"/>
  <c r="BH478" i="22"/>
  <c r="BG478" i="22"/>
  <c r="BF478" i="22"/>
  <c r="BE478" i="22"/>
  <c r="BD478" i="22"/>
  <c r="BI477" i="22"/>
  <c r="BH477" i="22"/>
  <c r="BG477" i="22"/>
  <c r="BF477" i="22"/>
  <c r="BE477" i="22"/>
  <c r="BD477" i="22"/>
  <c r="BI476" i="22"/>
  <c r="BH476" i="22"/>
  <c r="BG476" i="22"/>
  <c r="BF476" i="22"/>
  <c r="BE476" i="22"/>
  <c r="BD476" i="22"/>
  <c r="BI475" i="22"/>
  <c r="BH475" i="22"/>
  <c r="BG475" i="22"/>
  <c r="BF475" i="22"/>
  <c r="BE475" i="22"/>
  <c r="BD475" i="22"/>
  <c r="BI474" i="22"/>
  <c r="BH474" i="22"/>
  <c r="BG474" i="22"/>
  <c r="BF474" i="22"/>
  <c r="BE474" i="22"/>
  <c r="BD474" i="22"/>
  <c r="BI473" i="22"/>
  <c r="BH473" i="22"/>
  <c r="BG473" i="22"/>
  <c r="BF473" i="22"/>
  <c r="BE473" i="22"/>
  <c r="BD473" i="22"/>
  <c r="BI472" i="22"/>
  <c r="BH472" i="22"/>
  <c r="BG472" i="22"/>
  <c r="BF472" i="22"/>
  <c r="BE472" i="22"/>
  <c r="BD472" i="22"/>
  <c r="BI471" i="22"/>
  <c r="BH471" i="22"/>
  <c r="BG471" i="22"/>
  <c r="BF471" i="22"/>
  <c r="BE471" i="22"/>
  <c r="BD471" i="22"/>
  <c r="BH470" i="22"/>
  <c r="BG470" i="22"/>
  <c r="BF470" i="22"/>
  <c r="BE470" i="22"/>
  <c r="BD470" i="22"/>
  <c r="BC470" i="22"/>
  <c r="BH469" i="22"/>
  <c r="BG469" i="22"/>
  <c r="BF469" i="22"/>
  <c r="BE469" i="22"/>
  <c r="BD469" i="22"/>
  <c r="BC469" i="22"/>
  <c r="BH468" i="22"/>
  <c r="BG468" i="22"/>
  <c r="BF468" i="22"/>
  <c r="BE468" i="22"/>
  <c r="BD468" i="22"/>
  <c r="BC468" i="22"/>
  <c r="BH467" i="22"/>
  <c r="BG467" i="22"/>
  <c r="BF467" i="22"/>
  <c r="BE467" i="22"/>
  <c r="BD467" i="22"/>
  <c r="BC467" i="22"/>
  <c r="BI466" i="22"/>
  <c r="BH466" i="22"/>
  <c r="BG466" i="22"/>
  <c r="BF466" i="22"/>
  <c r="BE466" i="22"/>
  <c r="BD466" i="22"/>
  <c r="BI465" i="22"/>
  <c r="BH465" i="22"/>
  <c r="BG465" i="22"/>
  <c r="BF465" i="22"/>
  <c r="BE465" i="22"/>
  <c r="BD465" i="22"/>
  <c r="BI464" i="22"/>
  <c r="BH464" i="22"/>
  <c r="BG464" i="22"/>
  <c r="BF464" i="22"/>
  <c r="BE464" i="22"/>
  <c r="BD464" i="22"/>
  <c r="BI463" i="22"/>
  <c r="BH463" i="22"/>
  <c r="BG463" i="22"/>
  <c r="BF463" i="22"/>
  <c r="BE463" i="22"/>
  <c r="BD463" i="22"/>
  <c r="BI462" i="22"/>
  <c r="BH462" i="22"/>
  <c r="BG462" i="22"/>
  <c r="BF462" i="22"/>
  <c r="BE462" i="22"/>
  <c r="BD462" i="22"/>
  <c r="BI461" i="22"/>
  <c r="BH461" i="22"/>
  <c r="BG461" i="22"/>
  <c r="BF461" i="22"/>
  <c r="BE461" i="22"/>
  <c r="BD461" i="22"/>
  <c r="BI460" i="22"/>
  <c r="BH460" i="22"/>
  <c r="BG460" i="22"/>
  <c r="BF460" i="22"/>
  <c r="BE460" i="22"/>
  <c r="BD460" i="22"/>
  <c r="BI459" i="22"/>
  <c r="BH459" i="22"/>
  <c r="BG459" i="22"/>
  <c r="BF459" i="22"/>
  <c r="BE459" i="22"/>
  <c r="BD459" i="22"/>
  <c r="BI458" i="22"/>
  <c r="BH458" i="22"/>
  <c r="BG458" i="22"/>
  <c r="BF458" i="22"/>
  <c r="BE458" i="22"/>
  <c r="BD458" i="22"/>
  <c r="BI457" i="22"/>
  <c r="BH457" i="22"/>
  <c r="BG457" i="22"/>
  <c r="BF457" i="22"/>
  <c r="BE457" i="22"/>
  <c r="BD457" i="22"/>
  <c r="BI456" i="22"/>
  <c r="BH456" i="22"/>
  <c r="BG456" i="22"/>
  <c r="BF456" i="22"/>
  <c r="BE456" i="22"/>
  <c r="BD456" i="22"/>
  <c r="BI455" i="22"/>
  <c r="BH455" i="22"/>
  <c r="BG455" i="22"/>
  <c r="BF455" i="22"/>
  <c r="BE455" i="22"/>
  <c r="BD455" i="22"/>
  <c r="BI454" i="22"/>
  <c r="BH454" i="22"/>
  <c r="BG454" i="22"/>
  <c r="BF454" i="22"/>
  <c r="BE454" i="22"/>
  <c r="BD454" i="22"/>
  <c r="BI453" i="22"/>
  <c r="BH453" i="22"/>
  <c r="BG453" i="22"/>
  <c r="BF453" i="22"/>
  <c r="BE453" i="22"/>
  <c r="BD453" i="22"/>
  <c r="BI452" i="22"/>
  <c r="BH452" i="22"/>
  <c r="BG452" i="22"/>
  <c r="BF452" i="22"/>
  <c r="BE452" i="22"/>
  <c r="BD452" i="22"/>
  <c r="BI451" i="22"/>
  <c r="BH451" i="22"/>
  <c r="BG451" i="22"/>
  <c r="BF451" i="22"/>
  <c r="BE451" i="22"/>
  <c r="BD451" i="22"/>
  <c r="BI450" i="22"/>
  <c r="BH450" i="22"/>
  <c r="BG450" i="22"/>
  <c r="BF450" i="22"/>
  <c r="BE450" i="22"/>
  <c r="BD450" i="22"/>
  <c r="BI449" i="22"/>
  <c r="BH449" i="22"/>
  <c r="BG449" i="22"/>
  <c r="BF449" i="22"/>
  <c r="BE449" i="22"/>
  <c r="BD449" i="22"/>
  <c r="BI448" i="22"/>
  <c r="BH448" i="22"/>
  <c r="BG448" i="22"/>
  <c r="BF448" i="22"/>
  <c r="BE448" i="22"/>
  <c r="BD448" i="22"/>
  <c r="BI447" i="22"/>
  <c r="BH447" i="22"/>
  <c r="BG447" i="22"/>
  <c r="BF447" i="22"/>
  <c r="BE447" i="22"/>
  <c r="BD447" i="22"/>
  <c r="BI446" i="22"/>
  <c r="BH446" i="22"/>
  <c r="BG446" i="22"/>
  <c r="BF446" i="22"/>
  <c r="BE446" i="22"/>
  <c r="BD446" i="22"/>
  <c r="BH445" i="22"/>
  <c r="BG445" i="22"/>
  <c r="BF445" i="22"/>
  <c r="BE445" i="22"/>
  <c r="BD445" i="22"/>
  <c r="BC445" i="22"/>
  <c r="BH444" i="22"/>
  <c r="BG444" i="22"/>
  <c r="BF444" i="22"/>
  <c r="BE444" i="22"/>
  <c r="BD444" i="22"/>
  <c r="BC444" i="22"/>
  <c r="BH443" i="22"/>
  <c r="BG443" i="22"/>
  <c r="BF443" i="22"/>
  <c r="BE443" i="22"/>
  <c r="BD443" i="22"/>
  <c r="BC443" i="22"/>
  <c r="BH442" i="22"/>
  <c r="BG442" i="22"/>
  <c r="BF442" i="22"/>
  <c r="BE442" i="22"/>
  <c r="BD442" i="22"/>
  <c r="BC442" i="22"/>
  <c r="BI441" i="22"/>
  <c r="BH441" i="22"/>
  <c r="BJ441" i="22" s="1"/>
  <c r="BG441" i="22"/>
  <c r="BF441" i="22"/>
  <c r="BE441" i="22"/>
  <c r="BD441" i="22"/>
  <c r="BI440" i="22"/>
  <c r="BH440" i="22"/>
  <c r="BJ440" i="22" s="1"/>
  <c r="BG440" i="22"/>
  <c r="BF440" i="22"/>
  <c r="BE440" i="22"/>
  <c r="BD440" i="22"/>
  <c r="BI439" i="22"/>
  <c r="BH439" i="22"/>
  <c r="BJ439" i="22" s="1"/>
  <c r="BG439" i="22"/>
  <c r="BF439" i="22"/>
  <c r="BE439" i="22"/>
  <c r="BD439" i="22"/>
  <c r="BI438" i="22"/>
  <c r="BH438" i="22"/>
  <c r="BJ438" i="22" s="1"/>
  <c r="BG438" i="22"/>
  <c r="BF438" i="22"/>
  <c r="BE438" i="22"/>
  <c r="BD438" i="22"/>
  <c r="BI437" i="22"/>
  <c r="BH437" i="22"/>
  <c r="BJ437" i="22" s="1"/>
  <c r="BG437" i="22"/>
  <c r="BF437" i="22"/>
  <c r="BE437" i="22"/>
  <c r="BD437" i="22"/>
  <c r="BI436" i="22"/>
  <c r="BH436" i="22"/>
  <c r="BJ436" i="22" s="1"/>
  <c r="BG436" i="22"/>
  <c r="BF436" i="22"/>
  <c r="BE436" i="22"/>
  <c r="BD436" i="22"/>
  <c r="BI435" i="22"/>
  <c r="BH435" i="22"/>
  <c r="BJ435" i="22" s="1"/>
  <c r="BG435" i="22"/>
  <c r="BF435" i="22"/>
  <c r="BE435" i="22"/>
  <c r="BD435" i="22"/>
  <c r="BI434" i="22"/>
  <c r="BH434" i="22"/>
  <c r="BJ434" i="22" s="1"/>
  <c r="BG434" i="22"/>
  <c r="BF434" i="22"/>
  <c r="BE434" i="22"/>
  <c r="BD434" i="22"/>
  <c r="BI433" i="22"/>
  <c r="BH433" i="22"/>
  <c r="BJ433" i="22" s="1"/>
  <c r="BG433" i="22"/>
  <c r="BF433" i="22"/>
  <c r="BE433" i="22"/>
  <c r="BD433" i="22"/>
  <c r="BI432" i="22"/>
  <c r="BH432" i="22"/>
  <c r="BJ432" i="22" s="1"/>
  <c r="BG432" i="22"/>
  <c r="BF432" i="22"/>
  <c r="BE432" i="22"/>
  <c r="BD432" i="22"/>
  <c r="BI431" i="22"/>
  <c r="BH431" i="22"/>
  <c r="BJ431" i="22" s="1"/>
  <c r="BG431" i="22"/>
  <c r="BF431" i="22"/>
  <c r="BE431" i="22"/>
  <c r="BD431" i="22"/>
  <c r="BI430" i="22"/>
  <c r="BH430" i="22"/>
  <c r="BJ430" i="22" s="1"/>
  <c r="BG430" i="22"/>
  <c r="BF430" i="22"/>
  <c r="BE430" i="22"/>
  <c r="BD430" i="22"/>
  <c r="BI429" i="22"/>
  <c r="BH429" i="22"/>
  <c r="BJ429" i="22" s="1"/>
  <c r="BG429" i="22"/>
  <c r="BF429" i="22"/>
  <c r="BE429" i="22"/>
  <c r="BD429" i="22"/>
  <c r="BI428" i="22"/>
  <c r="BH428" i="22"/>
  <c r="BJ428" i="22" s="1"/>
  <c r="BG428" i="22"/>
  <c r="BF428" i="22"/>
  <c r="BE428" i="22"/>
  <c r="BD428" i="22"/>
  <c r="BI427" i="22"/>
  <c r="BH427" i="22"/>
  <c r="BJ427" i="22" s="1"/>
  <c r="BG427" i="22"/>
  <c r="BF427" i="22"/>
  <c r="BE427" i="22"/>
  <c r="BD427" i="22"/>
  <c r="BI426" i="22"/>
  <c r="BH426" i="22"/>
  <c r="BJ426" i="22" s="1"/>
  <c r="BG426" i="22"/>
  <c r="BF426" i="22"/>
  <c r="BE426" i="22"/>
  <c r="BD426" i="22"/>
  <c r="BI425" i="22"/>
  <c r="BH425" i="22"/>
  <c r="BJ425" i="22" s="1"/>
  <c r="BG425" i="22"/>
  <c r="BF425" i="22"/>
  <c r="BE425" i="22"/>
  <c r="BD425" i="22"/>
  <c r="BI424" i="22"/>
  <c r="BH424" i="22"/>
  <c r="BJ424" i="22" s="1"/>
  <c r="BG424" i="22"/>
  <c r="BF424" i="22"/>
  <c r="BE424" i="22"/>
  <c r="BD424" i="22"/>
  <c r="BI423" i="22"/>
  <c r="BH423" i="22"/>
  <c r="BJ423" i="22" s="1"/>
  <c r="BG423" i="22"/>
  <c r="BF423" i="22"/>
  <c r="BE423" i="22"/>
  <c r="BD423" i="22"/>
  <c r="BI422" i="22"/>
  <c r="BH422" i="22"/>
  <c r="BJ422" i="22" s="1"/>
  <c r="BG422" i="22"/>
  <c r="BF422" i="22"/>
  <c r="BE422" i="22"/>
  <c r="BD422" i="22"/>
  <c r="BI421" i="22"/>
  <c r="BH421" i="22"/>
  <c r="BJ421" i="22" s="1"/>
  <c r="BG421" i="22"/>
  <c r="BF421" i="22"/>
  <c r="BE421" i="22"/>
  <c r="BD421" i="22"/>
  <c r="BI420" i="22"/>
  <c r="BH420" i="22"/>
  <c r="BJ420" i="22" s="1"/>
  <c r="BG420" i="22"/>
  <c r="BF420" i="22"/>
  <c r="BE420" i="22"/>
  <c r="BD420" i="22"/>
  <c r="BI419" i="22"/>
  <c r="BH419" i="22"/>
  <c r="BJ419" i="22" s="1"/>
  <c r="BG419" i="22"/>
  <c r="BF419" i="22"/>
  <c r="BE419" i="22"/>
  <c r="BD419" i="22"/>
  <c r="BI418" i="22"/>
  <c r="BH418" i="22"/>
  <c r="BJ418" i="22" s="1"/>
  <c r="BG418" i="22"/>
  <c r="BF418" i="22"/>
  <c r="BE418" i="22"/>
  <c r="BD418" i="22"/>
  <c r="BH417" i="22"/>
  <c r="BG417" i="22"/>
  <c r="BF417" i="22"/>
  <c r="BE417" i="22"/>
  <c r="BD417" i="22"/>
  <c r="BC417" i="22"/>
  <c r="BH416" i="22"/>
  <c r="BG416" i="22"/>
  <c r="BF416" i="22"/>
  <c r="BE416" i="22"/>
  <c r="BD416" i="22"/>
  <c r="BC416" i="22"/>
  <c r="BH415" i="22"/>
  <c r="BG415" i="22"/>
  <c r="BF415" i="22"/>
  <c r="BE415" i="22"/>
  <c r="BD415" i="22"/>
  <c r="BC415" i="22"/>
  <c r="BH414" i="22"/>
  <c r="BG414" i="22"/>
  <c r="BF414" i="22"/>
  <c r="BE414" i="22"/>
  <c r="BD414" i="22"/>
  <c r="BC414" i="22"/>
  <c r="BI413" i="22"/>
  <c r="BH413" i="22"/>
  <c r="BJ413" i="22" s="1"/>
  <c r="BG413" i="22"/>
  <c r="BF413" i="22"/>
  <c r="BE413" i="22"/>
  <c r="BD413" i="22"/>
  <c r="BI412" i="22"/>
  <c r="BH412" i="22"/>
  <c r="BJ412" i="22" s="1"/>
  <c r="BG412" i="22"/>
  <c r="BF412" i="22"/>
  <c r="BE412" i="22"/>
  <c r="BD412" i="22"/>
  <c r="BI411" i="22"/>
  <c r="BH411" i="22"/>
  <c r="BJ411" i="22" s="1"/>
  <c r="BG411" i="22"/>
  <c r="BF411" i="22"/>
  <c r="BE411" i="22"/>
  <c r="BD411" i="22"/>
  <c r="BI410" i="22"/>
  <c r="BH410" i="22"/>
  <c r="BJ410" i="22" s="1"/>
  <c r="BG410" i="22"/>
  <c r="BF410" i="22"/>
  <c r="BE410" i="22"/>
  <c r="BD410" i="22"/>
  <c r="BI409" i="22"/>
  <c r="BH409" i="22"/>
  <c r="BJ409" i="22" s="1"/>
  <c r="BG409" i="22"/>
  <c r="BF409" i="22"/>
  <c r="BE409" i="22"/>
  <c r="BD409" i="22"/>
  <c r="BI408" i="22"/>
  <c r="BH408" i="22"/>
  <c r="BJ408" i="22" s="1"/>
  <c r="BG408" i="22"/>
  <c r="BF408" i="22"/>
  <c r="BE408" i="22"/>
  <c r="BD408" i="22"/>
  <c r="BI407" i="22"/>
  <c r="BH407" i="22"/>
  <c r="BJ407" i="22" s="1"/>
  <c r="BG407" i="22"/>
  <c r="BF407" i="22"/>
  <c r="BE407" i="22"/>
  <c r="BD407" i="22"/>
  <c r="BI406" i="22"/>
  <c r="BH406" i="22"/>
  <c r="BJ406" i="22" s="1"/>
  <c r="BG406" i="22"/>
  <c r="BF406" i="22"/>
  <c r="BE406" i="22"/>
  <c r="BD406" i="22"/>
  <c r="BI405" i="22"/>
  <c r="BH405" i="22"/>
  <c r="BJ405" i="22" s="1"/>
  <c r="BG405" i="22"/>
  <c r="BF405" i="22"/>
  <c r="BE405" i="22"/>
  <c r="BD405" i="22"/>
  <c r="BI404" i="22"/>
  <c r="BH404" i="22"/>
  <c r="BJ404" i="22" s="1"/>
  <c r="BG404" i="22"/>
  <c r="BF404" i="22"/>
  <c r="BE404" i="22"/>
  <c r="BD404" i="22"/>
  <c r="BI403" i="22"/>
  <c r="BH403" i="22"/>
  <c r="BJ403" i="22" s="1"/>
  <c r="BG403" i="22"/>
  <c r="BF403" i="22"/>
  <c r="BE403" i="22"/>
  <c r="BD403" i="22"/>
  <c r="BI402" i="22"/>
  <c r="BH402" i="22"/>
  <c r="BJ402" i="22" s="1"/>
  <c r="BG402" i="22"/>
  <c r="BF402" i="22"/>
  <c r="BE402" i="22"/>
  <c r="BD402" i="22"/>
  <c r="BI401" i="22"/>
  <c r="BH401" i="22"/>
  <c r="BJ401" i="22" s="1"/>
  <c r="BG401" i="22"/>
  <c r="BF401" i="22"/>
  <c r="BE401" i="22"/>
  <c r="BD401" i="22"/>
  <c r="BI400" i="22"/>
  <c r="BH400" i="22"/>
  <c r="BJ400" i="22" s="1"/>
  <c r="BG400" i="22"/>
  <c r="BF400" i="22"/>
  <c r="BE400" i="22"/>
  <c r="BD400" i="22"/>
  <c r="BI399" i="22"/>
  <c r="BH399" i="22"/>
  <c r="BJ399" i="22" s="1"/>
  <c r="BG399" i="22"/>
  <c r="BF399" i="22"/>
  <c r="BE399" i="22"/>
  <c r="BD399" i="22"/>
  <c r="BI398" i="22"/>
  <c r="BH398" i="22"/>
  <c r="BJ398" i="22" s="1"/>
  <c r="BG398" i="22"/>
  <c r="BF398" i="22"/>
  <c r="BE398" i="22"/>
  <c r="BD398" i="22"/>
  <c r="BI397" i="22"/>
  <c r="BH397" i="22"/>
  <c r="BJ397" i="22" s="1"/>
  <c r="BG397" i="22"/>
  <c r="BF397" i="22"/>
  <c r="BE397" i="22"/>
  <c r="BD397" i="22"/>
  <c r="BI396" i="22"/>
  <c r="BH396" i="22"/>
  <c r="BJ396" i="22" s="1"/>
  <c r="BG396" i="22"/>
  <c r="BF396" i="22"/>
  <c r="BE396" i="22"/>
  <c r="BD396" i="22"/>
  <c r="BI395" i="22"/>
  <c r="BH395" i="22"/>
  <c r="BJ395" i="22" s="1"/>
  <c r="BG395" i="22"/>
  <c r="BF395" i="22"/>
  <c r="BE395" i="22"/>
  <c r="BD395" i="22"/>
  <c r="BI394" i="22"/>
  <c r="BH394" i="22"/>
  <c r="BJ394" i="22" s="1"/>
  <c r="BG394" i="22"/>
  <c r="BF394" i="22"/>
  <c r="BE394" i="22"/>
  <c r="BD394" i="22"/>
  <c r="BI393" i="22"/>
  <c r="BH393" i="22"/>
  <c r="BJ393" i="22" s="1"/>
  <c r="BG393" i="22"/>
  <c r="BF393" i="22"/>
  <c r="BE393" i="22"/>
  <c r="BD393" i="22"/>
  <c r="BI392" i="22"/>
  <c r="BH392" i="22"/>
  <c r="BJ392" i="22" s="1"/>
  <c r="BG392" i="22"/>
  <c r="BF392" i="22"/>
  <c r="BE392" i="22"/>
  <c r="BD392" i="22"/>
  <c r="BI391" i="22"/>
  <c r="BH391" i="22"/>
  <c r="BJ391" i="22" s="1"/>
  <c r="BG391" i="22"/>
  <c r="BF391" i="22"/>
  <c r="BE391" i="22"/>
  <c r="BD391" i="22"/>
  <c r="BH390" i="22"/>
  <c r="BG390" i="22"/>
  <c r="BF390" i="22"/>
  <c r="BE390" i="22"/>
  <c r="BD390" i="22"/>
  <c r="BC390" i="22"/>
  <c r="BH389" i="22"/>
  <c r="BG389" i="22"/>
  <c r="BF389" i="22"/>
  <c r="BE389" i="22"/>
  <c r="BD389" i="22"/>
  <c r="BC389" i="22"/>
  <c r="BH388" i="22"/>
  <c r="BG388" i="22"/>
  <c r="BF388" i="22"/>
  <c r="BE388" i="22"/>
  <c r="BD388" i="22"/>
  <c r="BC388" i="22"/>
  <c r="BH387" i="22"/>
  <c r="BG387" i="22"/>
  <c r="BF387" i="22"/>
  <c r="BE387" i="22"/>
  <c r="BD387" i="22"/>
  <c r="BC387" i="22"/>
  <c r="BI386" i="22"/>
  <c r="BH386" i="22"/>
  <c r="BJ386" i="22" s="1"/>
  <c r="BG386" i="22"/>
  <c r="BF386" i="22"/>
  <c r="BE386" i="22"/>
  <c r="BD386" i="22"/>
  <c r="BI385" i="22"/>
  <c r="BH385" i="22"/>
  <c r="BJ385" i="22" s="1"/>
  <c r="BG385" i="22"/>
  <c r="BF385" i="22"/>
  <c r="BE385" i="22"/>
  <c r="BD385" i="22"/>
  <c r="BI384" i="22"/>
  <c r="BH384" i="22"/>
  <c r="BJ384" i="22" s="1"/>
  <c r="BG384" i="22"/>
  <c r="BF384" i="22"/>
  <c r="BE384" i="22"/>
  <c r="BD384" i="22"/>
  <c r="BI383" i="22"/>
  <c r="BH383" i="22"/>
  <c r="BJ383" i="22" s="1"/>
  <c r="BG383" i="22"/>
  <c r="BF383" i="22"/>
  <c r="BE383" i="22"/>
  <c r="BD383" i="22"/>
  <c r="BI382" i="22"/>
  <c r="BH382" i="22"/>
  <c r="BJ382" i="22" s="1"/>
  <c r="BG382" i="22"/>
  <c r="BF382" i="22"/>
  <c r="BE382" i="22"/>
  <c r="BD382" i="22"/>
  <c r="BI381" i="22"/>
  <c r="BH381" i="22"/>
  <c r="BJ381" i="22" s="1"/>
  <c r="BG381" i="22"/>
  <c r="BF381" i="22"/>
  <c r="BE381" i="22"/>
  <c r="BD381" i="22"/>
  <c r="BI380" i="22"/>
  <c r="BH380" i="22"/>
  <c r="BJ380" i="22" s="1"/>
  <c r="BG380" i="22"/>
  <c r="BF380" i="22"/>
  <c r="BE380" i="22"/>
  <c r="BD380" i="22"/>
  <c r="BI379" i="22"/>
  <c r="BH379" i="22"/>
  <c r="BJ379" i="22" s="1"/>
  <c r="BG379" i="22"/>
  <c r="BF379" i="22"/>
  <c r="BE379" i="22"/>
  <c r="BD379" i="22"/>
  <c r="BI378" i="22"/>
  <c r="BH378" i="22"/>
  <c r="BJ378" i="22" s="1"/>
  <c r="BG378" i="22"/>
  <c r="BF378" i="22"/>
  <c r="BE378" i="22"/>
  <c r="BD378" i="22"/>
  <c r="BI377" i="22"/>
  <c r="BH377" i="22"/>
  <c r="BJ377" i="22" s="1"/>
  <c r="BG377" i="22"/>
  <c r="BF377" i="22"/>
  <c r="BE377" i="22"/>
  <c r="BD377" i="22"/>
  <c r="BI376" i="22"/>
  <c r="BH376" i="22"/>
  <c r="BJ376" i="22" s="1"/>
  <c r="BG376" i="22"/>
  <c r="BF376" i="22"/>
  <c r="BE376" i="22"/>
  <c r="BD376" i="22"/>
  <c r="BI375" i="22"/>
  <c r="BH375" i="22"/>
  <c r="BJ375" i="22" s="1"/>
  <c r="BG375" i="22"/>
  <c r="BF375" i="22"/>
  <c r="BE375" i="22"/>
  <c r="BD375" i="22"/>
  <c r="BI374" i="22"/>
  <c r="BH374" i="22"/>
  <c r="BJ374" i="22" s="1"/>
  <c r="BG374" i="22"/>
  <c r="BF374" i="22"/>
  <c r="BE374" i="22"/>
  <c r="BD374" i="22"/>
  <c r="BI373" i="22"/>
  <c r="BH373" i="22"/>
  <c r="BJ373" i="22" s="1"/>
  <c r="BG373" i="22"/>
  <c r="BF373" i="22"/>
  <c r="BE373" i="22"/>
  <c r="BD373" i="22"/>
  <c r="BI372" i="22"/>
  <c r="BH372" i="22"/>
  <c r="BJ372" i="22" s="1"/>
  <c r="BG372" i="22"/>
  <c r="BF372" i="22"/>
  <c r="BE372" i="22"/>
  <c r="BD372" i="22"/>
  <c r="BI371" i="22"/>
  <c r="BH371" i="22"/>
  <c r="BJ371" i="22" s="1"/>
  <c r="BG371" i="22"/>
  <c r="BF371" i="22"/>
  <c r="BE371" i="22"/>
  <c r="BD371" i="22"/>
  <c r="BI370" i="22"/>
  <c r="BH370" i="22"/>
  <c r="BJ370" i="22" s="1"/>
  <c r="BG370" i="22"/>
  <c r="BF370" i="22"/>
  <c r="BE370" i="22"/>
  <c r="BD370" i="22"/>
  <c r="BI369" i="22"/>
  <c r="BH369" i="22"/>
  <c r="BJ369" i="22" s="1"/>
  <c r="BG369" i="22"/>
  <c r="BF369" i="22"/>
  <c r="BE369" i="22"/>
  <c r="BD369" i="22"/>
  <c r="BI368" i="22"/>
  <c r="BH368" i="22"/>
  <c r="BJ368" i="22" s="1"/>
  <c r="BG368" i="22"/>
  <c r="BF368" i="22"/>
  <c r="BE368" i="22"/>
  <c r="BD368" i="22"/>
  <c r="BI367" i="22"/>
  <c r="BH367" i="22"/>
  <c r="BJ367" i="22" s="1"/>
  <c r="BG367" i="22"/>
  <c r="BF367" i="22"/>
  <c r="BE367" i="22"/>
  <c r="BD367" i="22"/>
  <c r="BI366" i="22"/>
  <c r="BH366" i="22"/>
  <c r="BJ366" i="22" s="1"/>
  <c r="BG366" i="22"/>
  <c r="BF366" i="22"/>
  <c r="BE366" i="22"/>
  <c r="BD366" i="22"/>
  <c r="BI365" i="22"/>
  <c r="BH365" i="22"/>
  <c r="BJ365" i="22" s="1"/>
  <c r="BG365" i="22"/>
  <c r="BF365" i="22"/>
  <c r="BE365" i="22"/>
  <c r="BD365" i="22"/>
  <c r="BH364" i="22"/>
  <c r="BG364" i="22"/>
  <c r="BF364" i="22"/>
  <c r="BE364" i="22"/>
  <c r="BD364" i="22"/>
  <c r="BC364" i="22"/>
  <c r="BH363" i="22"/>
  <c r="BG363" i="22"/>
  <c r="BF363" i="22"/>
  <c r="BE363" i="22"/>
  <c r="BD363" i="22"/>
  <c r="BC363" i="22"/>
  <c r="BH362" i="22"/>
  <c r="BG362" i="22"/>
  <c r="BF362" i="22"/>
  <c r="BE362" i="22"/>
  <c r="BD362" i="22"/>
  <c r="BC362" i="22"/>
  <c r="BH361" i="22"/>
  <c r="BG361" i="22"/>
  <c r="BF361" i="22"/>
  <c r="BE361" i="22"/>
  <c r="BD361" i="22"/>
  <c r="BC361" i="22"/>
  <c r="BI360" i="22"/>
  <c r="BH360" i="22"/>
  <c r="BJ360" i="22" s="1"/>
  <c r="BG360" i="22"/>
  <c r="BF360" i="22"/>
  <c r="BE360" i="22"/>
  <c r="BD360" i="22"/>
  <c r="BI359" i="22"/>
  <c r="BH359" i="22"/>
  <c r="BJ359" i="22" s="1"/>
  <c r="BG359" i="22"/>
  <c r="BF359" i="22"/>
  <c r="BE359" i="22"/>
  <c r="BD359" i="22"/>
  <c r="BI358" i="22"/>
  <c r="BH358" i="22"/>
  <c r="BJ358" i="22" s="1"/>
  <c r="BG358" i="22"/>
  <c r="BF358" i="22"/>
  <c r="BE358" i="22"/>
  <c r="BD358" i="22"/>
  <c r="BI357" i="22"/>
  <c r="BH357" i="22"/>
  <c r="BJ357" i="22" s="1"/>
  <c r="BG357" i="22"/>
  <c r="BF357" i="22"/>
  <c r="BE357" i="22"/>
  <c r="BD357" i="22"/>
  <c r="BI356" i="22"/>
  <c r="BH356" i="22"/>
  <c r="BJ356" i="22" s="1"/>
  <c r="BG356" i="22"/>
  <c r="BF356" i="22"/>
  <c r="BE356" i="22"/>
  <c r="BD356" i="22"/>
  <c r="BI355" i="22"/>
  <c r="BH355" i="22"/>
  <c r="BJ355" i="22" s="1"/>
  <c r="BG355" i="22"/>
  <c r="BF355" i="22"/>
  <c r="BE355" i="22"/>
  <c r="BD355" i="22"/>
  <c r="BI354" i="22"/>
  <c r="BH354" i="22"/>
  <c r="BJ354" i="22" s="1"/>
  <c r="BG354" i="22"/>
  <c r="BF354" i="22"/>
  <c r="BE354" i="22"/>
  <c r="BD354" i="22"/>
  <c r="BI353" i="22"/>
  <c r="BH353" i="22"/>
  <c r="BJ353" i="22" s="1"/>
  <c r="BG353" i="22"/>
  <c r="BF353" i="22"/>
  <c r="BE353" i="22"/>
  <c r="BD353" i="22"/>
  <c r="BI352" i="22"/>
  <c r="BH352" i="22"/>
  <c r="BJ352" i="22" s="1"/>
  <c r="BG352" i="22"/>
  <c r="BF352" i="22"/>
  <c r="BE352" i="22"/>
  <c r="BD352" i="22"/>
  <c r="BI351" i="22"/>
  <c r="BH351" i="22"/>
  <c r="BJ351" i="22" s="1"/>
  <c r="BG351" i="22"/>
  <c r="BF351" i="22"/>
  <c r="BE351" i="22"/>
  <c r="BD351" i="22"/>
  <c r="BI350" i="22"/>
  <c r="BH350" i="22"/>
  <c r="BJ350" i="22" s="1"/>
  <c r="BG350" i="22"/>
  <c r="BF350" i="22"/>
  <c r="BE350" i="22"/>
  <c r="BD350" i="22"/>
  <c r="BI349" i="22"/>
  <c r="BH349" i="22"/>
  <c r="BJ349" i="22" s="1"/>
  <c r="BG349" i="22"/>
  <c r="BF349" i="22"/>
  <c r="BE349" i="22"/>
  <c r="BD349" i="22"/>
  <c r="BI348" i="22"/>
  <c r="BH348" i="22"/>
  <c r="BJ348" i="22" s="1"/>
  <c r="BG348" i="22"/>
  <c r="BF348" i="22"/>
  <c r="BE348" i="22"/>
  <c r="BD348" i="22"/>
  <c r="BI347" i="22"/>
  <c r="BH347" i="22"/>
  <c r="BJ347" i="22" s="1"/>
  <c r="BG347" i="22"/>
  <c r="BF347" i="22"/>
  <c r="BE347" i="22"/>
  <c r="BD347" i="22"/>
  <c r="BI346" i="22"/>
  <c r="BH346" i="22"/>
  <c r="BJ346" i="22" s="1"/>
  <c r="BG346" i="22"/>
  <c r="BF346" i="22"/>
  <c r="BE346" i="22"/>
  <c r="BD346" i="22"/>
  <c r="BI345" i="22"/>
  <c r="BH345" i="22"/>
  <c r="BJ345" i="22" s="1"/>
  <c r="BG345" i="22"/>
  <c r="BF345" i="22"/>
  <c r="BE345" i="22"/>
  <c r="BD345" i="22"/>
  <c r="BI344" i="22"/>
  <c r="BH344" i="22"/>
  <c r="BJ344" i="22" s="1"/>
  <c r="BG344" i="22"/>
  <c r="BF344" i="22"/>
  <c r="BE344" i="22"/>
  <c r="BD344" i="22"/>
  <c r="BI343" i="22"/>
  <c r="BH343" i="22"/>
  <c r="BJ343" i="22" s="1"/>
  <c r="BG343" i="22"/>
  <c r="BF343" i="22"/>
  <c r="BE343" i="22"/>
  <c r="BD343" i="22"/>
  <c r="BI342" i="22"/>
  <c r="BH342" i="22"/>
  <c r="BJ342" i="22" s="1"/>
  <c r="BG342" i="22"/>
  <c r="BF342" i="22"/>
  <c r="BE342" i="22"/>
  <c r="BD342" i="22"/>
  <c r="BI341" i="22"/>
  <c r="BH341" i="22"/>
  <c r="BJ341" i="22" s="1"/>
  <c r="BG341" i="22"/>
  <c r="BF341" i="22"/>
  <c r="BE341" i="22"/>
  <c r="BD341" i="22"/>
  <c r="BI340" i="22"/>
  <c r="BH340" i="22"/>
  <c r="BJ340" i="22" s="1"/>
  <c r="BG340" i="22"/>
  <c r="BF340" i="22"/>
  <c r="BE340" i="22"/>
  <c r="BD340" i="22"/>
  <c r="BI339" i="22"/>
  <c r="BH339" i="22"/>
  <c r="BJ339" i="22" s="1"/>
  <c r="BG339" i="22"/>
  <c r="BF339" i="22"/>
  <c r="BE339" i="22"/>
  <c r="BD339" i="22"/>
  <c r="BI338" i="22"/>
  <c r="BH338" i="22"/>
  <c r="BJ338" i="22" s="1"/>
  <c r="BG338" i="22"/>
  <c r="BF338" i="22"/>
  <c r="BE338" i="22"/>
  <c r="BD338" i="22"/>
  <c r="BH337" i="22"/>
  <c r="BG337" i="22"/>
  <c r="BF337" i="22"/>
  <c r="BE337" i="22"/>
  <c r="BD337" i="22"/>
  <c r="BC337" i="22"/>
  <c r="BH336" i="22"/>
  <c r="BG336" i="22"/>
  <c r="BF336" i="22"/>
  <c r="BE336" i="22"/>
  <c r="BD336" i="22"/>
  <c r="BC336" i="22"/>
  <c r="BH335" i="22"/>
  <c r="BG335" i="22"/>
  <c r="BF335" i="22"/>
  <c r="BE335" i="22"/>
  <c r="BD335" i="22"/>
  <c r="BC335" i="22"/>
  <c r="BH334" i="22"/>
  <c r="BG334" i="22"/>
  <c r="BF334" i="22"/>
  <c r="BE334" i="22"/>
  <c r="BD334" i="22"/>
  <c r="BC334" i="22"/>
  <c r="BI333" i="22"/>
  <c r="BH333" i="22"/>
  <c r="BJ333" i="22" s="1"/>
  <c r="BG333" i="22"/>
  <c r="BF333" i="22"/>
  <c r="BE333" i="22"/>
  <c r="BD333" i="22"/>
  <c r="BI332" i="22"/>
  <c r="BH332" i="22"/>
  <c r="BJ332" i="22" s="1"/>
  <c r="BG332" i="22"/>
  <c r="BF332" i="22"/>
  <c r="BE332" i="22"/>
  <c r="BD332" i="22"/>
  <c r="BI331" i="22"/>
  <c r="BH331" i="22"/>
  <c r="BJ331" i="22" s="1"/>
  <c r="BG331" i="22"/>
  <c r="BF331" i="22"/>
  <c r="BE331" i="22"/>
  <c r="BD331" i="22"/>
  <c r="BI330" i="22"/>
  <c r="BH330" i="22"/>
  <c r="BJ330" i="22" s="1"/>
  <c r="BG330" i="22"/>
  <c r="BF330" i="22"/>
  <c r="BE330" i="22"/>
  <c r="BD330" i="22"/>
  <c r="BI329" i="22"/>
  <c r="BH329" i="22"/>
  <c r="BJ329" i="22" s="1"/>
  <c r="BG329" i="22"/>
  <c r="BF329" i="22"/>
  <c r="BE329" i="22"/>
  <c r="BD329" i="22"/>
  <c r="BI328" i="22"/>
  <c r="BH328" i="22"/>
  <c r="BJ328" i="22" s="1"/>
  <c r="BG328" i="22"/>
  <c r="BF328" i="22"/>
  <c r="BE328" i="22"/>
  <c r="BD328" i="22"/>
  <c r="BI327" i="22"/>
  <c r="BH327" i="22"/>
  <c r="BJ327" i="22" s="1"/>
  <c r="BG327" i="22"/>
  <c r="BF327" i="22"/>
  <c r="BE327" i="22"/>
  <c r="BD327" i="22"/>
  <c r="BI326" i="22"/>
  <c r="BH326" i="22"/>
  <c r="BJ326" i="22" s="1"/>
  <c r="BG326" i="22"/>
  <c r="BF326" i="22"/>
  <c r="BE326" i="22"/>
  <c r="BD326" i="22"/>
  <c r="BI325" i="22"/>
  <c r="BH325" i="22"/>
  <c r="BJ325" i="22" s="1"/>
  <c r="BG325" i="22"/>
  <c r="BF325" i="22"/>
  <c r="BE325" i="22"/>
  <c r="BD325" i="22"/>
  <c r="BI324" i="22"/>
  <c r="BH324" i="22"/>
  <c r="BJ324" i="22" s="1"/>
  <c r="BG324" i="22"/>
  <c r="BF324" i="22"/>
  <c r="BE324" i="22"/>
  <c r="BD324" i="22"/>
  <c r="BI323" i="22"/>
  <c r="BH323" i="22"/>
  <c r="BJ323" i="22" s="1"/>
  <c r="BG323" i="22"/>
  <c r="BF323" i="22"/>
  <c r="BE323" i="22"/>
  <c r="BD323" i="22"/>
  <c r="BI322" i="22"/>
  <c r="BH322" i="22"/>
  <c r="BJ322" i="22" s="1"/>
  <c r="BG322" i="22"/>
  <c r="BF322" i="22"/>
  <c r="BE322" i="22"/>
  <c r="BD322" i="22"/>
  <c r="BI321" i="22"/>
  <c r="BH321" i="22"/>
  <c r="BJ321" i="22" s="1"/>
  <c r="BG321" i="22"/>
  <c r="BF321" i="22"/>
  <c r="BE321" i="22"/>
  <c r="BD321" i="22"/>
  <c r="BI320" i="22"/>
  <c r="BH320" i="22"/>
  <c r="BJ320" i="22" s="1"/>
  <c r="BG320" i="22"/>
  <c r="BF320" i="22"/>
  <c r="BE320" i="22"/>
  <c r="BD320" i="22"/>
  <c r="BI319" i="22"/>
  <c r="BH319" i="22"/>
  <c r="BJ319" i="22" s="1"/>
  <c r="BG319" i="22"/>
  <c r="BF319" i="22"/>
  <c r="BE319" i="22"/>
  <c r="BD319" i="22"/>
  <c r="BI318" i="22"/>
  <c r="BH318" i="22"/>
  <c r="BJ318" i="22" s="1"/>
  <c r="BG318" i="22"/>
  <c r="BF318" i="22"/>
  <c r="BE318" i="22"/>
  <c r="BD318" i="22"/>
  <c r="BI317" i="22"/>
  <c r="BH317" i="22"/>
  <c r="BJ317" i="22" s="1"/>
  <c r="BG317" i="22"/>
  <c r="BF317" i="22"/>
  <c r="BE317" i="22"/>
  <c r="BD317" i="22"/>
  <c r="BI316" i="22"/>
  <c r="BH316" i="22"/>
  <c r="BJ316" i="22" s="1"/>
  <c r="BG316" i="22"/>
  <c r="BF316" i="22"/>
  <c r="BE316" i="22"/>
  <c r="BD316" i="22"/>
  <c r="BI315" i="22"/>
  <c r="BH315" i="22"/>
  <c r="BJ315" i="22" s="1"/>
  <c r="BG315" i="22"/>
  <c r="BF315" i="22"/>
  <c r="BE315" i="22"/>
  <c r="BD315" i="22"/>
  <c r="BI314" i="22"/>
  <c r="BH314" i="22"/>
  <c r="BJ314" i="22" s="1"/>
  <c r="BG314" i="22"/>
  <c r="BF314" i="22"/>
  <c r="BE314" i="22"/>
  <c r="BD314" i="22"/>
  <c r="BI313" i="22"/>
  <c r="BH313" i="22"/>
  <c r="BJ313" i="22" s="1"/>
  <c r="BG313" i="22"/>
  <c r="BF313" i="22"/>
  <c r="BE313" i="22"/>
  <c r="BD313" i="22"/>
  <c r="BI312" i="22"/>
  <c r="BH312" i="22"/>
  <c r="BJ312" i="22" s="1"/>
  <c r="BG312" i="22"/>
  <c r="BF312" i="22"/>
  <c r="BE312" i="22"/>
  <c r="BD312" i="22"/>
  <c r="BI311" i="22"/>
  <c r="BH311" i="22"/>
  <c r="BJ311" i="22" s="1"/>
  <c r="BG311" i="22"/>
  <c r="BF311" i="22"/>
  <c r="BE311" i="22"/>
  <c r="BD311" i="22"/>
  <c r="BI310" i="22"/>
  <c r="BH310" i="22"/>
  <c r="BJ310" i="22" s="1"/>
  <c r="BG310" i="22"/>
  <c r="BF310" i="22"/>
  <c r="BE310" i="22"/>
  <c r="BD310" i="22"/>
  <c r="BH309" i="22"/>
  <c r="BG309" i="22"/>
  <c r="BF309" i="22"/>
  <c r="BE309" i="22"/>
  <c r="BD309" i="22"/>
  <c r="BC309" i="22"/>
  <c r="BH308" i="22"/>
  <c r="BG308" i="22"/>
  <c r="BF308" i="22"/>
  <c r="BE308" i="22"/>
  <c r="BD308" i="22"/>
  <c r="BC308" i="22"/>
  <c r="BH307" i="22"/>
  <c r="BG307" i="22"/>
  <c r="BF307" i="22"/>
  <c r="BE307" i="22"/>
  <c r="BD307" i="22"/>
  <c r="BC307" i="22"/>
  <c r="BH306" i="22"/>
  <c r="BG306" i="22"/>
  <c r="BF306" i="22"/>
  <c r="BE306" i="22"/>
  <c r="BD306" i="22"/>
  <c r="BC306" i="22"/>
  <c r="BI305" i="22"/>
  <c r="BH305" i="22"/>
  <c r="BJ305" i="22" s="1"/>
  <c r="BG305" i="22"/>
  <c r="BF305" i="22"/>
  <c r="BE305" i="22"/>
  <c r="BD305" i="22"/>
  <c r="BI304" i="22"/>
  <c r="BH304" i="22"/>
  <c r="BJ304" i="22" s="1"/>
  <c r="BG304" i="22"/>
  <c r="BF304" i="22"/>
  <c r="BE304" i="22"/>
  <c r="BD304" i="22"/>
  <c r="BI303" i="22"/>
  <c r="BH303" i="22"/>
  <c r="BJ303" i="22" s="1"/>
  <c r="BG303" i="22"/>
  <c r="BF303" i="22"/>
  <c r="BE303" i="22"/>
  <c r="BD303" i="22"/>
  <c r="BI302" i="22"/>
  <c r="BH302" i="22"/>
  <c r="BJ302" i="22" s="1"/>
  <c r="BG302" i="22"/>
  <c r="BF302" i="22"/>
  <c r="BE302" i="22"/>
  <c r="BD302" i="22"/>
  <c r="BI301" i="22"/>
  <c r="BH301" i="22"/>
  <c r="BJ301" i="22" s="1"/>
  <c r="BG301" i="22"/>
  <c r="BF301" i="22"/>
  <c r="BE301" i="22"/>
  <c r="BD301" i="22"/>
  <c r="BI300" i="22"/>
  <c r="BH300" i="22"/>
  <c r="BJ300" i="22" s="1"/>
  <c r="BG300" i="22"/>
  <c r="BF300" i="22"/>
  <c r="BE300" i="22"/>
  <c r="BD300" i="22"/>
  <c r="BI299" i="22"/>
  <c r="BH299" i="22"/>
  <c r="BJ299" i="22" s="1"/>
  <c r="BG299" i="22"/>
  <c r="BF299" i="22"/>
  <c r="BE299" i="22"/>
  <c r="BD299" i="22"/>
  <c r="BI298" i="22"/>
  <c r="BH298" i="22"/>
  <c r="BJ298" i="22" s="1"/>
  <c r="BG298" i="22"/>
  <c r="BF298" i="22"/>
  <c r="BE298" i="22"/>
  <c r="BD298" i="22"/>
  <c r="BI297" i="22"/>
  <c r="BH297" i="22"/>
  <c r="BJ297" i="22" s="1"/>
  <c r="BG297" i="22"/>
  <c r="BF297" i="22"/>
  <c r="BE297" i="22"/>
  <c r="BD297" i="22"/>
  <c r="BI296" i="22"/>
  <c r="BH296" i="22"/>
  <c r="BJ296" i="22" s="1"/>
  <c r="BG296" i="22"/>
  <c r="BF296" i="22"/>
  <c r="BE296" i="22"/>
  <c r="BD296" i="22"/>
  <c r="BI295" i="22"/>
  <c r="BH295" i="22"/>
  <c r="BJ295" i="22" s="1"/>
  <c r="BG295" i="22"/>
  <c r="BF295" i="22"/>
  <c r="BE295" i="22"/>
  <c r="BD295" i="22"/>
  <c r="BI294" i="22"/>
  <c r="BH294" i="22"/>
  <c r="BJ294" i="22" s="1"/>
  <c r="BG294" i="22"/>
  <c r="BF294" i="22"/>
  <c r="BE294" i="22"/>
  <c r="BD294" i="22"/>
  <c r="BI293" i="22"/>
  <c r="BH293" i="22"/>
  <c r="BJ293" i="22" s="1"/>
  <c r="BG293" i="22"/>
  <c r="BF293" i="22"/>
  <c r="BE293" i="22"/>
  <c r="BD293" i="22"/>
  <c r="BI292" i="22"/>
  <c r="BH292" i="22"/>
  <c r="BJ292" i="22" s="1"/>
  <c r="BG292" i="22"/>
  <c r="BF292" i="22"/>
  <c r="BE292" i="22"/>
  <c r="BD292" i="22"/>
  <c r="BI291" i="22"/>
  <c r="BH291" i="22"/>
  <c r="BJ291" i="22" s="1"/>
  <c r="BG291" i="22"/>
  <c r="BF291" i="22"/>
  <c r="BE291" i="22"/>
  <c r="BD291" i="22"/>
  <c r="BI290" i="22"/>
  <c r="BH290" i="22"/>
  <c r="BJ290" i="22" s="1"/>
  <c r="BG290" i="22"/>
  <c r="BF290" i="22"/>
  <c r="BE290" i="22"/>
  <c r="BD290" i="22"/>
  <c r="BI289" i="22"/>
  <c r="BH289" i="22"/>
  <c r="BJ289" i="22" s="1"/>
  <c r="BG289" i="22"/>
  <c r="BF289" i="22"/>
  <c r="BE289" i="22"/>
  <c r="BD289" i="22"/>
  <c r="BI288" i="22"/>
  <c r="BH288" i="22"/>
  <c r="BJ288" i="22" s="1"/>
  <c r="BG288" i="22"/>
  <c r="BF288" i="22"/>
  <c r="BE288" i="22"/>
  <c r="BD288" i="22"/>
  <c r="BI287" i="22"/>
  <c r="BH287" i="22"/>
  <c r="BJ287" i="22" s="1"/>
  <c r="BG287" i="22"/>
  <c r="BF287" i="22"/>
  <c r="BE287" i="22"/>
  <c r="BD287" i="22"/>
  <c r="BI286" i="22"/>
  <c r="BH286" i="22"/>
  <c r="BJ286" i="22" s="1"/>
  <c r="BG286" i="22"/>
  <c r="BF286" i="22"/>
  <c r="BE286" i="22"/>
  <c r="BD286" i="22"/>
  <c r="BI285" i="22"/>
  <c r="BH285" i="22"/>
  <c r="BJ285" i="22" s="1"/>
  <c r="BG285" i="22"/>
  <c r="BF285" i="22"/>
  <c r="BE285" i="22"/>
  <c r="BD285" i="22"/>
  <c r="BI284" i="22"/>
  <c r="BH284" i="22"/>
  <c r="BJ284" i="22" s="1"/>
  <c r="BG284" i="22"/>
  <c r="BF284" i="22"/>
  <c r="BE284" i="22"/>
  <c r="BD284" i="22"/>
  <c r="BI283" i="22"/>
  <c r="BH283" i="22"/>
  <c r="BJ283" i="22" s="1"/>
  <c r="BG283" i="22"/>
  <c r="BF283" i="22"/>
  <c r="BE283" i="22"/>
  <c r="BD283" i="22"/>
  <c r="BI282" i="22"/>
  <c r="BH282" i="22"/>
  <c r="BJ282" i="22" s="1"/>
  <c r="BG282" i="22"/>
  <c r="BF282" i="22"/>
  <c r="BE282" i="22"/>
  <c r="BD282" i="22"/>
  <c r="BH281" i="22"/>
  <c r="BG281" i="22"/>
  <c r="BF281" i="22"/>
  <c r="BE281" i="22"/>
  <c r="BD281" i="22"/>
  <c r="BC281" i="22"/>
  <c r="BH280" i="22"/>
  <c r="BG280" i="22"/>
  <c r="BF280" i="22"/>
  <c r="BE280" i="22"/>
  <c r="BD280" i="22"/>
  <c r="BC280" i="22"/>
  <c r="BH279" i="22"/>
  <c r="BG279" i="22"/>
  <c r="BF279" i="22"/>
  <c r="BE279" i="22"/>
  <c r="BD279" i="22"/>
  <c r="BC279" i="22"/>
  <c r="BI278" i="22"/>
  <c r="BH278" i="22"/>
  <c r="BJ278" i="22" s="1"/>
  <c r="BG278" i="22"/>
  <c r="BF278" i="22"/>
  <c r="BE278" i="22"/>
  <c r="BD278" i="22"/>
  <c r="BI277" i="22"/>
  <c r="BH277" i="22"/>
  <c r="BJ277" i="22" s="1"/>
  <c r="BG277" i="22"/>
  <c r="BF277" i="22"/>
  <c r="BE277" i="22"/>
  <c r="BD277" i="22"/>
  <c r="BI276" i="22"/>
  <c r="BH276" i="22"/>
  <c r="BJ276" i="22" s="1"/>
  <c r="BG276" i="22"/>
  <c r="BF276" i="22"/>
  <c r="BE276" i="22"/>
  <c r="BD276" i="22"/>
  <c r="BI275" i="22"/>
  <c r="BH275" i="22"/>
  <c r="BJ275" i="22" s="1"/>
  <c r="BG275" i="22"/>
  <c r="BF275" i="22"/>
  <c r="BE275" i="22"/>
  <c r="BD275" i="22"/>
  <c r="BI274" i="22"/>
  <c r="BH274" i="22"/>
  <c r="BJ274" i="22" s="1"/>
  <c r="BG274" i="22"/>
  <c r="BF274" i="22"/>
  <c r="BE274" i="22"/>
  <c r="BD274" i="22"/>
  <c r="BI273" i="22"/>
  <c r="BH273" i="22"/>
  <c r="BJ273" i="22" s="1"/>
  <c r="BG273" i="22"/>
  <c r="BF273" i="22"/>
  <c r="BE273" i="22"/>
  <c r="BD273" i="22"/>
  <c r="BI272" i="22"/>
  <c r="BH272" i="22"/>
  <c r="BJ272" i="22" s="1"/>
  <c r="BG272" i="22"/>
  <c r="BF272" i="22"/>
  <c r="BE272" i="22"/>
  <c r="BD272" i="22"/>
  <c r="BI271" i="22"/>
  <c r="BH271" i="22"/>
  <c r="BJ271" i="22" s="1"/>
  <c r="BG271" i="22"/>
  <c r="BF271" i="22"/>
  <c r="BE271" i="22"/>
  <c r="BD271" i="22"/>
  <c r="BI270" i="22"/>
  <c r="BH270" i="22"/>
  <c r="BJ270" i="22" s="1"/>
  <c r="BG270" i="22"/>
  <c r="BF270" i="22"/>
  <c r="BE270" i="22"/>
  <c r="BD270" i="22"/>
  <c r="BI269" i="22"/>
  <c r="BH269" i="22"/>
  <c r="BJ269" i="22" s="1"/>
  <c r="BG269" i="22"/>
  <c r="BF269" i="22"/>
  <c r="BE269" i="22"/>
  <c r="BD269" i="22"/>
  <c r="BI268" i="22"/>
  <c r="BH268" i="22"/>
  <c r="BJ268" i="22" s="1"/>
  <c r="BG268" i="22"/>
  <c r="BF268" i="22"/>
  <c r="BE268" i="22"/>
  <c r="BD268" i="22"/>
  <c r="BI267" i="22"/>
  <c r="BH267" i="22"/>
  <c r="BJ267" i="22" s="1"/>
  <c r="BG267" i="22"/>
  <c r="BF267" i="22"/>
  <c r="BE267" i="22"/>
  <c r="BD267" i="22"/>
  <c r="BI266" i="22"/>
  <c r="BH266" i="22"/>
  <c r="BJ266" i="22" s="1"/>
  <c r="BG266" i="22"/>
  <c r="BF266" i="22"/>
  <c r="BE266" i="22"/>
  <c r="BD266" i="22"/>
  <c r="BI265" i="22"/>
  <c r="BH265" i="22"/>
  <c r="BJ265" i="22" s="1"/>
  <c r="BG265" i="22"/>
  <c r="BF265" i="22"/>
  <c r="BE265" i="22"/>
  <c r="BD265" i="22"/>
  <c r="BI264" i="22"/>
  <c r="BH264" i="22"/>
  <c r="BJ264" i="22" s="1"/>
  <c r="BG264" i="22"/>
  <c r="BF264" i="22"/>
  <c r="BE264" i="22"/>
  <c r="BD264" i="22"/>
  <c r="BI263" i="22"/>
  <c r="BH263" i="22"/>
  <c r="BJ263" i="22" s="1"/>
  <c r="BG263" i="22"/>
  <c r="BF263" i="22"/>
  <c r="BE263" i="22"/>
  <c r="BD263" i="22"/>
  <c r="BI262" i="22"/>
  <c r="BH262" i="22"/>
  <c r="BJ262" i="22" s="1"/>
  <c r="BG262" i="22"/>
  <c r="BF262" i="22"/>
  <c r="BE262" i="22"/>
  <c r="BD262" i="22"/>
  <c r="BI261" i="22"/>
  <c r="BH261" i="22"/>
  <c r="BJ261" i="22" s="1"/>
  <c r="BG261" i="22"/>
  <c r="BF261" i="22"/>
  <c r="BE261" i="22"/>
  <c r="BD261" i="22"/>
  <c r="BI260" i="22"/>
  <c r="BH260" i="22"/>
  <c r="BJ260" i="22" s="1"/>
  <c r="BG260" i="22"/>
  <c r="BF260" i="22"/>
  <c r="BE260" i="22"/>
  <c r="BD260" i="22"/>
  <c r="BI259" i="22"/>
  <c r="BH259" i="22"/>
  <c r="BJ259" i="22" s="1"/>
  <c r="BG259" i="22"/>
  <c r="BF259" i="22"/>
  <c r="BE259" i="22"/>
  <c r="BD259" i="22"/>
  <c r="BI258" i="22"/>
  <c r="BH258" i="22"/>
  <c r="BJ258" i="22" s="1"/>
  <c r="BG258" i="22"/>
  <c r="BF258" i="22"/>
  <c r="BE258" i="22"/>
  <c r="BD258" i="22"/>
  <c r="BH257" i="22"/>
  <c r="BG257" i="22"/>
  <c r="BF257" i="22"/>
  <c r="BE257" i="22"/>
  <c r="BD257" i="22"/>
  <c r="BC257" i="22"/>
  <c r="BH256" i="22"/>
  <c r="BG256" i="22"/>
  <c r="BF256" i="22"/>
  <c r="BE256" i="22"/>
  <c r="BD256" i="22"/>
  <c r="BC256" i="22"/>
  <c r="BH255" i="22"/>
  <c r="BG255" i="22"/>
  <c r="BF255" i="22"/>
  <c r="BE255" i="22"/>
  <c r="BD255" i="22"/>
  <c r="BC255" i="22"/>
  <c r="BH254" i="22"/>
  <c r="BG254" i="22"/>
  <c r="BF254" i="22"/>
  <c r="BE254" i="22"/>
  <c r="BD254" i="22"/>
  <c r="BC254" i="22"/>
  <c r="BI253" i="22"/>
  <c r="BH253" i="22"/>
  <c r="BJ253" i="22" s="1"/>
  <c r="BG253" i="22"/>
  <c r="BF253" i="22"/>
  <c r="BE253" i="22"/>
  <c r="BD253" i="22"/>
  <c r="BI252" i="22"/>
  <c r="BH252" i="22"/>
  <c r="BJ252" i="22" s="1"/>
  <c r="BG252" i="22"/>
  <c r="BF252" i="22"/>
  <c r="BE252" i="22"/>
  <c r="BD252" i="22"/>
  <c r="BI251" i="22"/>
  <c r="BH251" i="22"/>
  <c r="BJ251" i="22" s="1"/>
  <c r="BG251" i="22"/>
  <c r="BF251" i="22"/>
  <c r="BE251" i="22"/>
  <c r="BD251" i="22"/>
  <c r="BI250" i="22"/>
  <c r="BH250" i="22"/>
  <c r="BJ250" i="22" s="1"/>
  <c r="BG250" i="22"/>
  <c r="BF250" i="22"/>
  <c r="BE250" i="22"/>
  <c r="BD250" i="22"/>
  <c r="BI249" i="22"/>
  <c r="BH249" i="22"/>
  <c r="BJ249" i="22" s="1"/>
  <c r="BG249" i="22"/>
  <c r="BF249" i="22"/>
  <c r="BE249" i="22"/>
  <c r="BD249" i="22"/>
  <c r="BI248" i="22"/>
  <c r="BH248" i="22"/>
  <c r="BJ248" i="22" s="1"/>
  <c r="BG248" i="22"/>
  <c r="BF248" i="22"/>
  <c r="BE248" i="22"/>
  <c r="BD248" i="22"/>
  <c r="BI247" i="22"/>
  <c r="BH247" i="22"/>
  <c r="BJ247" i="22" s="1"/>
  <c r="BG247" i="22"/>
  <c r="BF247" i="22"/>
  <c r="BE247" i="22"/>
  <c r="BD247" i="22"/>
  <c r="BI246" i="22"/>
  <c r="BH246" i="22"/>
  <c r="BJ246" i="22" s="1"/>
  <c r="BG246" i="22"/>
  <c r="BF246" i="22"/>
  <c r="BE246" i="22"/>
  <c r="BD246" i="22"/>
  <c r="BI245" i="22"/>
  <c r="BH245" i="22"/>
  <c r="BJ245" i="22" s="1"/>
  <c r="BG245" i="22"/>
  <c r="BF245" i="22"/>
  <c r="BE245" i="22"/>
  <c r="BD245" i="22"/>
  <c r="BI244" i="22"/>
  <c r="BH244" i="22"/>
  <c r="BJ244" i="22" s="1"/>
  <c r="BG244" i="22"/>
  <c r="BF244" i="22"/>
  <c r="BE244" i="22"/>
  <c r="BD244" i="22"/>
  <c r="BI243" i="22"/>
  <c r="BH243" i="22"/>
  <c r="BJ243" i="22" s="1"/>
  <c r="BG243" i="22"/>
  <c r="BF243" i="22"/>
  <c r="BE243" i="22"/>
  <c r="BD243" i="22"/>
  <c r="BI242" i="22"/>
  <c r="BH242" i="22"/>
  <c r="BJ242" i="22" s="1"/>
  <c r="BG242" i="22"/>
  <c r="BF242" i="22"/>
  <c r="BE242" i="22"/>
  <c r="BD242" i="22"/>
  <c r="BI241" i="22"/>
  <c r="BH241" i="22"/>
  <c r="BJ241" i="22" s="1"/>
  <c r="BG241" i="22"/>
  <c r="BF241" i="22"/>
  <c r="BE241" i="22"/>
  <c r="BD241" i="22"/>
  <c r="BI240" i="22"/>
  <c r="BH240" i="22"/>
  <c r="BJ240" i="22" s="1"/>
  <c r="BG240" i="22"/>
  <c r="BF240" i="22"/>
  <c r="BE240" i="22"/>
  <c r="BD240" i="22"/>
  <c r="BI239" i="22"/>
  <c r="BH239" i="22"/>
  <c r="BJ239" i="22" s="1"/>
  <c r="BG239" i="22"/>
  <c r="BF239" i="22"/>
  <c r="BE239" i="22"/>
  <c r="BD239" i="22"/>
  <c r="BI238" i="22"/>
  <c r="BH238" i="22"/>
  <c r="BJ238" i="22" s="1"/>
  <c r="BG238" i="22"/>
  <c r="BF238" i="22"/>
  <c r="BE238" i="22"/>
  <c r="BD238" i="22"/>
  <c r="BI237" i="22"/>
  <c r="BH237" i="22"/>
  <c r="BJ237" i="22" s="1"/>
  <c r="BG237" i="22"/>
  <c r="BF237" i="22"/>
  <c r="BE237" i="22"/>
  <c r="BD237" i="22"/>
  <c r="BI236" i="22"/>
  <c r="BH236" i="22"/>
  <c r="BJ236" i="22" s="1"/>
  <c r="BG236" i="22"/>
  <c r="BF236" i="22"/>
  <c r="BE236" i="22"/>
  <c r="BD236" i="22"/>
  <c r="BI235" i="22"/>
  <c r="BH235" i="22"/>
  <c r="BJ235" i="22" s="1"/>
  <c r="BG235" i="22"/>
  <c r="BF235" i="22"/>
  <c r="BE235" i="22"/>
  <c r="BD235" i="22"/>
  <c r="BI234" i="22"/>
  <c r="BH234" i="22"/>
  <c r="BJ234" i="22" s="1"/>
  <c r="BG234" i="22"/>
  <c r="BF234" i="22"/>
  <c r="BE234" i="22"/>
  <c r="BD234" i="22"/>
  <c r="BH233" i="22"/>
  <c r="BG233" i="22"/>
  <c r="BF233" i="22"/>
  <c r="BE233" i="22"/>
  <c r="BD233" i="22"/>
  <c r="BC233" i="22"/>
  <c r="BH232" i="22"/>
  <c r="BG232" i="22"/>
  <c r="BF232" i="22"/>
  <c r="BE232" i="22"/>
  <c r="BD232" i="22"/>
  <c r="BC232" i="22"/>
  <c r="BH231" i="22"/>
  <c r="BG231" i="22"/>
  <c r="BF231" i="22"/>
  <c r="BE231" i="22"/>
  <c r="BD231" i="22"/>
  <c r="BC231" i="22"/>
  <c r="BH230" i="22"/>
  <c r="BG230" i="22"/>
  <c r="BF230" i="22"/>
  <c r="BE230" i="22"/>
  <c r="BD230" i="22"/>
  <c r="BC230" i="22"/>
  <c r="BI229" i="22"/>
  <c r="BH229" i="22"/>
  <c r="BJ229" i="22" s="1"/>
  <c r="BG229" i="22"/>
  <c r="BF229" i="22"/>
  <c r="BE229" i="22"/>
  <c r="BD229" i="22"/>
  <c r="BI228" i="22"/>
  <c r="BH228" i="22"/>
  <c r="BJ228" i="22" s="1"/>
  <c r="BG228" i="22"/>
  <c r="BF228" i="22"/>
  <c r="BE228" i="22"/>
  <c r="BD228" i="22"/>
  <c r="BI227" i="22"/>
  <c r="BH227" i="22"/>
  <c r="BJ227" i="22" s="1"/>
  <c r="BG227" i="22"/>
  <c r="BF227" i="22"/>
  <c r="BE227" i="22"/>
  <c r="BD227" i="22"/>
  <c r="BI226" i="22"/>
  <c r="BH226" i="22"/>
  <c r="BJ226" i="22" s="1"/>
  <c r="BG226" i="22"/>
  <c r="BF226" i="22"/>
  <c r="BE226" i="22"/>
  <c r="BD226" i="22"/>
  <c r="BI225" i="22"/>
  <c r="BH225" i="22"/>
  <c r="BJ225" i="22" s="1"/>
  <c r="BG225" i="22"/>
  <c r="BF225" i="22"/>
  <c r="BE225" i="22"/>
  <c r="BD225" i="22"/>
  <c r="BI224" i="22"/>
  <c r="BH224" i="22"/>
  <c r="BJ224" i="22" s="1"/>
  <c r="BG224" i="22"/>
  <c r="BF224" i="22"/>
  <c r="BE224" i="22"/>
  <c r="BD224" i="22"/>
  <c r="BI223" i="22"/>
  <c r="BH223" i="22"/>
  <c r="BJ223" i="22" s="1"/>
  <c r="BG223" i="22"/>
  <c r="BF223" i="22"/>
  <c r="BE223" i="22"/>
  <c r="BD223" i="22"/>
  <c r="BI222" i="22"/>
  <c r="BH222" i="22"/>
  <c r="BJ222" i="22" s="1"/>
  <c r="BG222" i="22"/>
  <c r="BF222" i="22"/>
  <c r="BE222" i="22"/>
  <c r="BD222" i="22"/>
  <c r="BI221" i="22"/>
  <c r="BH221" i="22"/>
  <c r="BJ221" i="22" s="1"/>
  <c r="BG221" i="22"/>
  <c r="BF221" i="22"/>
  <c r="BE221" i="22"/>
  <c r="BD221" i="22"/>
  <c r="BI220" i="22"/>
  <c r="BH220" i="22"/>
  <c r="BJ220" i="22" s="1"/>
  <c r="BG220" i="22"/>
  <c r="BF220" i="22"/>
  <c r="BE220" i="22"/>
  <c r="BD220" i="22"/>
  <c r="BI219" i="22"/>
  <c r="BH219" i="22"/>
  <c r="BJ219" i="22" s="1"/>
  <c r="BG219" i="22"/>
  <c r="BF219" i="22"/>
  <c r="BE219" i="22"/>
  <c r="BD219" i="22"/>
  <c r="BI218" i="22"/>
  <c r="BH218" i="22"/>
  <c r="BJ218" i="22" s="1"/>
  <c r="BG218" i="22"/>
  <c r="BF218" i="22"/>
  <c r="BE218" i="22"/>
  <c r="BD218" i="22"/>
  <c r="BI217" i="22"/>
  <c r="BH217" i="22"/>
  <c r="BJ217" i="22" s="1"/>
  <c r="BG217" i="22"/>
  <c r="BF217" i="22"/>
  <c r="BE217" i="22"/>
  <c r="BD217" i="22"/>
  <c r="BI216" i="22"/>
  <c r="BH216" i="22"/>
  <c r="BJ216" i="22" s="1"/>
  <c r="BG216" i="22"/>
  <c r="BF216" i="22"/>
  <c r="BE216" i="22"/>
  <c r="BD216" i="22"/>
  <c r="BI215" i="22"/>
  <c r="BH215" i="22"/>
  <c r="BJ215" i="22" s="1"/>
  <c r="BG215" i="22"/>
  <c r="BF215" i="22"/>
  <c r="BE215" i="22"/>
  <c r="BD215" i="22"/>
  <c r="BI214" i="22"/>
  <c r="BH214" i="22"/>
  <c r="BJ214" i="22" s="1"/>
  <c r="BG214" i="22"/>
  <c r="BF214" i="22"/>
  <c r="BE214" i="22"/>
  <c r="BD214" i="22"/>
  <c r="BI213" i="22"/>
  <c r="BH213" i="22"/>
  <c r="BJ213" i="22" s="1"/>
  <c r="BG213" i="22"/>
  <c r="BF213" i="22"/>
  <c r="BE213" i="22"/>
  <c r="BD213" i="22"/>
  <c r="BI212" i="22"/>
  <c r="BH212" i="22"/>
  <c r="BJ212" i="22" s="1"/>
  <c r="BG212" i="22"/>
  <c r="BF212" i="22"/>
  <c r="BE212" i="22"/>
  <c r="BD212" i="22"/>
  <c r="BI211" i="22"/>
  <c r="BH211" i="22"/>
  <c r="BJ211" i="22" s="1"/>
  <c r="BG211" i="22"/>
  <c r="BF211" i="22"/>
  <c r="BE211" i="22"/>
  <c r="BD211" i="22"/>
  <c r="BI210" i="22"/>
  <c r="BH210" i="22"/>
  <c r="BJ210" i="22" s="1"/>
  <c r="BG210" i="22"/>
  <c r="BF210" i="22"/>
  <c r="BE210" i="22"/>
  <c r="BD210" i="22"/>
  <c r="BH209" i="22"/>
  <c r="BG209" i="22"/>
  <c r="BF209" i="22"/>
  <c r="BE209" i="22"/>
  <c r="BD209" i="22"/>
  <c r="BC209" i="22"/>
  <c r="BH208" i="22"/>
  <c r="BG208" i="22"/>
  <c r="BF208" i="22"/>
  <c r="BE208" i="22"/>
  <c r="BD208" i="22"/>
  <c r="BC208" i="22"/>
  <c r="BH207" i="22"/>
  <c r="BG207" i="22"/>
  <c r="BF207" i="22"/>
  <c r="BE207" i="22"/>
  <c r="BD207" i="22"/>
  <c r="BC207" i="22"/>
  <c r="BH206" i="22"/>
  <c r="BG206" i="22"/>
  <c r="BF206" i="22"/>
  <c r="BE206" i="22"/>
  <c r="BD206" i="22"/>
  <c r="BC206" i="22"/>
  <c r="BI205" i="22"/>
  <c r="BH205" i="22"/>
  <c r="BJ205" i="22" s="1"/>
  <c r="BG205" i="22"/>
  <c r="BF205" i="22"/>
  <c r="BE205" i="22"/>
  <c r="BD205" i="22"/>
  <c r="BI204" i="22"/>
  <c r="BH204" i="22"/>
  <c r="BJ204" i="22" s="1"/>
  <c r="BG204" i="22"/>
  <c r="BF204" i="22"/>
  <c r="BE204" i="22"/>
  <c r="BD204" i="22"/>
  <c r="BI203" i="22"/>
  <c r="BH203" i="22"/>
  <c r="BJ203" i="22" s="1"/>
  <c r="BG203" i="22"/>
  <c r="BF203" i="22"/>
  <c r="BE203" i="22"/>
  <c r="BD203" i="22"/>
  <c r="BI202" i="22"/>
  <c r="BH202" i="22"/>
  <c r="BJ202" i="22" s="1"/>
  <c r="BG202" i="22"/>
  <c r="BF202" i="22"/>
  <c r="BE202" i="22"/>
  <c r="BD202" i="22"/>
  <c r="BI201" i="22"/>
  <c r="BH201" i="22"/>
  <c r="BJ201" i="22" s="1"/>
  <c r="BG201" i="22"/>
  <c r="BF201" i="22"/>
  <c r="BE201" i="22"/>
  <c r="BD201" i="22"/>
  <c r="BI200" i="22"/>
  <c r="BH200" i="22"/>
  <c r="BJ200" i="22" s="1"/>
  <c r="BG200" i="22"/>
  <c r="BF200" i="22"/>
  <c r="BE200" i="22"/>
  <c r="BD200" i="22"/>
  <c r="BI199" i="22"/>
  <c r="BH199" i="22"/>
  <c r="BJ199" i="22" s="1"/>
  <c r="BG199" i="22"/>
  <c r="BF199" i="22"/>
  <c r="BE199" i="22"/>
  <c r="BD199" i="22"/>
  <c r="BI198" i="22"/>
  <c r="BH198" i="22"/>
  <c r="BJ198" i="22" s="1"/>
  <c r="BG198" i="22"/>
  <c r="BF198" i="22"/>
  <c r="BE198" i="22"/>
  <c r="BD198" i="22"/>
  <c r="BI197" i="22"/>
  <c r="BH197" i="22"/>
  <c r="BJ197" i="22" s="1"/>
  <c r="BG197" i="22"/>
  <c r="BF197" i="22"/>
  <c r="BE197" i="22"/>
  <c r="BD197" i="22"/>
  <c r="BI196" i="22"/>
  <c r="BH196" i="22"/>
  <c r="BJ196" i="22" s="1"/>
  <c r="BG196" i="22"/>
  <c r="BF196" i="22"/>
  <c r="BE196" i="22"/>
  <c r="BD196" i="22"/>
  <c r="BI195" i="22"/>
  <c r="BH195" i="22"/>
  <c r="BJ195" i="22" s="1"/>
  <c r="BG195" i="22"/>
  <c r="BF195" i="22"/>
  <c r="BE195" i="22"/>
  <c r="BD195" i="22"/>
  <c r="BI194" i="22"/>
  <c r="BH194" i="22"/>
  <c r="BJ194" i="22" s="1"/>
  <c r="BG194" i="22"/>
  <c r="BF194" i="22"/>
  <c r="BE194" i="22"/>
  <c r="BD194" i="22"/>
  <c r="BI193" i="22"/>
  <c r="BH193" i="22"/>
  <c r="BJ193" i="22" s="1"/>
  <c r="BG193" i="22"/>
  <c r="BF193" i="22"/>
  <c r="BE193" i="22"/>
  <c r="BD193" i="22"/>
  <c r="BI192" i="22"/>
  <c r="BH192" i="22"/>
  <c r="BJ192" i="22" s="1"/>
  <c r="BG192" i="22"/>
  <c r="BF192" i="22"/>
  <c r="BE192" i="22"/>
  <c r="BD192" i="22"/>
  <c r="BI191" i="22"/>
  <c r="BH191" i="22"/>
  <c r="BJ191" i="22" s="1"/>
  <c r="BG191" i="22"/>
  <c r="BF191" i="22"/>
  <c r="BE191" i="22"/>
  <c r="BD191" i="22"/>
  <c r="BI190" i="22"/>
  <c r="BH190" i="22"/>
  <c r="BJ190" i="22" s="1"/>
  <c r="BG190" i="22"/>
  <c r="BF190" i="22"/>
  <c r="BE190" i="22"/>
  <c r="BD190" i="22"/>
  <c r="BI189" i="22"/>
  <c r="BH189" i="22"/>
  <c r="BJ189" i="22" s="1"/>
  <c r="BG189" i="22"/>
  <c r="BF189" i="22"/>
  <c r="BE189" i="22"/>
  <c r="BD189" i="22"/>
  <c r="BI188" i="22"/>
  <c r="BH188" i="22"/>
  <c r="BJ188" i="22" s="1"/>
  <c r="BG188" i="22"/>
  <c r="BF188" i="22"/>
  <c r="BE188" i="22"/>
  <c r="BD188" i="22"/>
  <c r="BI187" i="22"/>
  <c r="BH187" i="22"/>
  <c r="BJ187" i="22" s="1"/>
  <c r="BG187" i="22"/>
  <c r="BF187" i="22"/>
  <c r="BE187" i="22"/>
  <c r="BD187" i="22"/>
  <c r="BI186" i="22"/>
  <c r="BH186" i="22"/>
  <c r="BJ186" i="22" s="1"/>
  <c r="BG186" i="22"/>
  <c r="BF186" i="22"/>
  <c r="BE186" i="22"/>
  <c r="BD186" i="22"/>
  <c r="BI185" i="22"/>
  <c r="BH185" i="22"/>
  <c r="BJ185" i="22" s="1"/>
  <c r="BG185" i="22"/>
  <c r="BF185" i="22"/>
  <c r="BE185" i="22"/>
  <c r="BD185" i="22"/>
  <c r="BI184" i="22"/>
  <c r="BH184" i="22"/>
  <c r="BJ184" i="22" s="1"/>
  <c r="BG184" i="22"/>
  <c r="BF184" i="22"/>
  <c r="BE184" i="22"/>
  <c r="BD184" i="22"/>
  <c r="BI183" i="22"/>
  <c r="BH183" i="22"/>
  <c r="BJ183" i="22" s="1"/>
  <c r="BG183" i="22"/>
  <c r="BF183" i="22"/>
  <c r="BE183" i="22"/>
  <c r="BD183" i="22"/>
  <c r="BI182" i="22"/>
  <c r="BH182" i="22"/>
  <c r="BJ182" i="22" s="1"/>
  <c r="BG182" i="22"/>
  <c r="BF182" i="22"/>
  <c r="BE182" i="22"/>
  <c r="BD182" i="22"/>
  <c r="BH181" i="22"/>
  <c r="BG181" i="22"/>
  <c r="BF181" i="22"/>
  <c r="BE181" i="22"/>
  <c r="BD181" i="22"/>
  <c r="BC181" i="22"/>
  <c r="BH180" i="22"/>
  <c r="BG180" i="22"/>
  <c r="BF180" i="22"/>
  <c r="BE180" i="22"/>
  <c r="BD180" i="22"/>
  <c r="BC180" i="22"/>
  <c r="BH179" i="22"/>
  <c r="BG179" i="22"/>
  <c r="BF179" i="22"/>
  <c r="BE179" i="22"/>
  <c r="BD179" i="22"/>
  <c r="BC179" i="22"/>
  <c r="BH178" i="22"/>
  <c r="BG178" i="22"/>
  <c r="BF178" i="22"/>
  <c r="BE178" i="22"/>
  <c r="BD178" i="22"/>
  <c r="BC178" i="22"/>
  <c r="BI177" i="22"/>
  <c r="BH177" i="22"/>
  <c r="BJ177" i="22" s="1"/>
  <c r="BG177" i="22"/>
  <c r="BF177" i="22"/>
  <c r="BE177" i="22"/>
  <c r="BD177" i="22"/>
  <c r="BI176" i="22"/>
  <c r="BH176" i="22"/>
  <c r="BJ176" i="22" s="1"/>
  <c r="BG176" i="22"/>
  <c r="BF176" i="22"/>
  <c r="BE176" i="22"/>
  <c r="BD176" i="22"/>
  <c r="BI175" i="22"/>
  <c r="BH175" i="22"/>
  <c r="BJ175" i="22" s="1"/>
  <c r="BG175" i="22"/>
  <c r="BF175" i="22"/>
  <c r="BE175" i="22"/>
  <c r="BD175" i="22"/>
  <c r="BI174" i="22"/>
  <c r="BH174" i="22"/>
  <c r="BJ174" i="22" s="1"/>
  <c r="BG174" i="22"/>
  <c r="BF174" i="22"/>
  <c r="BE174" i="22"/>
  <c r="BD174" i="22"/>
  <c r="BI173" i="22"/>
  <c r="BH173" i="22"/>
  <c r="BJ173" i="22" s="1"/>
  <c r="BG173" i="22"/>
  <c r="BF173" i="22"/>
  <c r="BE173" i="22"/>
  <c r="BD173" i="22"/>
  <c r="BI172" i="22"/>
  <c r="BH172" i="22"/>
  <c r="BJ172" i="22" s="1"/>
  <c r="BG172" i="22"/>
  <c r="BF172" i="22"/>
  <c r="BE172" i="22"/>
  <c r="BD172" i="22"/>
  <c r="BI171" i="22"/>
  <c r="BH171" i="22"/>
  <c r="BJ171" i="22" s="1"/>
  <c r="BG171" i="22"/>
  <c r="BF171" i="22"/>
  <c r="BE171" i="22"/>
  <c r="BD171" i="22"/>
  <c r="BI170" i="22"/>
  <c r="BH170" i="22"/>
  <c r="BJ170" i="22" s="1"/>
  <c r="BG170" i="22"/>
  <c r="BF170" i="22"/>
  <c r="BE170" i="22"/>
  <c r="BD170" i="22"/>
  <c r="BI169" i="22"/>
  <c r="BH169" i="22"/>
  <c r="BJ169" i="22" s="1"/>
  <c r="BG169" i="22"/>
  <c r="BF169" i="22"/>
  <c r="BE169" i="22"/>
  <c r="BD169" i="22"/>
  <c r="BI168" i="22"/>
  <c r="BH168" i="22"/>
  <c r="BJ168" i="22" s="1"/>
  <c r="BG168" i="22"/>
  <c r="BF168" i="22"/>
  <c r="BE168" i="22"/>
  <c r="BD168" i="22"/>
  <c r="BI167" i="22"/>
  <c r="BH167" i="22"/>
  <c r="BJ167" i="22" s="1"/>
  <c r="BG167" i="22"/>
  <c r="BF167" i="22"/>
  <c r="BE167" i="22"/>
  <c r="BD167" i="22"/>
  <c r="BI166" i="22"/>
  <c r="BH166" i="22"/>
  <c r="BJ166" i="22" s="1"/>
  <c r="BG166" i="22"/>
  <c r="BF166" i="22"/>
  <c r="BE166" i="22"/>
  <c r="BD166" i="22"/>
  <c r="BI165" i="22"/>
  <c r="BH165" i="22"/>
  <c r="BJ165" i="22" s="1"/>
  <c r="BG165" i="22"/>
  <c r="BF165" i="22"/>
  <c r="BE165" i="22"/>
  <c r="BD165" i="22"/>
  <c r="BI164" i="22"/>
  <c r="BH164" i="22"/>
  <c r="BJ164" i="22" s="1"/>
  <c r="BG164" i="22"/>
  <c r="BF164" i="22"/>
  <c r="BE164" i="22"/>
  <c r="BD164" i="22"/>
  <c r="BI163" i="22"/>
  <c r="BH163" i="22"/>
  <c r="BJ163" i="22" s="1"/>
  <c r="BG163" i="22"/>
  <c r="BF163" i="22"/>
  <c r="BE163" i="22"/>
  <c r="BD163" i="22"/>
  <c r="BI162" i="22"/>
  <c r="BH162" i="22"/>
  <c r="BJ162" i="22" s="1"/>
  <c r="BG162" i="22"/>
  <c r="BF162" i="22"/>
  <c r="BE162" i="22"/>
  <c r="BD162" i="22"/>
  <c r="BI161" i="22"/>
  <c r="BH161" i="22"/>
  <c r="BJ161" i="22" s="1"/>
  <c r="BG161" i="22"/>
  <c r="BF161" i="22"/>
  <c r="BE161" i="22"/>
  <c r="BD161" i="22"/>
  <c r="BI160" i="22"/>
  <c r="BH160" i="22"/>
  <c r="BJ160" i="22" s="1"/>
  <c r="BG160" i="22"/>
  <c r="BF160" i="22"/>
  <c r="BE160" i="22"/>
  <c r="BD160" i="22"/>
  <c r="BI159" i="22"/>
  <c r="BH159" i="22"/>
  <c r="BJ159" i="22" s="1"/>
  <c r="BG159" i="22"/>
  <c r="BF159" i="22"/>
  <c r="BE159" i="22"/>
  <c r="BD159" i="22"/>
  <c r="BI158" i="22"/>
  <c r="BH158" i="22"/>
  <c r="BJ158" i="22" s="1"/>
  <c r="BG158" i="22"/>
  <c r="BF158" i="22"/>
  <c r="BE158" i="22"/>
  <c r="BD158" i="22"/>
  <c r="BH157" i="22"/>
  <c r="BG157" i="22"/>
  <c r="BF157" i="22"/>
  <c r="BE157" i="22"/>
  <c r="BD157" i="22"/>
  <c r="BC157" i="22"/>
  <c r="BH156" i="22"/>
  <c r="BG156" i="22"/>
  <c r="BF156" i="22"/>
  <c r="BE156" i="22"/>
  <c r="BD156" i="22"/>
  <c r="BC156" i="22"/>
  <c r="BH155" i="22"/>
  <c r="BG155" i="22"/>
  <c r="BF155" i="22"/>
  <c r="BE155" i="22"/>
  <c r="BD155" i="22"/>
  <c r="BC155" i="22"/>
  <c r="BH154" i="22"/>
  <c r="BG154" i="22"/>
  <c r="BF154" i="22"/>
  <c r="BE154" i="22"/>
  <c r="BD154" i="22"/>
  <c r="BC154" i="22"/>
  <c r="BI153" i="22"/>
  <c r="BH153" i="22"/>
  <c r="BJ153" i="22" s="1"/>
  <c r="BG153" i="22"/>
  <c r="BF153" i="22"/>
  <c r="BE153" i="22"/>
  <c r="BD153" i="22"/>
  <c r="BI152" i="22"/>
  <c r="BH152" i="22"/>
  <c r="BJ152" i="22" s="1"/>
  <c r="BG152" i="22"/>
  <c r="BF152" i="22"/>
  <c r="BE152" i="22"/>
  <c r="BD152" i="22"/>
  <c r="BI151" i="22"/>
  <c r="BH151" i="22"/>
  <c r="BJ151" i="22" s="1"/>
  <c r="BG151" i="22"/>
  <c r="BF151" i="22"/>
  <c r="BE151" i="22"/>
  <c r="BD151" i="22"/>
  <c r="BI150" i="22"/>
  <c r="BH150" i="22"/>
  <c r="BJ150" i="22" s="1"/>
  <c r="BG150" i="22"/>
  <c r="BF150" i="22"/>
  <c r="BE150" i="22"/>
  <c r="BD150" i="22"/>
  <c r="BI149" i="22"/>
  <c r="BH149" i="22"/>
  <c r="BJ149" i="22" s="1"/>
  <c r="BG149" i="22"/>
  <c r="BF149" i="22"/>
  <c r="BE149" i="22"/>
  <c r="BD149" i="22"/>
  <c r="BI148" i="22"/>
  <c r="BH148" i="22"/>
  <c r="BJ148" i="22" s="1"/>
  <c r="BG148" i="22"/>
  <c r="BF148" i="22"/>
  <c r="BE148" i="22"/>
  <c r="BD148" i="22"/>
  <c r="BI147" i="22"/>
  <c r="BH147" i="22"/>
  <c r="BJ147" i="22" s="1"/>
  <c r="BG147" i="22"/>
  <c r="BF147" i="22"/>
  <c r="BE147" i="22"/>
  <c r="BD147" i="22"/>
  <c r="BI146" i="22"/>
  <c r="BH146" i="22"/>
  <c r="BJ146" i="22" s="1"/>
  <c r="BG146" i="22"/>
  <c r="BF146" i="22"/>
  <c r="BE146" i="22"/>
  <c r="BD146" i="22"/>
  <c r="BI145" i="22"/>
  <c r="BH145" i="22"/>
  <c r="BJ145" i="22" s="1"/>
  <c r="BG145" i="22"/>
  <c r="BF145" i="22"/>
  <c r="BE145" i="22"/>
  <c r="BD145" i="22"/>
  <c r="BI144" i="22"/>
  <c r="BH144" i="22"/>
  <c r="BJ144" i="22" s="1"/>
  <c r="BG144" i="22"/>
  <c r="BF144" i="22"/>
  <c r="BE144" i="22"/>
  <c r="BD144" i="22"/>
  <c r="BI143" i="22"/>
  <c r="BH143" i="22"/>
  <c r="BJ143" i="22" s="1"/>
  <c r="BG143" i="22"/>
  <c r="BF143" i="22"/>
  <c r="BE143" i="22"/>
  <c r="BD143" i="22"/>
  <c r="BI142" i="22"/>
  <c r="BH142" i="22"/>
  <c r="BJ142" i="22" s="1"/>
  <c r="BG142" i="22"/>
  <c r="BF142" i="22"/>
  <c r="BE142" i="22"/>
  <c r="BD142" i="22"/>
  <c r="BI141" i="22"/>
  <c r="BH141" i="22"/>
  <c r="BJ141" i="22" s="1"/>
  <c r="BG141" i="22"/>
  <c r="BF141" i="22"/>
  <c r="BE141" i="22"/>
  <c r="BD141" i="22"/>
  <c r="BI140" i="22"/>
  <c r="BH140" i="22"/>
  <c r="BJ140" i="22" s="1"/>
  <c r="BG140" i="22"/>
  <c r="BF140" i="22"/>
  <c r="BE140" i="22"/>
  <c r="BD140" i="22"/>
  <c r="BI139" i="22"/>
  <c r="BH139" i="22"/>
  <c r="BJ139" i="22" s="1"/>
  <c r="BG139" i="22"/>
  <c r="BF139" i="22"/>
  <c r="BE139" i="22"/>
  <c r="BD139" i="22"/>
  <c r="BI138" i="22"/>
  <c r="BH138" i="22"/>
  <c r="BJ138" i="22" s="1"/>
  <c r="BG138" i="22"/>
  <c r="BF138" i="22"/>
  <c r="BE138" i="22"/>
  <c r="BD138" i="22"/>
  <c r="BI137" i="22"/>
  <c r="BH137" i="22"/>
  <c r="BJ137" i="22" s="1"/>
  <c r="BG137" i="22"/>
  <c r="BF137" i="22"/>
  <c r="BE137" i="22"/>
  <c r="BD137" i="22"/>
  <c r="BI136" i="22"/>
  <c r="BH136" i="22"/>
  <c r="BJ136" i="22" s="1"/>
  <c r="BG136" i="22"/>
  <c r="BF136" i="22"/>
  <c r="BE136" i="22"/>
  <c r="BD136" i="22"/>
  <c r="BI135" i="22"/>
  <c r="BH135" i="22"/>
  <c r="BJ135" i="22" s="1"/>
  <c r="BG135" i="22"/>
  <c r="BF135" i="22"/>
  <c r="BE135" i="22"/>
  <c r="BD135" i="22"/>
  <c r="BI134" i="22"/>
  <c r="BH134" i="22"/>
  <c r="BJ134" i="22" s="1"/>
  <c r="BG134" i="22"/>
  <c r="BF134" i="22"/>
  <c r="BE134" i="22"/>
  <c r="BD134" i="22"/>
  <c r="BI133" i="22"/>
  <c r="BH133" i="22"/>
  <c r="BJ133" i="22" s="1"/>
  <c r="BG133" i="22"/>
  <c r="BF133" i="22"/>
  <c r="BE133" i="22"/>
  <c r="BD133" i="22"/>
  <c r="BI132" i="22"/>
  <c r="BH132" i="22"/>
  <c r="BJ132" i="22" s="1"/>
  <c r="BG132" i="22"/>
  <c r="BF132" i="22"/>
  <c r="BE132" i="22"/>
  <c r="BD132" i="22"/>
  <c r="BI131" i="22"/>
  <c r="BH131" i="22"/>
  <c r="BJ131" i="22" s="1"/>
  <c r="BG131" i="22"/>
  <c r="BF131" i="22"/>
  <c r="BE131" i="22"/>
  <c r="BD131" i="22"/>
  <c r="BH130" i="22"/>
  <c r="BG130" i="22"/>
  <c r="BF130" i="22"/>
  <c r="BE130" i="22"/>
  <c r="BD130" i="22"/>
  <c r="BC130" i="22"/>
  <c r="BH129" i="22"/>
  <c r="BG129" i="22"/>
  <c r="BF129" i="22"/>
  <c r="BE129" i="22"/>
  <c r="BD129" i="22"/>
  <c r="BC129" i="22"/>
  <c r="BH128" i="22"/>
  <c r="BG128" i="22"/>
  <c r="BF128" i="22"/>
  <c r="BE128" i="22"/>
  <c r="BD128" i="22"/>
  <c r="BC128" i="22"/>
  <c r="BH127" i="22"/>
  <c r="BG127" i="22"/>
  <c r="BF127" i="22"/>
  <c r="BE127" i="22"/>
  <c r="BD127" i="22"/>
  <c r="BC127" i="22"/>
  <c r="BI126" i="22"/>
  <c r="BH126" i="22"/>
  <c r="BJ126" i="22" s="1"/>
  <c r="BG126" i="22"/>
  <c r="BF126" i="22"/>
  <c r="BE126" i="22"/>
  <c r="BD126" i="22"/>
  <c r="BI125" i="22"/>
  <c r="BH125" i="22"/>
  <c r="BJ125" i="22" s="1"/>
  <c r="BG125" i="22"/>
  <c r="BF125" i="22"/>
  <c r="BE125" i="22"/>
  <c r="BD125" i="22"/>
  <c r="BI124" i="22"/>
  <c r="BH124" i="22"/>
  <c r="BJ124" i="22" s="1"/>
  <c r="BG124" i="22"/>
  <c r="BF124" i="22"/>
  <c r="BE124" i="22"/>
  <c r="BD124" i="22"/>
  <c r="BI123" i="22"/>
  <c r="BH123" i="22"/>
  <c r="BJ123" i="22" s="1"/>
  <c r="BG123" i="22"/>
  <c r="BF123" i="22"/>
  <c r="BE123" i="22"/>
  <c r="BD123" i="22"/>
  <c r="BI122" i="22"/>
  <c r="BH122" i="22"/>
  <c r="BJ122" i="22" s="1"/>
  <c r="BG122" i="22"/>
  <c r="BF122" i="22"/>
  <c r="BE122" i="22"/>
  <c r="BD122" i="22"/>
  <c r="BI121" i="22"/>
  <c r="BH121" i="22"/>
  <c r="BJ121" i="22" s="1"/>
  <c r="BG121" i="22"/>
  <c r="BF121" i="22"/>
  <c r="BE121" i="22"/>
  <c r="BD121" i="22"/>
  <c r="BI120" i="22"/>
  <c r="BH120" i="22"/>
  <c r="BJ120" i="22" s="1"/>
  <c r="BG120" i="22"/>
  <c r="BF120" i="22"/>
  <c r="BE120" i="22"/>
  <c r="BD120" i="22"/>
  <c r="BI119" i="22"/>
  <c r="BH119" i="22"/>
  <c r="BJ119" i="22" s="1"/>
  <c r="BG119" i="22"/>
  <c r="BF119" i="22"/>
  <c r="BE119" i="22"/>
  <c r="BD119" i="22"/>
  <c r="BI118" i="22"/>
  <c r="BH118" i="22"/>
  <c r="BJ118" i="22" s="1"/>
  <c r="BG118" i="22"/>
  <c r="BF118" i="22"/>
  <c r="BE118" i="22"/>
  <c r="BD118" i="22"/>
  <c r="BI117" i="22"/>
  <c r="BH117" i="22"/>
  <c r="BJ117" i="22" s="1"/>
  <c r="BG117" i="22"/>
  <c r="BF117" i="22"/>
  <c r="BE117" i="22"/>
  <c r="BD117" i="22"/>
  <c r="BI116" i="22"/>
  <c r="BH116" i="22"/>
  <c r="BJ116" i="22" s="1"/>
  <c r="BG116" i="22"/>
  <c r="BF116" i="22"/>
  <c r="BE116" i="22"/>
  <c r="BD116" i="22"/>
  <c r="BI115" i="22"/>
  <c r="BH115" i="22"/>
  <c r="BJ115" i="22" s="1"/>
  <c r="BG115" i="22"/>
  <c r="BF115" i="22"/>
  <c r="BE115" i="22"/>
  <c r="BD115" i="22"/>
  <c r="BI114" i="22"/>
  <c r="BH114" i="22"/>
  <c r="BJ114" i="22" s="1"/>
  <c r="BG114" i="22"/>
  <c r="BF114" i="22"/>
  <c r="BE114" i="22"/>
  <c r="BD114" i="22"/>
  <c r="BI113" i="22"/>
  <c r="BH113" i="22"/>
  <c r="BJ113" i="22" s="1"/>
  <c r="BG113" i="22"/>
  <c r="BF113" i="22"/>
  <c r="BE113" i="22"/>
  <c r="BD113" i="22"/>
  <c r="BI112" i="22"/>
  <c r="BH112" i="22"/>
  <c r="BJ112" i="22" s="1"/>
  <c r="BG112" i="22"/>
  <c r="BF112" i="22"/>
  <c r="BE112" i="22"/>
  <c r="BD112" i="22"/>
  <c r="BI111" i="22"/>
  <c r="BH111" i="22"/>
  <c r="BJ111" i="22" s="1"/>
  <c r="BG111" i="22"/>
  <c r="BF111" i="22"/>
  <c r="BE111" i="22"/>
  <c r="BD111" i="22"/>
  <c r="BI110" i="22"/>
  <c r="BH110" i="22"/>
  <c r="BJ110" i="22" s="1"/>
  <c r="BG110" i="22"/>
  <c r="BF110" i="22"/>
  <c r="BE110" i="22"/>
  <c r="BD110" i="22"/>
  <c r="BI109" i="22"/>
  <c r="BH109" i="22"/>
  <c r="BJ109" i="22" s="1"/>
  <c r="BG109" i="22"/>
  <c r="BF109" i="22"/>
  <c r="BE109" i="22"/>
  <c r="BD109" i="22"/>
  <c r="BI108" i="22"/>
  <c r="BH108" i="22"/>
  <c r="BJ108" i="22" s="1"/>
  <c r="BG108" i="22"/>
  <c r="BF108" i="22"/>
  <c r="BE108" i="22"/>
  <c r="BD108" i="22"/>
  <c r="BI107" i="22"/>
  <c r="BH107" i="22"/>
  <c r="BJ107" i="22" s="1"/>
  <c r="BG107" i="22"/>
  <c r="BF107" i="22"/>
  <c r="BE107" i="22"/>
  <c r="BD107" i="22"/>
  <c r="BI106" i="22"/>
  <c r="BH106" i="22"/>
  <c r="BJ106" i="22" s="1"/>
  <c r="BG106" i="22"/>
  <c r="BF106" i="22"/>
  <c r="BE106" i="22"/>
  <c r="BD106" i="22"/>
  <c r="BI105" i="22"/>
  <c r="BH105" i="22"/>
  <c r="BJ105" i="22" s="1"/>
  <c r="BG105" i="22"/>
  <c r="BF105" i="22"/>
  <c r="BE105" i="22"/>
  <c r="BD105" i="22"/>
  <c r="BI104" i="22"/>
  <c r="BH104" i="22"/>
  <c r="BJ104" i="22" s="1"/>
  <c r="BG104" i="22"/>
  <c r="BF104" i="22"/>
  <c r="BE104" i="22"/>
  <c r="BD104" i="22"/>
  <c r="BI103" i="22"/>
  <c r="BH103" i="22"/>
  <c r="BJ103" i="22" s="1"/>
  <c r="BG103" i="22"/>
  <c r="BF103" i="22"/>
  <c r="BE103" i="22"/>
  <c r="BD103" i="22"/>
  <c r="BH102" i="22"/>
  <c r="BG102" i="22"/>
  <c r="BF102" i="22"/>
  <c r="BE102" i="22"/>
  <c r="BD102" i="22"/>
  <c r="BC102" i="22"/>
  <c r="BH101" i="22"/>
  <c r="BG101" i="22"/>
  <c r="BF101" i="22"/>
  <c r="BE101" i="22"/>
  <c r="BD101" i="22"/>
  <c r="BC101" i="22"/>
  <c r="BH100" i="22"/>
  <c r="BG100" i="22"/>
  <c r="BF100" i="22"/>
  <c r="BE100" i="22"/>
  <c r="BD100" i="22"/>
  <c r="BC100" i="22"/>
  <c r="BH99" i="22"/>
  <c r="BG99" i="22"/>
  <c r="BF99" i="22"/>
  <c r="BE99" i="22"/>
  <c r="BD99" i="22"/>
  <c r="BC99" i="22"/>
  <c r="BI98" i="22"/>
  <c r="BH98" i="22"/>
  <c r="BJ98" i="22" s="1"/>
  <c r="BG98" i="22"/>
  <c r="BF98" i="22"/>
  <c r="BE98" i="22"/>
  <c r="BD98" i="22"/>
  <c r="BI97" i="22"/>
  <c r="BH97" i="22"/>
  <c r="BJ97" i="22" s="1"/>
  <c r="BG97" i="22"/>
  <c r="BF97" i="22"/>
  <c r="BE97" i="22"/>
  <c r="BD97" i="22"/>
  <c r="BI96" i="22"/>
  <c r="BH96" i="22"/>
  <c r="BJ96" i="22" s="1"/>
  <c r="BG96" i="22"/>
  <c r="BF96" i="22"/>
  <c r="BE96" i="22"/>
  <c r="BD96" i="22"/>
  <c r="BI95" i="22"/>
  <c r="BH95" i="22"/>
  <c r="BJ95" i="22" s="1"/>
  <c r="BG95" i="22"/>
  <c r="BF95" i="22"/>
  <c r="BE95" i="22"/>
  <c r="BD95" i="22"/>
  <c r="BI94" i="22"/>
  <c r="BH94" i="22"/>
  <c r="BJ94" i="22" s="1"/>
  <c r="BG94" i="22"/>
  <c r="BF94" i="22"/>
  <c r="BE94" i="22"/>
  <c r="BD94" i="22"/>
  <c r="BI93" i="22"/>
  <c r="BH93" i="22"/>
  <c r="BJ93" i="22" s="1"/>
  <c r="BG93" i="22"/>
  <c r="BF93" i="22"/>
  <c r="BE93" i="22"/>
  <c r="BD93" i="22"/>
  <c r="BI92" i="22"/>
  <c r="BH92" i="22"/>
  <c r="BJ92" i="22" s="1"/>
  <c r="BG92" i="22"/>
  <c r="BF92" i="22"/>
  <c r="BE92" i="22"/>
  <c r="BD92" i="22"/>
  <c r="BI91" i="22"/>
  <c r="BH91" i="22"/>
  <c r="BJ91" i="22" s="1"/>
  <c r="BG91" i="22"/>
  <c r="BF91" i="22"/>
  <c r="BE91" i="22"/>
  <c r="BD91" i="22"/>
  <c r="BI90" i="22"/>
  <c r="BH90" i="22"/>
  <c r="BJ90" i="22" s="1"/>
  <c r="BG90" i="22"/>
  <c r="BF90" i="22"/>
  <c r="BE90" i="22"/>
  <c r="BD90" i="22"/>
  <c r="BI89" i="22"/>
  <c r="BH89" i="22"/>
  <c r="BJ89" i="22" s="1"/>
  <c r="BG89" i="22"/>
  <c r="BF89" i="22"/>
  <c r="BE89" i="22"/>
  <c r="BD89" i="22"/>
  <c r="BI88" i="22"/>
  <c r="BH88" i="22"/>
  <c r="BJ88" i="22" s="1"/>
  <c r="BG88" i="22"/>
  <c r="BF88" i="22"/>
  <c r="BE88" i="22"/>
  <c r="BD88" i="22"/>
  <c r="BI87" i="22"/>
  <c r="BH87" i="22"/>
  <c r="BJ87" i="22" s="1"/>
  <c r="BG87" i="22"/>
  <c r="BF87" i="22"/>
  <c r="BE87" i="22"/>
  <c r="BD87" i="22"/>
  <c r="BI86" i="22"/>
  <c r="BH86" i="22"/>
  <c r="BJ86" i="22" s="1"/>
  <c r="BG86" i="22"/>
  <c r="BF86" i="22"/>
  <c r="BE86" i="22"/>
  <c r="BD86" i="22"/>
  <c r="BI85" i="22"/>
  <c r="BH85" i="22"/>
  <c r="BJ85" i="22" s="1"/>
  <c r="BG85" i="22"/>
  <c r="BF85" i="22"/>
  <c r="BE85" i="22"/>
  <c r="BD85" i="22"/>
  <c r="BI84" i="22"/>
  <c r="BH84" i="22"/>
  <c r="BJ84" i="22" s="1"/>
  <c r="BG84" i="22"/>
  <c r="BF84" i="22"/>
  <c r="BE84" i="22"/>
  <c r="BD84" i="22"/>
  <c r="BI83" i="22"/>
  <c r="BH83" i="22"/>
  <c r="BJ83" i="22" s="1"/>
  <c r="BG83" i="22"/>
  <c r="BF83" i="22"/>
  <c r="BE83" i="22"/>
  <c r="BD83" i="22"/>
  <c r="BI82" i="22"/>
  <c r="BH82" i="22"/>
  <c r="BJ82" i="22" s="1"/>
  <c r="BG82" i="22"/>
  <c r="BF82" i="22"/>
  <c r="BE82" i="22"/>
  <c r="BD82" i="22"/>
  <c r="BH81" i="22"/>
  <c r="BG81" i="22"/>
  <c r="BF81" i="22"/>
  <c r="BE81" i="22"/>
  <c r="BD81" i="22"/>
  <c r="BC81" i="22"/>
  <c r="BH80" i="22"/>
  <c r="BG80" i="22"/>
  <c r="BF80" i="22"/>
  <c r="BE80" i="22"/>
  <c r="BD80" i="22"/>
  <c r="BC80" i="22"/>
  <c r="BH79" i="22"/>
  <c r="BG79" i="22"/>
  <c r="BF79" i="22"/>
  <c r="BE79" i="22"/>
  <c r="BD79" i="22"/>
  <c r="BC79" i="22"/>
  <c r="BH78" i="22"/>
  <c r="BG78" i="22"/>
  <c r="BF78" i="22"/>
  <c r="BJ78" i="22" s="1"/>
  <c r="BE78" i="22"/>
  <c r="BD78" i="22"/>
  <c r="BC78" i="22"/>
  <c r="BI77" i="22"/>
  <c r="BH77" i="22"/>
  <c r="BJ77" i="22" s="1"/>
  <c r="BG77" i="22"/>
  <c r="BF77" i="22"/>
  <c r="BE77" i="22"/>
  <c r="BD77" i="22"/>
  <c r="BI76" i="22"/>
  <c r="BH76" i="22"/>
  <c r="BJ76" i="22" s="1"/>
  <c r="BG76" i="22"/>
  <c r="BF76" i="22"/>
  <c r="BE76" i="22"/>
  <c r="BD76" i="22"/>
  <c r="BI75" i="22"/>
  <c r="BH75" i="22"/>
  <c r="BJ75" i="22" s="1"/>
  <c r="BG75" i="22"/>
  <c r="BF75" i="22"/>
  <c r="BE75" i="22"/>
  <c r="BD75" i="22"/>
  <c r="BI74" i="22"/>
  <c r="BH74" i="22"/>
  <c r="BJ74" i="22" s="1"/>
  <c r="BG74" i="22"/>
  <c r="BF74" i="22"/>
  <c r="BE74" i="22"/>
  <c r="BD74" i="22"/>
  <c r="BI73" i="22"/>
  <c r="BH73" i="22"/>
  <c r="BJ73" i="22" s="1"/>
  <c r="BG73" i="22"/>
  <c r="BF73" i="22"/>
  <c r="BE73" i="22"/>
  <c r="BD73" i="22"/>
  <c r="BI72" i="22"/>
  <c r="BH72" i="22"/>
  <c r="BJ72" i="22" s="1"/>
  <c r="BG72" i="22"/>
  <c r="BF72" i="22"/>
  <c r="BE72" i="22"/>
  <c r="BD72" i="22"/>
  <c r="BI71" i="22"/>
  <c r="BH71" i="22"/>
  <c r="BJ71" i="22" s="1"/>
  <c r="BG71" i="22"/>
  <c r="BF71" i="22"/>
  <c r="BE71" i="22"/>
  <c r="BD71" i="22"/>
  <c r="BI70" i="22"/>
  <c r="BH70" i="22"/>
  <c r="BJ70" i="22" s="1"/>
  <c r="BG70" i="22"/>
  <c r="BF70" i="22"/>
  <c r="BE70" i="22"/>
  <c r="BD70" i="22"/>
  <c r="BI69" i="22"/>
  <c r="BH69" i="22"/>
  <c r="BJ69" i="22" s="1"/>
  <c r="BG69" i="22"/>
  <c r="BF69" i="22"/>
  <c r="BE69" i="22"/>
  <c r="BD69" i="22"/>
  <c r="BI68" i="22"/>
  <c r="BH68" i="22"/>
  <c r="BJ68" i="22" s="1"/>
  <c r="BG68" i="22"/>
  <c r="BF68" i="22"/>
  <c r="BE68" i="22"/>
  <c r="BD68" i="22"/>
  <c r="BI67" i="22"/>
  <c r="BH67" i="22"/>
  <c r="BJ67" i="22" s="1"/>
  <c r="BG67" i="22"/>
  <c r="BF67" i="22"/>
  <c r="BE67" i="22"/>
  <c r="BD67" i="22"/>
  <c r="BI66" i="22"/>
  <c r="BH66" i="22"/>
  <c r="BJ66" i="22" s="1"/>
  <c r="BG66" i="22"/>
  <c r="BF66" i="22"/>
  <c r="BE66" i="22"/>
  <c r="BD66" i="22"/>
  <c r="BI65" i="22"/>
  <c r="BH65" i="22"/>
  <c r="BJ65" i="22" s="1"/>
  <c r="BG65" i="22"/>
  <c r="BF65" i="22"/>
  <c r="BE65" i="22"/>
  <c r="BD65" i="22"/>
  <c r="BI64" i="22"/>
  <c r="BH64" i="22"/>
  <c r="BJ64" i="22" s="1"/>
  <c r="BG64" i="22"/>
  <c r="BF64" i="22"/>
  <c r="BE64" i="22"/>
  <c r="BD64" i="22"/>
  <c r="BI63" i="22"/>
  <c r="BH63" i="22"/>
  <c r="BJ63" i="22" s="1"/>
  <c r="BG63" i="22"/>
  <c r="BF63" i="22"/>
  <c r="BE63" i="22"/>
  <c r="BD63" i="22"/>
  <c r="BI62" i="22"/>
  <c r="BH62" i="22"/>
  <c r="BJ62" i="22" s="1"/>
  <c r="BG62" i="22"/>
  <c r="BF62" i="22"/>
  <c r="BE62" i="22"/>
  <c r="BD62" i="22"/>
  <c r="BI61" i="22"/>
  <c r="BH61" i="22"/>
  <c r="BJ61" i="22" s="1"/>
  <c r="BG61" i="22"/>
  <c r="BF61" i="22"/>
  <c r="BE61" i="22"/>
  <c r="BD61" i="22"/>
  <c r="BI60" i="22"/>
  <c r="BH60" i="22"/>
  <c r="BJ60" i="22" s="1"/>
  <c r="BG60" i="22"/>
  <c r="BF60" i="22"/>
  <c r="BE60" i="22"/>
  <c r="BD60" i="22"/>
  <c r="BI59" i="22"/>
  <c r="BH59" i="22"/>
  <c r="BJ59" i="22" s="1"/>
  <c r="BG59" i="22"/>
  <c r="BF59" i="22"/>
  <c r="BE59" i="22"/>
  <c r="BD59" i="22"/>
  <c r="BI58" i="22"/>
  <c r="BH58" i="22"/>
  <c r="BJ58" i="22" s="1"/>
  <c r="BG58" i="22"/>
  <c r="BF58" i="22"/>
  <c r="BE58" i="22"/>
  <c r="BD58" i="22"/>
  <c r="BI57" i="22"/>
  <c r="BH57" i="22"/>
  <c r="BJ57" i="22" s="1"/>
  <c r="BG57" i="22"/>
  <c r="BF57" i="22"/>
  <c r="BE57" i="22"/>
  <c r="BD57" i="22"/>
  <c r="BI56" i="22"/>
  <c r="BH56" i="22"/>
  <c r="BJ56" i="22" s="1"/>
  <c r="BG56" i="22"/>
  <c r="BF56" i="22"/>
  <c r="BE56" i="22"/>
  <c r="BD56" i="22"/>
  <c r="BI55" i="22"/>
  <c r="BH55" i="22"/>
  <c r="BJ55" i="22" s="1"/>
  <c r="BG55" i="22"/>
  <c r="BF55" i="22"/>
  <c r="BE55" i="22"/>
  <c r="BD55" i="22"/>
  <c r="BI54" i="22"/>
  <c r="BH54" i="22"/>
  <c r="BJ54" i="22" s="1"/>
  <c r="BG54" i="22"/>
  <c r="BF54" i="22"/>
  <c r="BE54" i="22"/>
  <c r="BD54" i="22"/>
  <c r="BH53" i="22"/>
  <c r="BG53" i="22"/>
  <c r="BF53" i="22"/>
  <c r="BE53" i="22"/>
  <c r="BD53" i="22"/>
  <c r="BC53" i="22"/>
  <c r="BH52" i="22"/>
  <c r="BG52" i="22"/>
  <c r="BF52" i="22"/>
  <c r="BE52" i="22"/>
  <c r="BD52" i="22"/>
  <c r="BC52" i="22"/>
  <c r="BH51" i="22"/>
  <c r="BG51" i="22"/>
  <c r="BF51" i="22"/>
  <c r="BE51" i="22"/>
  <c r="BD51" i="22"/>
  <c r="BC51" i="22"/>
  <c r="BH50" i="22"/>
  <c r="BG50" i="22"/>
  <c r="BF50" i="22"/>
  <c r="BE50" i="22"/>
  <c r="BD50" i="22"/>
  <c r="BC50" i="22"/>
  <c r="BI49" i="22"/>
  <c r="BH49" i="22"/>
  <c r="BJ49" i="22" s="1"/>
  <c r="BG49" i="22"/>
  <c r="BF49" i="22"/>
  <c r="BE49" i="22"/>
  <c r="BD49" i="22"/>
  <c r="BI48" i="22"/>
  <c r="BH48" i="22"/>
  <c r="BJ48" i="22" s="1"/>
  <c r="BG48" i="22"/>
  <c r="BF48" i="22"/>
  <c r="BE48" i="22"/>
  <c r="BD48" i="22"/>
  <c r="BI47" i="22"/>
  <c r="BH47" i="22"/>
  <c r="BJ47" i="22" s="1"/>
  <c r="BG47" i="22"/>
  <c r="BF47" i="22"/>
  <c r="BE47" i="22"/>
  <c r="BD47" i="22"/>
  <c r="BI46" i="22"/>
  <c r="BH46" i="22"/>
  <c r="BJ46" i="22" s="1"/>
  <c r="BG46" i="22"/>
  <c r="BF46" i="22"/>
  <c r="BE46" i="22"/>
  <c r="BD46" i="22"/>
  <c r="BI45" i="22"/>
  <c r="BH45" i="22"/>
  <c r="BJ45" i="22" s="1"/>
  <c r="BG45" i="22"/>
  <c r="BF45" i="22"/>
  <c r="BE45" i="22"/>
  <c r="BD45" i="22"/>
  <c r="BI44" i="22"/>
  <c r="BH44" i="22"/>
  <c r="BJ44" i="22" s="1"/>
  <c r="BG44" i="22"/>
  <c r="BF44" i="22"/>
  <c r="BE44" i="22"/>
  <c r="BD44" i="22"/>
  <c r="BI43" i="22"/>
  <c r="BH43" i="22"/>
  <c r="BJ43" i="22" s="1"/>
  <c r="BG43" i="22"/>
  <c r="BF43" i="22"/>
  <c r="BE43" i="22"/>
  <c r="BD43" i="22"/>
  <c r="BI42" i="22"/>
  <c r="BH42" i="22"/>
  <c r="BJ42" i="22" s="1"/>
  <c r="BG42" i="22"/>
  <c r="BF42" i="22"/>
  <c r="BE42" i="22"/>
  <c r="BD42" i="22"/>
  <c r="BI41" i="22"/>
  <c r="BH41" i="22"/>
  <c r="BJ41" i="22" s="1"/>
  <c r="BG41" i="22"/>
  <c r="BF41" i="22"/>
  <c r="BE41" i="22"/>
  <c r="BD41" i="22"/>
  <c r="BI40" i="22"/>
  <c r="BH40" i="22"/>
  <c r="BJ40" i="22" s="1"/>
  <c r="BG40" i="22"/>
  <c r="BF40" i="22"/>
  <c r="BE40" i="22"/>
  <c r="BD40" i="22"/>
  <c r="BI39" i="22"/>
  <c r="BH39" i="22"/>
  <c r="BJ39" i="22" s="1"/>
  <c r="BG39" i="22"/>
  <c r="BF39" i="22"/>
  <c r="BE39" i="22"/>
  <c r="BD39" i="22"/>
  <c r="BI38" i="22"/>
  <c r="BH38" i="22"/>
  <c r="BJ38" i="22" s="1"/>
  <c r="BG38" i="22"/>
  <c r="BF38" i="22"/>
  <c r="BE38" i="22"/>
  <c r="BD38" i="22"/>
  <c r="BI37" i="22"/>
  <c r="BH37" i="22"/>
  <c r="BJ37" i="22" s="1"/>
  <c r="BG37" i="22"/>
  <c r="BF37" i="22"/>
  <c r="BE37" i="22"/>
  <c r="BD37" i="22"/>
  <c r="BI36" i="22"/>
  <c r="BH36" i="22"/>
  <c r="BJ36" i="22" s="1"/>
  <c r="BG36" i="22"/>
  <c r="BF36" i="22"/>
  <c r="BE36" i="22"/>
  <c r="BD36" i="22"/>
  <c r="BI35" i="22"/>
  <c r="BH35" i="22"/>
  <c r="BJ35" i="22" s="1"/>
  <c r="BG35" i="22"/>
  <c r="BF35" i="22"/>
  <c r="BE35" i="22"/>
  <c r="BD35" i="22"/>
  <c r="BI34" i="22"/>
  <c r="BH34" i="22"/>
  <c r="BJ34" i="22" s="1"/>
  <c r="BG34" i="22"/>
  <c r="BF34" i="22"/>
  <c r="BE34" i="22"/>
  <c r="BD34" i="22"/>
  <c r="BI33" i="22"/>
  <c r="BH33" i="22"/>
  <c r="BJ33" i="22" s="1"/>
  <c r="BG33" i="22"/>
  <c r="BF33" i="22"/>
  <c r="BE33" i="22"/>
  <c r="BD33" i="22"/>
  <c r="BI32" i="22"/>
  <c r="BH32" i="22"/>
  <c r="BJ32" i="22" s="1"/>
  <c r="BG32" i="22"/>
  <c r="BF32" i="22"/>
  <c r="BE32" i="22"/>
  <c r="BD32" i="22"/>
  <c r="BI31" i="22"/>
  <c r="BH31" i="22"/>
  <c r="BJ31" i="22" s="1"/>
  <c r="BG31" i="22"/>
  <c r="BF31" i="22"/>
  <c r="BE31" i="22"/>
  <c r="BD31" i="22"/>
  <c r="BI30" i="22"/>
  <c r="BH30" i="22"/>
  <c r="BJ30" i="22" s="1"/>
  <c r="BG30" i="22"/>
  <c r="BF30" i="22"/>
  <c r="BE30" i="22"/>
  <c r="BD30" i="22"/>
  <c r="BI29" i="22"/>
  <c r="BH29" i="22"/>
  <c r="BJ29" i="22" s="1"/>
  <c r="BG29" i="22"/>
  <c r="BF29" i="22"/>
  <c r="BE29" i="22"/>
  <c r="BD29" i="22"/>
  <c r="BI28" i="22"/>
  <c r="BH28" i="22"/>
  <c r="BJ28" i="22" s="1"/>
  <c r="BG28" i="22"/>
  <c r="BF28" i="22"/>
  <c r="BE28" i="22"/>
  <c r="BD28" i="22"/>
  <c r="BI27" i="22"/>
  <c r="BH27" i="22"/>
  <c r="BJ27" i="22" s="1"/>
  <c r="BG27" i="22"/>
  <c r="BF27" i="22"/>
  <c r="BE27" i="22"/>
  <c r="BD27" i="22"/>
  <c r="BI26" i="22"/>
  <c r="BH26" i="22"/>
  <c r="BJ26" i="22" s="1"/>
  <c r="BG26" i="22"/>
  <c r="BF26" i="22"/>
  <c r="BE26" i="22"/>
  <c r="BD26" i="22"/>
  <c r="BH25" i="22"/>
  <c r="BG25" i="22"/>
  <c r="BF25" i="22"/>
  <c r="BE25" i="22"/>
  <c r="BD25" i="22"/>
  <c r="BC25" i="22"/>
  <c r="BH542" i="22" s="1"/>
  <c r="BH24" i="22"/>
  <c r="BG24" i="22"/>
  <c r="BF24" i="22"/>
  <c r="BE24" i="22"/>
  <c r="BD24" i="22"/>
  <c r="BC24" i="22"/>
  <c r="BH23" i="22"/>
  <c r="BG23" i="22"/>
  <c r="BF23" i="22"/>
  <c r="BE23" i="22"/>
  <c r="BD23" i="22"/>
  <c r="BC23" i="22"/>
  <c r="BH22" i="22"/>
  <c r="BG22" i="22"/>
  <c r="BF22" i="22"/>
  <c r="BE22" i="22"/>
  <c r="BD22" i="22"/>
  <c r="BC22" i="22"/>
  <c r="BI21" i="22"/>
  <c r="BH21" i="22"/>
  <c r="BJ21" i="22" s="1"/>
  <c r="BG21" i="22"/>
  <c r="BF21" i="22"/>
  <c r="BE21" i="22"/>
  <c r="BD21" i="22"/>
  <c r="BI20" i="22"/>
  <c r="BH20" i="22"/>
  <c r="BJ20" i="22" s="1"/>
  <c r="BG20" i="22"/>
  <c r="BF20" i="22"/>
  <c r="BE20" i="22"/>
  <c r="BD20" i="22"/>
  <c r="BI19" i="22"/>
  <c r="BH19" i="22"/>
  <c r="BJ19" i="22" s="1"/>
  <c r="BG19" i="22"/>
  <c r="BF19" i="22"/>
  <c r="BE19" i="22"/>
  <c r="BD19" i="22"/>
  <c r="BI18" i="22"/>
  <c r="BH18" i="22"/>
  <c r="BJ18" i="22" s="1"/>
  <c r="BG18" i="22"/>
  <c r="BF18" i="22"/>
  <c r="BE18" i="22"/>
  <c r="BD18" i="22"/>
  <c r="BI17" i="22"/>
  <c r="BH17" i="22"/>
  <c r="BJ17" i="22" s="1"/>
  <c r="BG17" i="22"/>
  <c r="BF17" i="22"/>
  <c r="BE17" i="22"/>
  <c r="BD17" i="22"/>
  <c r="BI16" i="22"/>
  <c r="BH16" i="22"/>
  <c r="BJ16" i="22" s="1"/>
  <c r="BG16" i="22"/>
  <c r="BF16" i="22"/>
  <c r="BE16" i="22"/>
  <c r="BD16" i="22"/>
  <c r="BI15" i="22"/>
  <c r="BH15" i="22"/>
  <c r="BJ15" i="22" s="1"/>
  <c r="BG15" i="22"/>
  <c r="BF15" i="22"/>
  <c r="BE15" i="22"/>
  <c r="BD15" i="22"/>
  <c r="BI14" i="22"/>
  <c r="BH14" i="22"/>
  <c r="BJ14" i="22" s="1"/>
  <c r="BG14" i="22"/>
  <c r="BF14" i="22"/>
  <c r="BE14" i="22"/>
  <c r="BD14" i="22"/>
  <c r="BI13" i="22"/>
  <c r="BH13" i="22"/>
  <c r="BJ13" i="22" s="1"/>
  <c r="BG13" i="22"/>
  <c r="BF13" i="22"/>
  <c r="BE13" i="22"/>
  <c r="BD13" i="22"/>
  <c r="BI12" i="22"/>
  <c r="BH12" i="22"/>
  <c r="BJ12" i="22" s="1"/>
  <c r="BG12" i="22"/>
  <c r="BF12" i="22"/>
  <c r="BE12" i="22"/>
  <c r="BD12" i="22"/>
  <c r="BI11" i="22"/>
  <c r="BH11" i="22"/>
  <c r="BJ11" i="22" s="1"/>
  <c r="BG11" i="22"/>
  <c r="BF11" i="22"/>
  <c r="BE11" i="22"/>
  <c r="BD11" i="22"/>
  <c r="BI10" i="22"/>
  <c r="BH10" i="22"/>
  <c r="BJ10" i="22" s="1"/>
  <c r="BG10" i="22"/>
  <c r="BF10" i="22"/>
  <c r="BE10" i="22"/>
  <c r="BD10" i="22"/>
  <c r="BI9" i="22"/>
  <c r="BH9" i="22"/>
  <c r="BJ9" i="22" s="1"/>
  <c r="BG9" i="22"/>
  <c r="BF9" i="22"/>
  <c r="BE9" i="22"/>
  <c r="BD9" i="22"/>
  <c r="BI8" i="22"/>
  <c r="BH8" i="22"/>
  <c r="BJ8" i="22" s="1"/>
  <c r="BG8" i="22"/>
  <c r="BF8" i="22"/>
  <c r="BE8" i="22"/>
  <c r="BD8" i="22"/>
  <c r="BI7" i="22"/>
  <c r="BH7" i="22"/>
  <c r="BJ7" i="22" s="1"/>
  <c r="BG7" i="22"/>
  <c r="BF7" i="22"/>
  <c r="BE7" i="22"/>
  <c r="BD7" i="22"/>
  <c r="BI6" i="22"/>
  <c r="BH6" i="22"/>
  <c r="BJ6" i="22" s="1"/>
  <c r="BG6" i="22"/>
  <c r="BF6" i="22"/>
  <c r="BE6" i="22"/>
  <c r="BD6" i="22"/>
  <c r="BI5" i="22"/>
  <c r="BH5" i="22"/>
  <c r="BJ5" i="22" s="1"/>
  <c r="BG5" i="22"/>
  <c r="BF5" i="22"/>
  <c r="BE5" i="22"/>
  <c r="BD5" i="22"/>
  <c r="BI4" i="22"/>
  <c r="BH4" i="22"/>
  <c r="BJ4" i="22" s="1"/>
  <c r="BG4" i="22"/>
  <c r="BF4" i="22"/>
  <c r="BE4" i="22"/>
  <c r="BD4" i="22"/>
  <c r="BI3" i="22"/>
  <c r="BH3" i="22"/>
  <c r="BJ3" i="22" s="1"/>
  <c r="BG3" i="22"/>
  <c r="BF3" i="22"/>
  <c r="BE3" i="22"/>
  <c r="BD3" i="22"/>
  <c r="BI2" i="22"/>
  <c r="BH2" i="22"/>
  <c r="BJ2" i="22" s="1"/>
  <c r="BG2" i="22"/>
  <c r="BF2" i="22"/>
  <c r="BE2" i="22"/>
  <c r="BD2" i="22"/>
  <c r="BC29" i="1" l="1"/>
  <c r="BJ446" i="22"/>
  <c r="BJ447" i="22"/>
  <c r="BJ448" i="22"/>
  <c r="BJ449" i="22"/>
  <c r="BJ450" i="22"/>
  <c r="BJ451" i="22"/>
  <c r="BJ452" i="22"/>
  <c r="BJ453" i="22"/>
  <c r="BJ454" i="22"/>
  <c r="BJ455" i="22"/>
  <c r="BJ456" i="22"/>
  <c r="BJ457" i="22"/>
  <c r="BJ458" i="22"/>
  <c r="BJ459" i="22"/>
  <c r="BJ460" i="22"/>
  <c r="BJ461" i="22"/>
  <c r="BJ462" i="22"/>
  <c r="BJ463" i="22"/>
  <c r="BJ464" i="22"/>
  <c r="BJ465" i="22"/>
  <c r="BJ466" i="22"/>
  <c r="BJ471" i="22"/>
  <c r="BJ472" i="22"/>
  <c r="BJ473" i="22"/>
  <c r="BJ474" i="22"/>
  <c r="BJ475" i="22"/>
  <c r="BJ476" i="22"/>
  <c r="BJ477" i="22"/>
  <c r="BJ478" i="22"/>
  <c r="BJ479" i="22"/>
  <c r="BJ480" i="22"/>
  <c r="BJ481" i="22"/>
  <c r="BJ482" i="22"/>
  <c r="BJ483" i="22"/>
  <c r="BJ484" i="22"/>
  <c r="BJ485" i="22"/>
  <c r="BJ486" i="22"/>
  <c r="BJ487" i="22"/>
  <c r="BJ488" i="22"/>
  <c r="BJ492" i="22"/>
  <c r="BJ493" i="22"/>
  <c r="BJ494" i="22"/>
  <c r="BJ495" i="22"/>
  <c r="BJ496" i="22"/>
  <c r="BJ497" i="22"/>
  <c r="BJ498" i="22"/>
  <c r="BJ499" i="22"/>
  <c r="BJ500" i="22"/>
  <c r="BJ501" i="22"/>
  <c r="BJ502" i="22"/>
  <c r="BJ503" i="22"/>
  <c r="BJ504" i="22"/>
  <c r="BJ505" i="22"/>
  <c r="BJ506" i="22"/>
  <c r="BJ507" i="22"/>
  <c r="BJ508" i="22"/>
  <c r="BJ509" i="22"/>
  <c r="BJ510" i="22"/>
  <c r="BJ511" i="22"/>
  <c r="BJ512" i="22"/>
  <c r="BJ514" i="22"/>
  <c r="BA150" i="15"/>
  <c r="BA46" i="15"/>
  <c r="BA74" i="15"/>
  <c r="BA95" i="15"/>
  <c r="BA126" i="15"/>
  <c r="AZ44" i="19"/>
  <c r="AZ72" i="19"/>
  <c r="AZ126" i="19"/>
  <c r="AZ150" i="19"/>
  <c r="AZ93" i="19"/>
  <c r="BJ516" i="22"/>
  <c r="BJ517" i="22"/>
  <c r="BJ518" i="22"/>
  <c r="BJ22" i="22"/>
  <c r="BJ23" i="22"/>
  <c r="BJ24" i="22"/>
  <c r="BJ25" i="22"/>
  <c r="BJ50" i="22"/>
  <c r="BJ51" i="22"/>
  <c r="BJ52" i="22"/>
  <c r="BJ53" i="22"/>
  <c r="BJ79" i="22"/>
  <c r="BJ80" i="22"/>
  <c r="BJ81" i="22"/>
  <c r="BJ99" i="22"/>
  <c r="BJ100" i="22"/>
  <c r="BJ101" i="22"/>
  <c r="BJ102" i="22"/>
  <c r="BJ127" i="22"/>
  <c r="BJ128" i="22"/>
  <c r="BJ129" i="22"/>
  <c r="BJ130" i="22"/>
  <c r="BJ154" i="22"/>
  <c r="BJ155" i="22"/>
  <c r="BJ156" i="22"/>
  <c r="BJ157" i="22"/>
  <c r="BJ178" i="22"/>
  <c r="BJ179" i="22"/>
  <c r="BJ180" i="22"/>
  <c r="BJ181" i="22"/>
  <c r="BJ206" i="22"/>
  <c r="BJ207" i="22"/>
  <c r="BJ208" i="22"/>
  <c r="BJ209" i="22"/>
  <c r="BJ230" i="22"/>
  <c r="BJ231" i="22"/>
  <c r="BJ232" i="22"/>
  <c r="BJ233" i="22"/>
  <c r="BJ254" i="22"/>
  <c r="BJ255" i="22"/>
  <c r="BJ256" i="22"/>
  <c r="BJ257" i="22"/>
  <c r="BJ279" i="22"/>
  <c r="BJ280" i="22"/>
  <c r="BJ281" i="22"/>
  <c r="BJ306" i="22"/>
  <c r="BJ307" i="22"/>
  <c r="BJ308" i="22"/>
  <c r="BJ309" i="22"/>
  <c r="BJ334" i="22"/>
  <c r="BJ335" i="22"/>
  <c r="BJ336" i="22"/>
  <c r="BJ337" i="22"/>
  <c r="BJ361" i="22"/>
  <c r="BJ362" i="22"/>
  <c r="BJ363" i="22"/>
  <c r="BJ364" i="22"/>
  <c r="BJ387" i="22"/>
  <c r="BJ388" i="22"/>
  <c r="BJ389" i="22"/>
  <c r="BJ390" i="22"/>
  <c r="BJ414" i="22"/>
  <c r="BJ415" i="22"/>
  <c r="BJ416" i="22"/>
  <c r="BJ417" i="22"/>
  <c r="BJ442" i="22"/>
  <c r="BJ443" i="22"/>
  <c r="BJ444" i="22"/>
  <c r="BJ445" i="22"/>
  <c r="BJ467" i="22"/>
  <c r="BJ468" i="22"/>
  <c r="BJ469" i="22"/>
  <c r="BJ470" i="22"/>
  <c r="BJ489" i="22"/>
  <c r="BJ490" i="22"/>
  <c r="BJ491" i="22"/>
  <c r="BJ513" i="22"/>
  <c r="BJ515" i="22"/>
  <c r="BJ540" i="22"/>
  <c r="BJ542" i="22"/>
</calcChain>
</file>

<file path=xl/sharedStrings.xml><?xml version="1.0" encoding="utf-8"?>
<sst xmlns="http://schemas.openxmlformats.org/spreadsheetml/2006/main" count="1576" uniqueCount="100">
  <si>
    <t>Country</t>
  </si>
  <si>
    <t>Commodity</t>
  </si>
  <si>
    <t>Attribute</t>
  </si>
  <si>
    <t>2011/2012</t>
  </si>
  <si>
    <t>Argentina</t>
  </si>
  <si>
    <t>Corn (1000 MT)</t>
  </si>
  <si>
    <t>Production</t>
  </si>
  <si>
    <t>Imports</t>
  </si>
  <si>
    <t>Exports</t>
  </si>
  <si>
    <t>Domestic Consumption</t>
  </si>
  <si>
    <t>Cotton 1000 480 lb. Bales</t>
  </si>
  <si>
    <t>Oilseed, Soybean (1000 MT)</t>
  </si>
  <si>
    <t>Rice, Milled (1000 MT)</t>
  </si>
  <si>
    <t>Sorghum (1000 MT)</t>
  </si>
  <si>
    <t>Sugar, Centrifugal (1000 MT)</t>
  </si>
  <si>
    <t>Wheat (1000 MT)</t>
  </si>
  <si>
    <t>Australia</t>
  </si>
  <si>
    <t>Brazil</t>
  </si>
  <si>
    <t>Canada</t>
  </si>
  <si>
    <t>China</t>
  </si>
  <si>
    <t>Egypt</t>
  </si>
  <si>
    <t>EU-27</t>
  </si>
  <si>
    <t>India</t>
  </si>
  <si>
    <t>Indonesia</t>
  </si>
  <si>
    <t>Japan</t>
  </si>
  <si>
    <t>Korea, South</t>
  </si>
  <si>
    <t>Mexico</t>
  </si>
  <si>
    <t>Nigeria</t>
  </si>
  <si>
    <t>Pakistan</t>
  </si>
  <si>
    <t>Russia</t>
  </si>
  <si>
    <t>South Africa</t>
  </si>
  <si>
    <t>Thailand</t>
  </si>
  <si>
    <t>Turkey</t>
  </si>
  <si>
    <t>Uzbekistan</t>
  </si>
  <si>
    <t>Vietnam</t>
  </si>
  <si>
    <t>World</t>
  </si>
  <si>
    <t>% World 2005/6</t>
  </si>
  <si>
    <t>2006/7</t>
  </si>
  <si>
    <t>2007/8</t>
  </si>
  <si>
    <t>2008/9</t>
  </si>
  <si>
    <t>2009/10</t>
  </si>
  <si>
    <t>2010/11</t>
  </si>
  <si>
    <t>Total Sugar Production</t>
  </si>
  <si>
    <t>Human Dom. Consumption</t>
  </si>
  <si>
    <t>Total Exports</t>
  </si>
  <si>
    <t>Total Imports</t>
  </si>
  <si>
    <t>EU-28</t>
  </si>
  <si>
    <t>EU-29</t>
  </si>
  <si>
    <t>EU-30</t>
  </si>
  <si>
    <t>West Africa*</t>
  </si>
  <si>
    <t>*West African Countries (WAC) include Benin, Burkina Faso, Cape Verde, Côte d'Ivoire, Gambia, Ghana, Guinea, Guinea-Bissau, Liberia, Mali, Mauritiana, Niger, Nigeria, Senegal, Sierra Leone, and Togo.</t>
  </si>
  <si>
    <t>1960/61</t>
  </si>
  <si>
    <t>1961/62</t>
  </si>
  <si>
    <t>1962/63</t>
  </si>
  <si>
    <t>1963/64</t>
  </si>
  <si>
    <t>1964/65</t>
  </si>
  <si>
    <t>1965/66</t>
  </si>
  <si>
    <t>1966/67</t>
  </si>
  <si>
    <t>1967/68</t>
  </si>
  <si>
    <t>1968/69</t>
  </si>
  <si>
    <t>1969/70</t>
  </si>
  <si>
    <t>1970/71</t>
  </si>
  <si>
    <t>1971/72</t>
  </si>
  <si>
    <t>1972/73</t>
  </si>
  <si>
    <t>1973/74</t>
  </si>
  <si>
    <t>1974/75</t>
  </si>
  <si>
    <t>1975/76</t>
  </si>
  <si>
    <t>1976/77</t>
  </si>
  <si>
    <t>1977/78</t>
  </si>
  <si>
    <t>1978/79</t>
  </si>
  <si>
    <t>1979/80</t>
  </si>
  <si>
    <t>1980/81</t>
  </si>
  <si>
    <t>1981/82</t>
  </si>
  <si>
    <t>1982/83</t>
  </si>
  <si>
    <t>1983/84</t>
  </si>
  <si>
    <t>1984/85</t>
  </si>
  <si>
    <t>1985/86</t>
  </si>
  <si>
    <t>1986/87</t>
  </si>
  <si>
    <t>1987/88</t>
  </si>
  <si>
    <t>1988/89</t>
  </si>
  <si>
    <t>1989/90</t>
  </si>
  <si>
    <t>1990/91</t>
  </si>
  <si>
    <t>1991/92</t>
  </si>
  <si>
    <t>1992/93</t>
  </si>
  <si>
    <t>1993/94</t>
  </si>
  <si>
    <t>1994/95</t>
  </si>
  <si>
    <t>1995/96</t>
  </si>
  <si>
    <t>1996/97</t>
  </si>
  <si>
    <t>1997/98</t>
  </si>
  <si>
    <t>1998/99</t>
  </si>
  <si>
    <t>1999/00</t>
  </si>
  <si>
    <t>2000/01</t>
  </si>
  <si>
    <t>2001/02</t>
  </si>
  <si>
    <t>2002/03</t>
  </si>
  <si>
    <t>2003/04</t>
  </si>
  <si>
    <t>2005/06</t>
  </si>
  <si>
    <t>2006/07</t>
  </si>
  <si>
    <t>2007/08</t>
  </si>
  <si>
    <t>2008/09</t>
  </si>
  <si>
    <t>2004/05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</si>
</sst>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%"/>
    <numFmt numFmtId="165" formatCode="_(* #,##0_);_(* \(#,##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rgb="FF4D4D4D"/>
      <name val="Verdana"/>
      <family val="2"/>
    </font>
    <font>
      <sz val="10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5D5D5"/>
        <bgColor indexed="64"/>
      </patternFill>
    </fill>
    <fill>
      <patternFill patternType="solid">
        <fgColor rgb="FFF5F5F5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C0C0C0"/>
      </left>
      <right style="thin">
        <color rgb="FF000000"/>
      </right>
      <top style="medium">
        <color rgb="FFC0C0C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C0C0C0"/>
      </top>
      <bottom style="thin">
        <color rgb="FF000000"/>
      </bottom>
      <diagonal/>
    </border>
    <border>
      <left style="thin">
        <color rgb="FF000000"/>
      </left>
      <right style="medium">
        <color rgb="FFC0C0C0"/>
      </right>
      <top style="medium">
        <color rgb="FFC0C0C0"/>
      </top>
      <bottom style="thin">
        <color rgb="FF000000"/>
      </bottom>
      <diagonal/>
    </border>
    <border>
      <left style="medium">
        <color rgb="FFC0C0C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C0C0C0"/>
      </right>
      <top style="thin">
        <color rgb="FF000000"/>
      </top>
      <bottom style="thin">
        <color rgb="FF000000"/>
      </bottom>
      <diagonal/>
    </border>
    <border>
      <left style="medium">
        <color rgb="FFC0C0C0"/>
      </left>
      <right style="thin">
        <color rgb="FF000000"/>
      </right>
      <top style="thin">
        <color rgb="FF000000"/>
      </top>
      <bottom style="medium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C0C0C0"/>
      </bottom>
      <diagonal/>
    </border>
    <border>
      <left style="thin">
        <color rgb="FF000000"/>
      </left>
      <right style="medium">
        <color rgb="FFC0C0C0"/>
      </right>
      <top style="thin">
        <color rgb="FF000000"/>
      </top>
      <bottom style="medium">
        <color rgb="FFC0C0C0"/>
      </bottom>
      <diagonal/>
    </border>
    <border>
      <left/>
      <right style="medium">
        <color rgb="FFC0C0C0"/>
      </right>
      <top style="thin">
        <color rgb="FF000000"/>
      </top>
      <bottom style="thin">
        <color rgb="FF000000"/>
      </bottom>
      <diagonal/>
    </border>
    <border>
      <left style="medium">
        <color rgb="FFC0C0C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medium">
        <color rgb="FFC0C0C0"/>
      </right>
      <top/>
      <bottom/>
      <diagonal/>
    </border>
    <border>
      <left/>
      <right/>
      <top/>
      <bottom style="medium">
        <color rgb="FFC0C0C0"/>
      </bottom>
      <diagonal/>
    </border>
    <border>
      <left/>
      <right style="medium">
        <color rgb="FFC0C0C0"/>
      </right>
      <top/>
      <bottom style="medium">
        <color rgb="FFC0C0C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0">
    <xf numFmtId="0" fontId="0" fillId="0" borderId="0" xfId="0"/>
    <xf numFmtId="0" fontId="18" fillId="33" borderId="0" xfId="0" applyFont="1" applyFill="1" applyAlignment="1">
      <alignment horizontal="center"/>
    </xf>
    <xf numFmtId="0" fontId="0" fillId="0" borderId="10" xfId="0" applyBorder="1" applyAlignment="1">
      <alignment horizontal="left" wrapText="1"/>
    </xf>
    <xf numFmtId="3" fontId="0" fillId="0" borderId="10" xfId="0" applyNumberFormat="1" applyBorder="1" applyAlignment="1">
      <alignment horizontal="right" wrapText="1"/>
    </xf>
    <xf numFmtId="0" fontId="0" fillId="0" borderId="10" xfId="0" applyBorder="1" applyAlignment="1">
      <alignment horizontal="right" wrapText="1"/>
    </xf>
    <xf numFmtId="0" fontId="0" fillId="34" borderId="0" xfId="0" applyFill="1"/>
    <xf numFmtId="0" fontId="0" fillId="34" borderId="10" xfId="0" applyFill="1" applyBorder="1" applyAlignment="1">
      <alignment horizontal="left" wrapText="1"/>
    </xf>
    <xf numFmtId="0" fontId="0" fillId="34" borderId="10" xfId="0" applyFill="1" applyBorder="1" applyAlignment="1">
      <alignment horizontal="right" wrapText="1"/>
    </xf>
    <xf numFmtId="3" fontId="0" fillId="34" borderId="10" xfId="0" applyNumberFormat="1" applyFill="1" applyBorder="1" applyAlignment="1">
      <alignment horizontal="right" wrapText="1"/>
    </xf>
    <xf numFmtId="0" fontId="18" fillId="33" borderId="11" xfId="0" applyFont="1" applyFill="1" applyBorder="1" applyAlignment="1">
      <alignment horizontal="center" vertical="center" wrapText="1"/>
    </xf>
    <xf numFmtId="0" fontId="18" fillId="33" borderId="12" xfId="0" applyFont="1" applyFill="1" applyBorder="1" applyAlignment="1">
      <alignment horizontal="center" vertical="center" wrapText="1"/>
    </xf>
    <xf numFmtId="0" fontId="18" fillId="33" borderId="13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left" wrapText="1"/>
    </xf>
    <xf numFmtId="0" fontId="0" fillId="0" borderId="15" xfId="0" applyBorder="1" applyAlignment="1">
      <alignment horizontal="right" wrapText="1"/>
    </xf>
    <xf numFmtId="0" fontId="0" fillId="34" borderId="14" xfId="0" applyFill="1" applyBorder="1" applyAlignment="1">
      <alignment horizontal="left" wrapText="1"/>
    </xf>
    <xf numFmtId="0" fontId="0" fillId="34" borderId="15" xfId="0" applyFill="1" applyBorder="1" applyAlignment="1">
      <alignment horizontal="right" wrapText="1"/>
    </xf>
    <xf numFmtId="0" fontId="0" fillId="34" borderId="16" xfId="0" applyFill="1" applyBorder="1" applyAlignment="1">
      <alignment horizontal="left" wrapText="1"/>
    </xf>
    <xf numFmtId="0" fontId="0" fillId="34" borderId="17" xfId="0" applyFill="1" applyBorder="1" applyAlignment="1">
      <alignment horizontal="left" wrapText="1"/>
    </xf>
    <xf numFmtId="3" fontId="0" fillId="34" borderId="17" xfId="0" applyNumberFormat="1" applyFill="1" applyBorder="1" applyAlignment="1">
      <alignment horizontal="right" wrapText="1"/>
    </xf>
    <xf numFmtId="0" fontId="0" fillId="34" borderId="18" xfId="0" applyFill="1" applyBorder="1" applyAlignment="1">
      <alignment horizontal="right" wrapText="1"/>
    </xf>
    <xf numFmtId="164" fontId="0" fillId="0" borderId="0" xfId="42" applyNumberFormat="1" applyFont="1"/>
    <xf numFmtId="164" fontId="0" fillId="34" borderId="0" xfId="42" applyNumberFormat="1" applyFont="1" applyFill="1"/>
    <xf numFmtId="16" fontId="18" fillId="33" borderId="0" xfId="0" applyNumberFormat="1" applyFont="1" applyFill="1" applyAlignment="1">
      <alignment horizontal="center"/>
    </xf>
    <xf numFmtId="164" fontId="0" fillId="0" borderId="0" xfId="0" applyNumberFormat="1"/>
    <xf numFmtId="3" fontId="0" fillId="0" borderId="15" xfId="0" applyNumberFormat="1" applyBorder="1" applyAlignment="1">
      <alignment horizontal="right" wrapText="1"/>
    </xf>
    <xf numFmtId="3" fontId="0" fillId="34" borderId="15" xfId="0" applyNumberFormat="1" applyFill="1" applyBorder="1" applyAlignment="1">
      <alignment horizontal="right" wrapText="1"/>
    </xf>
    <xf numFmtId="0" fontId="0" fillId="0" borderId="17" xfId="0" applyBorder="1" applyAlignment="1">
      <alignment horizontal="left" wrapText="1"/>
    </xf>
    <xf numFmtId="3" fontId="0" fillId="0" borderId="17" xfId="0" applyNumberFormat="1" applyBorder="1" applyAlignment="1">
      <alignment horizontal="right" wrapText="1"/>
    </xf>
    <xf numFmtId="3" fontId="0" fillId="0" borderId="18" xfId="0" applyNumberFormat="1" applyBorder="1" applyAlignment="1">
      <alignment horizontal="right" wrapText="1"/>
    </xf>
    <xf numFmtId="0" fontId="19" fillId="0" borderId="0" xfId="0" applyFont="1"/>
    <xf numFmtId="0" fontId="0" fillId="34" borderId="19" xfId="0" applyFill="1" applyBorder="1" applyAlignment="1">
      <alignment horizontal="right" wrapText="1"/>
    </xf>
    <xf numFmtId="0" fontId="0" fillId="0" borderId="19" xfId="0" applyBorder="1" applyAlignment="1">
      <alignment horizontal="right" wrapText="1"/>
    </xf>
    <xf numFmtId="0" fontId="0" fillId="34" borderId="0" xfId="0" applyFill="1" applyBorder="1" applyAlignment="1">
      <alignment horizontal="left" wrapText="1"/>
    </xf>
    <xf numFmtId="0" fontId="0" fillId="34" borderId="0" xfId="0" applyFill="1" applyBorder="1" applyAlignment="1">
      <alignment horizontal="right" wrapText="1"/>
    </xf>
    <xf numFmtId="0" fontId="0" fillId="0" borderId="0" xfId="0" applyBorder="1" applyAlignment="1">
      <alignment horizontal="left" wrapText="1"/>
    </xf>
    <xf numFmtId="0" fontId="0" fillId="0" borderId="0" xfId="0" applyBorder="1" applyAlignment="1">
      <alignment horizontal="right" wrapText="1"/>
    </xf>
    <xf numFmtId="3" fontId="0" fillId="34" borderId="0" xfId="0" applyNumberFormat="1" applyFill="1" applyBorder="1" applyAlignment="1">
      <alignment horizontal="right" wrapText="1"/>
    </xf>
    <xf numFmtId="3" fontId="0" fillId="0" borderId="0" xfId="0" applyNumberFormat="1" applyBorder="1" applyAlignment="1">
      <alignment horizontal="right" wrapText="1"/>
    </xf>
    <xf numFmtId="0" fontId="0" fillId="0" borderId="0" xfId="0" applyBorder="1"/>
    <xf numFmtId="0" fontId="0" fillId="0" borderId="20" xfId="0" applyBorder="1" applyAlignment="1">
      <alignment horizontal="left" wrapText="1"/>
    </xf>
    <xf numFmtId="0" fontId="0" fillId="0" borderId="21" xfId="0" applyBorder="1" applyAlignment="1">
      <alignment horizontal="left" wrapText="1"/>
    </xf>
    <xf numFmtId="3" fontId="0" fillId="0" borderId="21" xfId="0" applyNumberFormat="1" applyBorder="1" applyAlignment="1">
      <alignment horizontal="right" wrapText="1"/>
    </xf>
    <xf numFmtId="165" fontId="0" fillId="0" borderId="0" xfId="43" applyNumberFormat="1" applyFont="1"/>
    <xf numFmtId="165" fontId="0" fillId="34" borderId="0" xfId="43" applyNumberFormat="1" applyFont="1" applyFill="1"/>
    <xf numFmtId="165" fontId="0" fillId="0" borderId="10" xfId="43" applyNumberFormat="1" applyFont="1" applyBorder="1" applyAlignment="1">
      <alignment horizontal="right" wrapText="1"/>
    </xf>
    <xf numFmtId="165" fontId="0" fillId="0" borderId="15" xfId="43" applyNumberFormat="1" applyFont="1" applyBorder="1" applyAlignment="1">
      <alignment horizontal="right" wrapText="1"/>
    </xf>
    <xf numFmtId="0" fontId="18" fillId="33" borderId="0" xfId="43" applyNumberFormat="1" applyFont="1" applyFill="1" applyAlignment="1">
      <alignment horizontal="center"/>
    </xf>
    <xf numFmtId="165" fontId="0" fillId="34" borderId="10" xfId="43" applyNumberFormat="1" applyFont="1" applyFill="1" applyBorder="1" applyAlignment="1">
      <alignment horizontal="right" wrapText="1"/>
    </xf>
    <xf numFmtId="165" fontId="0" fillId="34" borderId="15" xfId="43" applyNumberFormat="1" applyFont="1" applyFill="1" applyBorder="1" applyAlignment="1">
      <alignment horizontal="right" wrapText="1"/>
    </xf>
    <xf numFmtId="165" fontId="0" fillId="0" borderId="0" xfId="43" applyNumberFormat="1" applyFont="1" applyBorder="1"/>
    <xf numFmtId="165" fontId="0" fillId="0" borderId="22" xfId="43" applyNumberFormat="1" applyFont="1" applyBorder="1"/>
    <xf numFmtId="165" fontId="0" fillId="34" borderId="0" xfId="43" applyNumberFormat="1" applyFont="1" applyFill="1" applyBorder="1"/>
    <xf numFmtId="165" fontId="0" fillId="34" borderId="22" xfId="43" applyNumberFormat="1" applyFont="1" applyFill="1" applyBorder="1"/>
    <xf numFmtId="165" fontId="0" fillId="34" borderId="23" xfId="43" applyNumberFormat="1" applyFont="1" applyFill="1" applyBorder="1"/>
    <xf numFmtId="165" fontId="0" fillId="34" borderId="24" xfId="43" applyNumberFormat="1" applyFont="1" applyFill="1" applyBorder="1"/>
    <xf numFmtId="165" fontId="0" fillId="0" borderId="10" xfId="43" applyNumberFormat="1" applyFont="1" applyBorder="1" applyAlignment="1">
      <alignment horizontal="left" wrapText="1"/>
    </xf>
    <xf numFmtId="165" fontId="0" fillId="34" borderId="10" xfId="43" applyNumberFormat="1" applyFont="1" applyFill="1" applyBorder="1" applyAlignment="1">
      <alignment horizontal="left" wrapText="1"/>
    </xf>
    <xf numFmtId="0" fontId="18" fillId="33" borderId="12" xfId="43" applyNumberFormat="1" applyFont="1" applyFill="1" applyBorder="1" applyAlignment="1">
      <alignment horizontal="center" vertical="center" wrapText="1"/>
    </xf>
    <xf numFmtId="165" fontId="0" fillId="34" borderId="25" xfId="43" applyNumberFormat="1" applyFont="1" applyFill="1" applyBorder="1" applyAlignment="1">
      <alignment horizontal="right" wrapText="1"/>
    </xf>
    <xf numFmtId="165" fontId="0" fillId="34" borderId="17" xfId="43" applyNumberFormat="1" applyFont="1" applyFill="1" applyBorder="1" applyAlignment="1">
      <alignment horizontal="right"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3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Percent" xfId="42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6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7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1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3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7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9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1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3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3.xml"/></Relationships>
</file>

<file path=xl/charts/_rels/chart3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3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5.xml"/></Relationships>
</file>

<file path=xl/charts/_rels/chart4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4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7.xml"/></Relationships>
</file>

<file path=xl/charts/_rels/chart4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9.xml"/></Relationships>
</file>

<file path=xl/charts/_rels/chart4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4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1.xml"/></Relationships>
</file>

<file path=xl/charts/_rels/chart4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4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3.xml"/></Relationships>
</file>

<file path=xl/charts/_rels/chart4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4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4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7.xml"/></Relationships>
</file>

<file path=xl/charts/_rels/chart5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5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9.xml"/></Relationships>
</file>

<file path=xl/charts/_rels/chart5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5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1.xml"/></Relationships>
</file>

<file path=xl/charts/_rels/chart5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_rels/chart5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4.xml"/></Relationships>
</file>

<file path=xl/charts/_rels/chart5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5.xml"/></Relationships>
</file>

<file path=xl/charts/_rels/chart5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6.xml"/></Relationships>
</file>

<file path=xl/charts/_rels/chart5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7.xml"/></Relationships>
</file>

<file path=xl/charts/_rels/chart5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8.xml"/></Relationships>
</file>

<file path=xl/charts/_rels/chart6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9.xml"/></Relationships>
</file>

<file path=xl/charts/_rels/chart6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1.xml"/></Relationships>
</file>

<file path=xl/charts/_rels/chart6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2.xml"/></Relationships>
</file>

<file path=xl/charts/_rels/chart6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3.xml"/></Relationships>
</file>

<file path=xl/charts/_rels/chart6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4.xml"/></Relationships>
</file>

<file path=xl/charts/_rels/chart6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5.xml"/></Relationships>
</file>

<file path=xl/charts/_rels/chart6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6.xml"/></Relationships>
</file>

<file path=xl/charts/_rels/chart6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7.xml"/></Relationships>
</file>

<file path=xl/charts/_rels/chart6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9.xml"/></Relationships>
</file>

<file path=xl/charts/_rels/chart6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0.xml"/></Relationships>
</file>

<file path=xl/charts/_rels/chart7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1.xml"/></Relationships>
</file>

<file path=xl/charts/_rels/chart7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2.xml"/></Relationships>
</file>

<file path=xl/charts/_rels/chart7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3.xml"/></Relationships>
</file>

<file path=xl/charts/_rels/chart7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4.xml"/></Relationships>
</file>

<file path=xl/charts/_rels/chart7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5.xml"/></Relationships>
</file>

<file path=xl/charts/_rels/chart7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7.xml"/></Relationships>
</file>

<file path=xl/charts/_rels/chart7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8.xml"/></Relationships>
</file>

<file path=xl/charts/_rels/chart7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9.xml"/></Relationships>
</file>

<file path=xl/charts/_rels/chart7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0.xml"/></Relationships>
</file>

<file path=xl/charts/_rels/chart7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1.xml"/></Relationships>
</file>

<file path=xl/charts/_rels/chart8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2.xml"/></Relationships>
</file>

<file path=xl/charts/_rels/chart8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3.xml"/></Relationships>
</file>

<file path=xl/charts/_rels/chart8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5.xml"/></Relationships>
</file>

<file path=xl/charts/_rels/chart8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6.xml"/></Relationships>
</file>

<file path=xl/charts/_rels/chart8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7.xml"/></Relationships>
</file>

<file path=xl/charts/_rels/chart8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8.xml"/></Relationships>
</file>

<file path=xl/charts/_rels/chart8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9.xml"/></Relationships>
</file>

<file path=xl/charts/_rels/chart8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0.xml"/></Relationships>
</file>

<file path=xl/charts/_rels/chart8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1.xml"/></Relationships>
</file>

<file path=xl/charts/_rels/chart8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3.xml"/></Relationships>
</file>

<file path=xl/charts/_rels/chart9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4.xml"/></Relationships>
</file>

<file path=xl/charts/_rels/chart9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5.xml"/></Relationships>
</file>

<file path=xl/charts/_rels/chart9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6.xml"/></Relationships>
</file>

<file path=xl/charts/_rels/chart9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7.xml"/></Relationships>
</file>

<file path=xl/charts/_rels/chart9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8.xml"/></Relationships>
</file>

<file path=xl/charts/_rels/chart9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9.xml"/></Relationships>
</file>

<file path=xl/charts/_rels/chart9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1.xml"/></Relationships>
</file>

<file path=xl/charts/_rels/chart9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2.xml"/></Relationships>
</file>

<file path=xl/charts/_rels/chart9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3.xml"/></Relationships>
</file>

<file path=xl/charts/_rels/chart9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4.xml"/></Relationships>
</file>

<file path=xl/charts/_rels/chart10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5.xml"/></Relationships>
</file>

<file path=xl/charts/_rels/chart10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6.xml"/></Relationships>
</file>

<file path=xl/charts/_rels/chart10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8.xml"/></Relationships>
</file>

<file path=xl/charts/_rels/chart10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9.xml"/></Relationships>
</file>

<file path=xl/charts/_rels/chart10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0.xml"/></Relationships>
</file>

<file path=xl/charts/_rels/chart10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1.xml"/></Relationships>
</file>

<file path=xl/charts/_rels/chart10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2.xml"/></Relationships>
</file>

<file path=xl/charts/_rels/chart10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3.xml"/></Relationships>
</file>

<file path=xl/charts/_rels/chart10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4.xml"/></Relationships>
</file>

<file path=xl/charts/_rels/chart10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6.xml"/></Relationships>
</file>

<file path=xl/charts/_rels/chart1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7.xml"/></Relationships>
</file>

<file path=xl/charts/_rels/chart1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8.xml"/></Relationships>
</file>

<file path=xl/charts/_rels/chart1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9.xml"/></Relationships>
</file>

<file path=xl/charts/_rels/chart1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0.xml"/></Relationships>
</file>

<file path=xl/charts/_rels/chart1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1.xml"/></Relationships>
</file>

<file path=xl/charts/_rels/chart1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2.xml"/></Relationships>
</file>

<file path=xl/charts/_rels/chart1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4.xml"/></Relationships>
</file>

<file path=xl/charts/_rels/chart1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5.xml"/></Relationships>
</file>

<file path=xl/charts/_rels/chart1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6.xml"/></Relationships>
</file>

<file path=xl/charts/_rels/chart1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7.xml"/></Relationships>
</file>

<file path=xl/charts/_rels/chart1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8.xml"/></Relationships>
</file>

<file path=xl/charts/_rels/chart1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9.xml"/></Relationships>
</file>

<file path=xl/charts/_rels/chart1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1.xml"/></Relationships>
</file>

<file path=xl/charts/_rels/chart1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2.xml"/></Relationships>
</file>

<file path=xl/charts/_rels/chart1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3.xml"/></Relationships>
</file>

<file path=xl/charts/_rels/chart1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4.xml"/></Relationships>
</file>

<file path=xl/charts/_rels/chart1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5.xml"/></Relationships>
</file>

<file path=xl/charts/_rels/chart1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6.xml"/></Relationships>
</file>

<file path=xl/charts/_rels/chart1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8.xml"/></Relationships>
</file>

<file path=xl/charts/_rels/chart1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9.xml"/></Relationships>
</file>

<file path=xl/charts/_rels/chart1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0.xml"/></Relationships>
</file>

<file path=xl/charts/_rels/chart1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1.xml"/></Relationships>
</file>

<file path=xl/charts/_rels/chart1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2.xml"/></Relationships>
</file>

<file path=xl/charts/_rels/chart1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3.xml"/></Relationships>
</file>

<file path=xl/charts/_rels/chart1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5.xml"/></Relationships>
</file>

<file path=xl/charts/_rels/chart1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6.xml"/></Relationships>
</file>

<file path=xl/charts/_rels/chart1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7.xml"/></Relationships>
</file>

<file path=xl/charts/_rels/chart13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8.xml"/></Relationships>
</file>

<file path=xl/charts/_rels/chart13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9.xml"/></Relationships>
</file>

<file path=xl/charts/_rels/chart13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0.xml"/></Relationships>
</file>

<file path=xl/charts/_rels/chart14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52"/>
          <c:w val="0.8452459084856928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v>Production</c:v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Arg!$D$2:$BD$2</c:f>
              <c:numCache>
                <c:formatCode>#,##0</c:formatCode>
                <c:ptCount val="53"/>
                <c:pt idx="0">
                  <c:v>4850</c:v>
                </c:pt>
                <c:pt idx="1">
                  <c:v>5220</c:v>
                </c:pt>
                <c:pt idx="2">
                  <c:v>4360</c:v>
                </c:pt>
                <c:pt idx="3">
                  <c:v>5350</c:v>
                </c:pt>
                <c:pt idx="4">
                  <c:v>5140</c:v>
                </c:pt>
                <c:pt idx="5">
                  <c:v>7040</c:v>
                </c:pt>
                <c:pt idx="6">
                  <c:v>8000</c:v>
                </c:pt>
                <c:pt idx="7">
                  <c:v>6560</c:v>
                </c:pt>
                <c:pt idx="8">
                  <c:v>6860</c:v>
                </c:pt>
                <c:pt idx="9">
                  <c:v>9360</c:v>
                </c:pt>
                <c:pt idx="10">
                  <c:v>9930</c:v>
                </c:pt>
                <c:pt idx="11">
                  <c:v>5860</c:v>
                </c:pt>
                <c:pt idx="12">
                  <c:v>9000</c:v>
                </c:pt>
                <c:pt idx="13">
                  <c:v>9900</c:v>
                </c:pt>
                <c:pt idx="14">
                  <c:v>7700</c:v>
                </c:pt>
                <c:pt idx="15">
                  <c:v>5855</c:v>
                </c:pt>
                <c:pt idx="16">
                  <c:v>8300</c:v>
                </c:pt>
                <c:pt idx="17">
                  <c:v>9700</c:v>
                </c:pt>
                <c:pt idx="18">
                  <c:v>9000</c:v>
                </c:pt>
                <c:pt idx="19">
                  <c:v>6400</c:v>
                </c:pt>
                <c:pt idx="20">
                  <c:v>12900</c:v>
                </c:pt>
                <c:pt idx="21">
                  <c:v>9600</c:v>
                </c:pt>
                <c:pt idx="22">
                  <c:v>9000</c:v>
                </c:pt>
                <c:pt idx="23">
                  <c:v>9500</c:v>
                </c:pt>
                <c:pt idx="24">
                  <c:v>11900</c:v>
                </c:pt>
                <c:pt idx="25">
                  <c:v>12400</c:v>
                </c:pt>
                <c:pt idx="26">
                  <c:v>9250</c:v>
                </c:pt>
                <c:pt idx="27">
                  <c:v>9200</c:v>
                </c:pt>
                <c:pt idx="28">
                  <c:v>4900</c:v>
                </c:pt>
                <c:pt idx="29">
                  <c:v>5200</c:v>
                </c:pt>
                <c:pt idx="30">
                  <c:v>7685</c:v>
                </c:pt>
                <c:pt idx="31">
                  <c:v>10600</c:v>
                </c:pt>
                <c:pt idx="32">
                  <c:v>10200</c:v>
                </c:pt>
                <c:pt idx="33">
                  <c:v>10000</c:v>
                </c:pt>
                <c:pt idx="34">
                  <c:v>11404</c:v>
                </c:pt>
                <c:pt idx="35">
                  <c:v>11100</c:v>
                </c:pt>
                <c:pt idx="36">
                  <c:v>15537</c:v>
                </c:pt>
                <c:pt idx="37">
                  <c:v>19361</c:v>
                </c:pt>
                <c:pt idx="38">
                  <c:v>13504</c:v>
                </c:pt>
                <c:pt idx="39">
                  <c:v>17200</c:v>
                </c:pt>
                <c:pt idx="40">
                  <c:v>15359</c:v>
                </c:pt>
                <c:pt idx="41">
                  <c:v>14712</c:v>
                </c:pt>
                <c:pt idx="42">
                  <c:v>15500</c:v>
                </c:pt>
                <c:pt idx="43">
                  <c:v>14951</c:v>
                </c:pt>
                <c:pt idx="44">
                  <c:v>20483</c:v>
                </c:pt>
                <c:pt idx="45">
                  <c:v>15800</c:v>
                </c:pt>
                <c:pt idx="46">
                  <c:v>22500</c:v>
                </c:pt>
                <c:pt idx="47">
                  <c:v>22017</c:v>
                </c:pt>
                <c:pt idx="48">
                  <c:v>15500</c:v>
                </c:pt>
                <c:pt idx="49">
                  <c:v>22800</c:v>
                </c:pt>
                <c:pt idx="50">
                  <c:v>23799.83</c:v>
                </c:pt>
                <c:pt idx="51">
                  <c:v>23799.83</c:v>
                </c:pt>
                <c:pt idx="52">
                  <c:v>32119.210999999999</c:v>
                </c:pt>
              </c:numCache>
            </c:numRef>
          </c:val>
          <c:smooth val="0"/>
        </c:ser>
        <c:ser>
          <c:idx val="2"/>
          <c:order val="1"/>
          <c:tx>
            <c:v>Imports</c:v>
          </c:tx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Arg!$D$3:$BD$3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3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2</c:v>
                </c:pt>
                <c:pt idx="36">
                  <c:v>1</c:v>
                </c:pt>
                <c:pt idx="37">
                  <c:v>2</c:v>
                </c:pt>
                <c:pt idx="38">
                  <c:v>2</c:v>
                </c:pt>
                <c:pt idx="39">
                  <c:v>23</c:v>
                </c:pt>
                <c:pt idx="40">
                  <c:v>23</c:v>
                </c:pt>
                <c:pt idx="41">
                  <c:v>2</c:v>
                </c:pt>
                <c:pt idx="42">
                  <c:v>3</c:v>
                </c:pt>
                <c:pt idx="43">
                  <c:v>35</c:v>
                </c:pt>
                <c:pt idx="44">
                  <c:v>10</c:v>
                </c:pt>
                <c:pt idx="45">
                  <c:v>64</c:v>
                </c:pt>
                <c:pt idx="46">
                  <c:v>13</c:v>
                </c:pt>
                <c:pt idx="47">
                  <c:v>123</c:v>
                </c:pt>
                <c:pt idx="48">
                  <c:v>32</c:v>
                </c:pt>
                <c:pt idx="49">
                  <c:v>250</c:v>
                </c:pt>
                <c:pt idx="50">
                  <c:v>5.1660000000000004</c:v>
                </c:pt>
              </c:numCache>
            </c:numRef>
          </c:val>
          <c:smooth val="0"/>
        </c:ser>
        <c:ser>
          <c:idx val="3"/>
          <c:order val="2"/>
          <c:tx>
            <c:v>Exports</c:v>
          </c:tx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Arg!$D$4:$BD$4</c:f>
              <c:numCache>
                <c:formatCode>#,##0</c:formatCode>
                <c:ptCount val="53"/>
                <c:pt idx="0">
                  <c:v>1748</c:v>
                </c:pt>
                <c:pt idx="1">
                  <c:v>2923</c:v>
                </c:pt>
                <c:pt idx="2">
                  <c:v>2613</c:v>
                </c:pt>
                <c:pt idx="3">
                  <c:v>3422</c:v>
                </c:pt>
                <c:pt idx="4">
                  <c:v>2667</c:v>
                </c:pt>
                <c:pt idx="5">
                  <c:v>3855</c:v>
                </c:pt>
                <c:pt idx="6">
                  <c:v>4117</c:v>
                </c:pt>
                <c:pt idx="7">
                  <c:v>3229</c:v>
                </c:pt>
                <c:pt idx="8">
                  <c:v>3765</c:v>
                </c:pt>
                <c:pt idx="9">
                  <c:v>5559</c:v>
                </c:pt>
                <c:pt idx="10">
                  <c:v>6441</c:v>
                </c:pt>
                <c:pt idx="11">
                  <c:v>2537</c:v>
                </c:pt>
                <c:pt idx="12">
                  <c:v>4702</c:v>
                </c:pt>
                <c:pt idx="13">
                  <c:v>5716</c:v>
                </c:pt>
                <c:pt idx="14">
                  <c:v>3485</c:v>
                </c:pt>
                <c:pt idx="15">
                  <c:v>3238</c:v>
                </c:pt>
                <c:pt idx="16">
                  <c:v>5231</c:v>
                </c:pt>
                <c:pt idx="17">
                  <c:v>5916</c:v>
                </c:pt>
                <c:pt idx="18">
                  <c:v>5965</c:v>
                </c:pt>
                <c:pt idx="19">
                  <c:v>3417</c:v>
                </c:pt>
                <c:pt idx="20">
                  <c:v>9098</c:v>
                </c:pt>
                <c:pt idx="21">
                  <c:v>5765</c:v>
                </c:pt>
                <c:pt idx="22">
                  <c:v>6056</c:v>
                </c:pt>
                <c:pt idx="23">
                  <c:v>5448</c:v>
                </c:pt>
                <c:pt idx="24">
                  <c:v>7126</c:v>
                </c:pt>
                <c:pt idx="25">
                  <c:v>7367</c:v>
                </c:pt>
                <c:pt idx="26">
                  <c:v>4032</c:v>
                </c:pt>
                <c:pt idx="27">
                  <c:v>4340</c:v>
                </c:pt>
                <c:pt idx="28">
                  <c:v>1800</c:v>
                </c:pt>
                <c:pt idx="29">
                  <c:v>2800</c:v>
                </c:pt>
                <c:pt idx="30">
                  <c:v>4000</c:v>
                </c:pt>
                <c:pt idx="31">
                  <c:v>6070</c:v>
                </c:pt>
                <c:pt idx="32">
                  <c:v>4749</c:v>
                </c:pt>
                <c:pt idx="33">
                  <c:v>4100</c:v>
                </c:pt>
                <c:pt idx="34">
                  <c:v>5782</c:v>
                </c:pt>
                <c:pt idx="35">
                  <c:v>7494</c:v>
                </c:pt>
                <c:pt idx="36">
                  <c:v>10828</c:v>
                </c:pt>
                <c:pt idx="37">
                  <c:v>12222</c:v>
                </c:pt>
                <c:pt idx="38">
                  <c:v>7882</c:v>
                </c:pt>
                <c:pt idx="39">
                  <c:v>11923</c:v>
                </c:pt>
                <c:pt idx="40">
                  <c:v>9676</c:v>
                </c:pt>
                <c:pt idx="41">
                  <c:v>10864</c:v>
                </c:pt>
                <c:pt idx="42">
                  <c:v>11199</c:v>
                </c:pt>
                <c:pt idx="43">
                  <c:v>10944</c:v>
                </c:pt>
                <c:pt idx="44">
                  <c:v>14574</c:v>
                </c:pt>
                <c:pt idx="45">
                  <c:v>9464</c:v>
                </c:pt>
                <c:pt idx="46">
                  <c:v>15309</c:v>
                </c:pt>
                <c:pt idx="47">
                  <c:v>14798</c:v>
                </c:pt>
                <c:pt idx="48">
                  <c:v>10318</c:v>
                </c:pt>
                <c:pt idx="49">
                  <c:v>16500</c:v>
                </c:pt>
                <c:pt idx="50">
                  <c:v>15805.601000000001</c:v>
                </c:pt>
              </c:numCache>
            </c:numRef>
          </c:val>
          <c:smooth val="0"/>
        </c:ser>
        <c:ser>
          <c:idx val="1"/>
          <c:order val="3"/>
          <c:tx>
            <c:v>Domestic Consumption</c:v>
          </c:tx>
          <c:spPr>
            <a:ln>
              <a:solidFill>
                <a:schemeClr val="accent6"/>
              </a:solidFill>
            </a:ln>
          </c:spPr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Arg!$D$5:$BD$5</c:f>
              <c:numCache>
                <c:formatCode>#,##0</c:formatCode>
                <c:ptCount val="53"/>
                <c:pt idx="0">
                  <c:v>3076</c:v>
                </c:pt>
                <c:pt idx="1">
                  <c:v>2331</c:v>
                </c:pt>
                <c:pt idx="2">
                  <c:v>1624</c:v>
                </c:pt>
                <c:pt idx="3">
                  <c:v>2016</c:v>
                </c:pt>
                <c:pt idx="4">
                  <c:v>2447</c:v>
                </c:pt>
                <c:pt idx="5">
                  <c:v>3205</c:v>
                </c:pt>
                <c:pt idx="6">
                  <c:v>3781</c:v>
                </c:pt>
                <c:pt idx="7">
                  <c:v>3377</c:v>
                </c:pt>
                <c:pt idx="8">
                  <c:v>3103</c:v>
                </c:pt>
                <c:pt idx="9">
                  <c:v>3823</c:v>
                </c:pt>
                <c:pt idx="10">
                  <c:v>2977</c:v>
                </c:pt>
                <c:pt idx="11">
                  <c:v>3855</c:v>
                </c:pt>
                <c:pt idx="12">
                  <c:v>3936</c:v>
                </c:pt>
                <c:pt idx="13">
                  <c:v>4457</c:v>
                </c:pt>
                <c:pt idx="14">
                  <c:v>3632</c:v>
                </c:pt>
                <c:pt idx="15">
                  <c:v>2863</c:v>
                </c:pt>
                <c:pt idx="16">
                  <c:v>3401</c:v>
                </c:pt>
                <c:pt idx="17">
                  <c:v>3533</c:v>
                </c:pt>
                <c:pt idx="18">
                  <c:v>3296</c:v>
                </c:pt>
                <c:pt idx="19">
                  <c:v>3048</c:v>
                </c:pt>
                <c:pt idx="20">
                  <c:v>3700</c:v>
                </c:pt>
                <c:pt idx="21">
                  <c:v>3500</c:v>
                </c:pt>
                <c:pt idx="22">
                  <c:v>3200</c:v>
                </c:pt>
                <c:pt idx="23">
                  <c:v>4250</c:v>
                </c:pt>
                <c:pt idx="24">
                  <c:v>4475</c:v>
                </c:pt>
                <c:pt idx="25">
                  <c:v>5000</c:v>
                </c:pt>
                <c:pt idx="26">
                  <c:v>5250</c:v>
                </c:pt>
                <c:pt idx="27">
                  <c:v>4666</c:v>
                </c:pt>
                <c:pt idx="28">
                  <c:v>3000</c:v>
                </c:pt>
                <c:pt idx="29">
                  <c:v>2900</c:v>
                </c:pt>
                <c:pt idx="30">
                  <c:v>3303</c:v>
                </c:pt>
                <c:pt idx="31">
                  <c:v>4401</c:v>
                </c:pt>
                <c:pt idx="32">
                  <c:v>5102</c:v>
                </c:pt>
                <c:pt idx="33">
                  <c:v>5766</c:v>
                </c:pt>
                <c:pt idx="34">
                  <c:v>5479</c:v>
                </c:pt>
                <c:pt idx="35">
                  <c:v>4308</c:v>
                </c:pt>
                <c:pt idx="36">
                  <c:v>4323</c:v>
                </c:pt>
                <c:pt idx="37">
                  <c:v>6350</c:v>
                </c:pt>
                <c:pt idx="38">
                  <c:v>6450</c:v>
                </c:pt>
                <c:pt idx="39">
                  <c:v>5520</c:v>
                </c:pt>
                <c:pt idx="40">
                  <c:v>5600</c:v>
                </c:pt>
                <c:pt idx="41">
                  <c:v>4150</c:v>
                </c:pt>
                <c:pt idx="42">
                  <c:v>4100</c:v>
                </c:pt>
                <c:pt idx="43">
                  <c:v>4400</c:v>
                </c:pt>
                <c:pt idx="44">
                  <c:v>5200</c:v>
                </c:pt>
                <c:pt idx="45">
                  <c:v>6200</c:v>
                </c:pt>
                <c:pt idx="46">
                  <c:v>6700</c:v>
                </c:pt>
                <c:pt idx="47">
                  <c:v>7000</c:v>
                </c:pt>
                <c:pt idx="48">
                  <c:v>6400</c:v>
                </c:pt>
                <c:pt idx="49">
                  <c:v>6900</c:v>
                </c:pt>
                <c:pt idx="50">
                  <c:v>7999.3950000000023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0988024"/>
        <c:axId val="260986456"/>
      </c:lineChart>
      <c:catAx>
        <c:axId val="260988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986456"/>
        <c:crosses val="autoZero"/>
        <c:auto val="1"/>
        <c:lblAlgn val="ctr"/>
        <c:lblOffset val="100"/>
        <c:noMultiLvlLbl val="0"/>
      </c:catAx>
      <c:valAx>
        <c:axId val="2609864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98802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2527777777777777"/>
          <c:y val="0.90566107266894691"/>
          <c:w val="0.22182644186685521"/>
          <c:h val="9.4338927331053313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63"/>
          <c:w val="0.845245908485693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v>Production</c:v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Arg!$D$1:$BB$1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Arg!$D$6:$BB$6</c:f>
              <c:numCache>
                <c:formatCode>General</c:formatCode>
                <c:ptCount val="51"/>
                <c:pt idx="0">
                  <c:v>569</c:v>
                </c:pt>
                <c:pt idx="1">
                  <c:v>496</c:v>
                </c:pt>
                <c:pt idx="2">
                  <c:v>612</c:v>
                </c:pt>
                <c:pt idx="3">
                  <c:v>450</c:v>
                </c:pt>
                <c:pt idx="4">
                  <c:v>635</c:v>
                </c:pt>
                <c:pt idx="5">
                  <c:v>530</c:v>
                </c:pt>
                <c:pt idx="6">
                  <c:v>400</c:v>
                </c:pt>
                <c:pt idx="7">
                  <c:v>335</c:v>
                </c:pt>
                <c:pt idx="8">
                  <c:v>515</c:v>
                </c:pt>
                <c:pt idx="9">
                  <c:v>665</c:v>
                </c:pt>
                <c:pt idx="10">
                  <c:v>385</c:v>
                </c:pt>
                <c:pt idx="11">
                  <c:v>415</c:v>
                </c:pt>
                <c:pt idx="12">
                  <c:v>560</c:v>
                </c:pt>
                <c:pt idx="13">
                  <c:v>580</c:v>
                </c:pt>
                <c:pt idx="14">
                  <c:v>789</c:v>
                </c:pt>
                <c:pt idx="15">
                  <c:v>641</c:v>
                </c:pt>
                <c:pt idx="16">
                  <c:v>735</c:v>
                </c:pt>
                <c:pt idx="17" formatCode="#,##0">
                  <c:v>1056</c:v>
                </c:pt>
                <c:pt idx="18">
                  <c:v>798</c:v>
                </c:pt>
                <c:pt idx="19">
                  <c:v>735</c:v>
                </c:pt>
                <c:pt idx="20">
                  <c:v>390</c:v>
                </c:pt>
                <c:pt idx="21">
                  <c:v>701</c:v>
                </c:pt>
                <c:pt idx="22">
                  <c:v>512</c:v>
                </c:pt>
                <c:pt idx="23">
                  <c:v>826</c:v>
                </c:pt>
                <c:pt idx="24">
                  <c:v>786</c:v>
                </c:pt>
                <c:pt idx="25">
                  <c:v>547</c:v>
                </c:pt>
                <c:pt idx="26">
                  <c:v>482</c:v>
                </c:pt>
                <c:pt idx="27" formatCode="#,##0">
                  <c:v>1295</c:v>
                </c:pt>
                <c:pt idx="28">
                  <c:v>896</c:v>
                </c:pt>
                <c:pt idx="29" formatCode="#,##0">
                  <c:v>1272</c:v>
                </c:pt>
                <c:pt idx="30" formatCode="#,##0">
                  <c:v>1355</c:v>
                </c:pt>
                <c:pt idx="31" formatCode="#,##0">
                  <c:v>1148</c:v>
                </c:pt>
                <c:pt idx="32">
                  <c:v>666</c:v>
                </c:pt>
                <c:pt idx="33" formatCode="#,##0">
                  <c:v>1079</c:v>
                </c:pt>
                <c:pt idx="34" formatCode="#,##0">
                  <c:v>1637</c:v>
                </c:pt>
                <c:pt idx="35" formatCode="#,##0">
                  <c:v>2090</c:v>
                </c:pt>
                <c:pt idx="36" formatCode="#,##0">
                  <c:v>1493</c:v>
                </c:pt>
                <c:pt idx="37" formatCode="#,##0">
                  <c:v>1428</c:v>
                </c:pt>
                <c:pt idx="38">
                  <c:v>918</c:v>
                </c:pt>
                <c:pt idx="39">
                  <c:v>615</c:v>
                </c:pt>
                <c:pt idx="40">
                  <c:v>758</c:v>
                </c:pt>
                <c:pt idx="41">
                  <c:v>300</c:v>
                </c:pt>
                <c:pt idx="42">
                  <c:v>290</c:v>
                </c:pt>
                <c:pt idx="43">
                  <c:v>515</c:v>
                </c:pt>
                <c:pt idx="44">
                  <c:v>675</c:v>
                </c:pt>
                <c:pt idx="45">
                  <c:v>625</c:v>
                </c:pt>
                <c:pt idx="46">
                  <c:v>800</c:v>
                </c:pt>
                <c:pt idx="47">
                  <c:v>703</c:v>
                </c:pt>
                <c:pt idx="48">
                  <c:v>600</c:v>
                </c:pt>
                <c:pt idx="49" formatCode="#,##0">
                  <c:v>1000</c:v>
                </c:pt>
                <c:pt idx="50" formatCode="#,##0">
                  <c:v>1250</c:v>
                </c:pt>
              </c:numCache>
            </c:numRef>
          </c:val>
          <c:smooth val="0"/>
        </c:ser>
        <c:ser>
          <c:idx val="2"/>
          <c:order val="1"/>
          <c:tx>
            <c:v>Exports</c:v>
          </c:tx>
          <c:marker>
            <c:symbol val="none"/>
          </c:marker>
          <c:cat>
            <c:numRef>
              <c:f>Arg!$D$1:$BB$1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Arg!$D$8:$BB$8</c:f>
              <c:numCache>
                <c:formatCode>General</c:formatCode>
                <c:ptCount val="51"/>
                <c:pt idx="0">
                  <c:v>66</c:v>
                </c:pt>
                <c:pt idx="1">
                  <c:v>141</c:v>
                </c:pt>
                <c:pt idx="2">
                  <c:v>216</c:v>
                </c:pt>
                <c:pt idx="3">
                  <c:v>100</c:v>
                </c:pt>
                <c:pt idx="4">
                  <c:v>1</c:v>
                </c:pt>
                <c:pt idx="5">
                  <c:v>34</c:v>
                </c:pt>
                <c:pt idx="6">
                  <c:v>127</c:v>
                </c:pt>
                <c:pt idx="7">
                  <c:v>25</c:v>
                </c:pt>
                <c:pt idx="8">
                  <c:v>1</c:v>
                </c:pt>
                <c:pt idx="9">
                  <c:v>56</c:v>
                </c:pt>
                <c:pt idx="10">
                  <c:v>209</c:v>
                </c:pt>
                <c:pt idx="11">
                  <c:v>1</c:v>
                </c:pt>
                <c:pt idx="12">
                  <c:v>0</c:v>
                </c:pt>
                <c:pt idx="13">
                  <c:v>45</c:v>
                </c:pt>
                <c:pt idx="14">
                  <c:v>30</c:v>
                </c:pt>
                <c:pt idx="15">
                  <c:v>393</c:v>
                </c:pt>
                <c:pt idx="16">
                  <c:v>347</c:v>
                </c:pt>
                <c:pt idx="17">
                  <c:v>425</c:v>
                </c:pt>
                <c:pt idx="18">
                  <c:v>320</c:v>
                </c:pt>
                <c:pt idx="19">
                  <c:v>541</c:v>
                </c:pt>
                <c:pt idx="20">
                  <c:v>150</c:v>
                </c:pt>
                <c:pt idx="21">
                  <c:v>295</c:v>
                </c:pt>
                <c:pt idx="22">
                  <c:v>113</c:v>
                </c:pt>
                <c:pt idx="23">
                  <c:v>117</c:v>
                </c:pt>
                <c:pt idx="24">
                  <c:v>367</c:v>
                </c:pt>
                <c:pt idx="25">
                  <c:v>245</c:v>
                </c:pt>
                <c:pt idx="26">
                  <c:v>66</c:v>
                </c:pt>
                <c:pt idx="27">
                  <c:v>253</c:v>
                </c:pt>
                <c:pt idx="28">
                  <c:v>551</c:v>
                </c:pt>
                <c:pt idx="29">
                  <c:v>568</c:v>
                </c:pt>
                <c:pt idx="30">
                  <c:v>646</c:v>
                </c:pt>
                <c:pt idx="31">
                  <c:v>566</c:v>
                </c:pt>
                <c:pt idx="32">
                  <c:v>299</c:v>
                </c:pt>
                <c:pt idx="33">
                  <c:v>317</c:v>
                </c:pt>
                <c:pt idx="34">
                  <c:v>905</c:v>
                </c:pt>
                <c:pt idx="35" formatCode="#,##0">
                  <c:v>1222</c:v>
                </c:pt>
                <c:pt idx="36" formatCode="#,##0">
                  <c:v>1332</c:v>
                </c:pt>
                <c:pt idx="37" formatCode="#,##0">
                  <c:v>1000</c:v>
                </c:pt>
                <c:pt idx="38" formatCode="#,##0">
                  <c:v>1100</c:v>
                </c:pt>
                <c:pt idx="39">
                  <c:v>319</c:v>
                </c:pt>
                <c:pt idx="40">
                  <c:v>446</c:v>
                </c:pt>
                <c:pt idx="41">
                  <c:v>231</c:v>
                </c:pt>
                <c:pt idx="42">
                  <c:v>26</c:v>
                </c:pt>
                <c:pt idx="43">
                  <c:v>28</c:v>
                </c:pt>
                <c:pt idx="44">
                  <c:v>98</c:v>
                </c:pt>
                <c:pt idx="45">
                  <c:v>52</c:v>
                </c:pt>
                <c:pt idx="46">
                  <c:v>33</c:v>
                </c:pt>
                <c:pt idx="47">
                  <c:v>14</c:v>
                </c:pt>
                <c:pt idx="48">
                  <c:v>52</c:v>
                </c:pt>
                <c:pt idx="49">
                  <c:v>56</c:v>
                </c:pt>
                <c:pt idx="50">
                  <c:v>350</c:v>
                </c:pt>
              </c:numCache>
            </c:numRef>
          </c:val>
          <c:smooth val="0"/>
        </c:ser>
        <c:ser>
          <c:idx val="3"/>
          <c:order val="2"/>
          <c:tx>
            <c:v>Consumption</c:v>
          </c:tx>
          <c:marker>
            <c:symbol val="none"/>
          </c:marker>
          <c:cat>
            <c:numRef>
              <c:f>Arg!$D$1:$BB$1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Arg!$D$9:$BB$9</c:f>
              <c:numCache>
                <c:formatCode>General</c:formatCode>
                <c:ptCount val="51"/>
                <c:pt idx="0">
                  <c:v>502</c:v>
                </c:pt>
                <c:pt idx="1">
                  <c:v>481</c:v>
                </c:pt>
                <c:pt idx="2">
                  <c:v>355</c:v>
                </c:pt>
                <c:pt idx="3">
                  <c:v>462</c:v>
                </c:pt>
                <c:pt idx="4">
                  <c:v>512</c:v>
                </c:pt>
                <c:pt idx="5">
                  <c:v>517</c:v>
                </c:pt>
                <c:pt idx="6">
                  <c:v>492</c:v>
                </c:pt>
                <c:pt idx="7">
                  <c:v>437</c:v>
                </c:pt>
                <c:pt idx="8">
                  <c:v>450</c:v>
                </c:pt>
                <c:pt idx="9">
                  <c:v>490</c:v>
                </c:pt>
                <c:pt idx="10">
                  <c:v>490</c:v>
                </c:pt>
                <c:pt idx="11">
                  <c:v>513</c:v>
                </c:pt>
                <c:pt idx="12">
                  <c:v>483</c:v>
                </c:pt>
                <c:pt idx="13">
                  <c:v>545</c:v>
                </c:pt>
                <c:pt idx="14">
                  <c:v>564</c:v>
                </c:pt>
                <c:pt idx="15">
                  <c:v>557</c:v>
                </c:pt>
                <c:pt idx="16">
                  <c:v>535</c:v>
                </c:pt>
                <c:pt idx="17">
                  <c:v>477</c:v>
                </c:pt>
                <c:pt idx="18">
                  <c:v>523</c:v>
                </c:pt>
                <c:pt idx="19">
                  <c:v>484</c:v>
                </c:pt>
                <c:pt idx="20">
                  <c:v>406</c:v>
                </c:pt>
                <c:pt idx="21">
                  <c:v>381</c:v>
                </c:pt>
                <c:pt idx="22">
                  <c:v>497</c:v>
                </c:pt>
                <c:pt idx="23">
                  <c:v>538</c:v>
                </c:pt>
                <c:pt idx="24">
                  <c:v>487</c:v>
                </c:pt>
                <c:pt idx="25">
                  <c:v>563</c:v>
                </c:pt>
                <c:pt idx="26">
                  <c:v>623</c:v>
                </c:pt>
                <c:pt idx="27">
                  <c:v>598</c:v>
                </c:pt>
                <c:pt idx="28">
                  <c:v>565</c:v>
                </c:pt>
                <c:pt idx="29">
                  <c:v>542</c:v>
                </c:pt>
                <c:pt idx="30">
                  <c:v>624</c:v>
                </c:pt>
                <c:pt idx="31">
                  <c:v>615</c:v>
                </c:pt>
                <c:pt idx="32">
                  <c:v>597</c:v>
                </c:pt>
                <c:pt idx="33">
                  <c:v>551</c:v>
                </c:pt>
                <c:pt idx="34">
                  <c:v>468</c:v>
                </c:pt>
                <c:pt idx="35">
                  <c:v>468</c:v>
                </c:pt>
                <c:pt idx="36">
                  <c:v>479</c:v>
                </c:pt>
                <c:pt idx="37">
                  <c:v>434</c:v>
                </c:pt>
                <c:pt idx="38">
                  <c:v>389</c:v>
                </c:pt>
                <c:pt idx="39">
                  <c:v>409</c:v>
                </c:pt>
                <c:pt idx="40">
                  <c:v>359</c:v>
                </c:pt>
                <c:pt idx="41">
                  <c:v>284</c:v>
                </c:pt>
                <c:pt idx="42">
                  <c:v>534</c:v>
                </c:pt>
                <c:pt idx="43">
                  <c:v>559</c:v>
                </c:pt>
                <c:pt idx="44">
                  <c:v>629</c:v>
                </c:pt>
                <c:pt idx="45">
                  <c:v>709</c:v>
                </c:pt>
                <c:pt idx="46">
                  <c:v>794</c:v>
                </c:pt>
                <c:pt idx="47">
                  <c:v>834</c:v>
                </c:pt>
                <c:pt idx="48">
                  <c:v>784</c:v>
                </c:pt>
                <c:pt idx="49">
                  <c:v>784</c:v>
                </c:pt>
                <c:pt idx="50" formatCode="#,##0">
                  <c:v>834</c:v>
                </c:pt>
              </c:numCache>
            </c:numRef>
          </c:val>
          <c:smooth val="0"/>
        </c:ser>
        <c:ser>
          <c:idx val="1"/>
          <c:order val="3"/>
          <c:tx>
            <c:v>Imports</c:v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Arg!$D$1:$BB$1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Arg!$D$7:$BB$7</c:f>
              <c:numCache>
                <c:formatCode>General</c:formatCode>
                <c:ptCount val="51"/>
                <c:pt idx="0">
                  <c:v>29</c:v>
                </c:pt>
                <c:pt idx="1">
                  <c:v>26</c:v>
                </c:pt>
                <c:pt idx="2">
                  <c:v>23</c:v>
                </c:pt>
                <c:pt idx="3">
                  <c:v>33</c:v>
                </c:pt>
                <c:pt idx="4">
                  <c:v>73</c:v>
                </c:pt>
                <c:pt idx="5">
                  <c:v>71</c:v>
                </c:pt>
                <c:pt idx="6">
                  <c:v>49</c:v>
                </c:pt>
                <c:pt idx="7">
                  <c:v>27</c:v>
                </c:pt>
                <c:pt idx="8">
                  <c:v>85</c:v>
                </c:pt>
                <c:pt idx="9">
                  <c:v>36</c:v>
                </c:pt>
                <c:pt idx="10">
                  <c:v>37</c:v>
                </c:pt>
                <c:pt idx="11">
                  <c:v>135</c:v>
                </c:pt>
                <c:pt idx="12">
                  <c:v>37</c:v>
                </c:pt>
                <c:pt idx="13">
                  <c:v>39</c:v>
                </c:pt>
                <c:pt idx="14">
                  <c:v>50</c:v>
                </c:pt>
                <c:pt idx="15">
                  <c:v>15</c:v>
                </c:pt>
                <c:pt idx="16">
                  <c:v>11</c:v>
                </c:pt>
                <c:pt idx="17">
                  <c:v>36</c:v>
                </c:pt>
                <c:pt idx="18">
                  <c:v>32</c:v>
                </c:pt>
                <c:pt idx="19">
                  <c:v>21</c:v>
                </c:pt>
                <c:pt idx="20">
                  <c:v>58</c:v>
                </c:pt>
                <c:pt idx="21">
                  <c:v>71</c:v>
                </c:pt>
                <c:pt idx="22">
                  <c:v>71</c:v>
                </c:pt>
                <c:pt idx="23">
                  <c:v>21</c:v>
                </c:pt>
                <c:pt idx="24">
                  <c:v>40</c:v>
                </c:pt>
                <c:pt idx="25">
                  <c:v>88</c:v>
                </c:pt>
                <c:pt idx="26">
                  <c:v>102</c:v>
                </c:pt>
                <c:pt idx="27">
                  <c:v>92</c:v>
                </c:pt>
                <c:pt idx="28">
                  <c:v>3</c:v>
                </c:pt>
                <c:pt idx="29">
                  <c:v>44</c:v>
                </c:pt>
                <c:pt idx="30">
                  <c:v>28</c:v>
                </c:pt>
                <c:pt idx="31">
                  <c:v>2</c:v>
                </c:pt>
                <c:pt idx="32">
                  <c:v>9</c:v>
                </c:pt>
                <c:pt idx="33">
                  <c:v>69</c:v>
                </c:pt>
                <c:pt idx="34">
                  <c:v>39</c:v>
                </c:pt>
                <c:pt idx="35">
                  <c:v>28</c:v>
                </c:pt>
                <c:pt idx="36">
                  <c:v>5</c:v>
                </c:pt>
                <c:pt idx="37">
                  <c:v>25</c:v>
                </c:pt>
                <c:pt idx="38">
                  <c:v>20</c:v>
                </c:pt>
                <c:pt idx="39">
                  <c:v>41</c:v>
                </c:pt>
                <c:pt idx="40">
                  <c:v>11</c:v>
                </c:pt>
                <c:pt idx="41">
                  <c:v>22</c:v>
                </c:pt>
                <c:pt idx="42">
                  <c:v>254</c:v>
                </c:pt>
                <c:pt idx="43">
                  <c:v>206</c:v>
                </c:pt>
                <c:pt idx="44">
                  <c:v>110</c:v>
                </c:pt>
                <c:pt idx="45">
                  <c:v>157</c:v>
                </c:pt>
                <c:pt idx="46">
                  <c:v>176</c:v>
                </c:pt>
                <c:pt idx="47">
                  <c:v>181</c:v>
                </c:pt>
                <c:pt idx="48">
                  <c:v>98</c:v>
                </c:pt>
                <c:pt idx="49">
                  <c:v>77</c:v>
                </c:pt>
                <c:pt idx="50">
                  <c:v>50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0990768"/>
        <c:axId val="260985672"/>
      </c:lineChart>
      <c:catAx>
        <c:axId val="2609907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985672"/>
        <c:crosses val="autoZero"/>
        <c:auto val="1"/>
        <c:lblAlgn val="ctr"/>
        <c:lblOffset val="100"/>
        <c:noMultiLvlLbl val="0"/>
      </c:catAx>
      <c:valAx>
        <c:axId val="26098567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99076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497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Arg!$AD$1:$BD$1</c:f>
              <c:numCache>
                <c:formatCode>General</c:formatCode>
                <c:ptCount val="27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</c:numCache>
            </c:numRef>
          </c:cat>
          <c:val>
            <c:numRef>
              <c:f>Arg!$AD$10:$BD$10</c:f>
              <c:numCache>
                <c:formatCode>#,##0</c:formatCode>
                <c:ptCount val="27"/>
                <c:pt idx="0">
                  <c:v>7000</c:v>
                </c:pt>
                <c:pt idx="1">
                  <c:v>10000</c:v>
                </c:pt>
                <c:pt idx="2">
                  <c:v>6500</c:v>
                </c:pt>
                <c:pt idx="3">
                  <c:v>10750</c:v>
                </c:pt>
                <c:pt idx="4">
                  <c:v>11500</c:v>
                </c:pt>
                <c:pt idx="5">
                  <c:v>11350</c:v>
                </c:pt>
                <c:pt idx="6">
                  <c:v>11350</c:v>
                </c:pt>
                <c:pt idx="7">
                  <c:v>12400</c:v>
                </c:pt>
                <c:pt idx="8">
                  <c:v>12500</c:v>
                </c:pt>
                <c:pt idx="9">
                  <c:v>12480</c:v>
                </c:pt>
                <c:pt idx="10">
                  <c:v>11200</c:v>
                </c:pt>
                <c:pt idx="11">
                  <c:v>19500</c:v>
                </c:pt>
                <c:pt idx="12">
                  <c:v>20000</c:v>
                </c:pt>
                <c:pt idx="13">
                  <c:v>21200</c:v>
                </c:pt>
                <c:pt idx="14">
                  <c:v>27800</c:v>
                </c:pt>
                <c:pt idx="15">
                  <c:v>30000</c:v>
                </c:pt>
                <c:pt idx="16">
                  <c:v>35500</c:v>
                </c:pt>
                <c:pt idx="17">
                  <c:v>33000</c:v>
                </c:pt>
                <c:pt idx="18">
                  <c:v>39000</c:v>
                </c:pt>
                <c:pt idx="19">
                  <c:v>40500</c:v>
                </c:pt>
                <c:pt idx="20">
                  <c:v>48800</c:v>
                </c:pt>
                <c:pt idx="21">
                  <c:v>46200</c:v>
                </c:pt>
                <c:pt idx="22">
                  <c:v>32000</c:v>
                </c:pt>
                <c:pt idx="23">
                  <c:v>54500</c:v>
                </c:pt>
                <c:pt idx="24">
                  <c:v>49500</c:v>
                </c:pt>
                <c:pt idx="25">
                  <c:v>48888.538</c:v>
                </c:pt>
                <c:pt idx="26">
                  <c:v>40100.197</c:v>
                </c:pt>
              </c:numCache>
            </c:numRef>
          </c:val>
          <c:smooth val="0"/>
        </c:ser>
        <c:ser>
          <c:idx val="2"/>
          <c:order val="1"/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Arg!$AD$1:$BD$1</c:f>
              <c:numCache>
                <c:formatCode>General</c:formatCode>
                <c:ptCount val="27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</c:numCache>
            </c:numRef>
          </c:cat>
          <c:val>
            <c:numRef>
              <c:f>Arg!$AD$11:$BD$11</c:f>
              <c:numCache>
                <c:formatCode>General</c:formatCode>
                <c:ptCount val="2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4</c:v>
                </c:pt>
                <c:pt idx="7">
                  <c:v>60</c:v>
                </c:pt>
                <c:pt idx="8">
                  <c:v>88</c:v>
                </c:pt>
                <c:pt idx="9">
                  <c:v>92</c:v>
                </c:pt>
                <c:pt idx="10">
                  <c:v>356</c:v>
                </c:pt>
                <c:pt idx="11">
                  <c:v>948</c:v>
                </c:pt>
                <c:pt idx="12">
                  <c:v>275</c:v>
                </c:pt>
                <c:pt idx="13">
                  <c:v>218</c:v>
                </c:pt>
                <c:pt idx="14">
                  <c:v>320</c:v>
                </c:pt>
                <c:pt idx="15">
                  <c:v>251</c:v>
                </c:pt>
                <c:pt idx="16">
                  <c:v>383</c:v>
                </c:pt>
                <c:pt idx="17">
                  <c:v>537</c:v>
                </c:pt>
                <c:pt idx="18">
                  <c:v>692</c:v>
                </c:pt>
                <c:pt idx="19">
                  <c:v>584</c:v>
                </c:pt>
                <c:pt idx="20" formatCode="#,##0">
                  <c:v>1986</c:v>
                </c:pt>
                <c:pt idx="21" formatCode="#,##0">
                  <c:v>2954</c:v>
                </c:pt>
                <c:pt idx="22" formatCode="#,##0">
                  <c:v>1241</c:v>
                </c:pt>
                <c:pt idx="23">
                  <c:v>0</c:v>
                </c:pt>
                <c:pt idx="24">
                  <c:v>0</c:v>
                </c:pt>
                <c:pt idx="25" formatCode="#,##0">
                  <c:v>12.862</c:v>
                </c:pt>
              </c:numCache>
            </c:numRef>
          </c:val>
          <c:smooth val="0"/>
        </c:ser>
        <c:ser>
          <c:idx val="3"/>
          <c:order val="2"/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Arg!$AD$1:$BD$1</c:f>
              <c:numCache>
                <c:formatCode>General</c:formatCode>
                <c:ptCount val="27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</c:numCache>
            </c:numRef>
          </c:cat>
          <c:val>
            <c:numRef>
              <c:f>Arg!$AD$12:$BD$12</c:f>
              <c:numCache>
                <c:formatCode>#,##0</c:formatCode>
                <c:ptCount val="27"/>
                <c:pt idx="0" formatCode="General">
                  <c:v>0</c:v>
                </c:pt>
                <c:pt idx="1">
                  <c:v>2088</c:v>
                </c:pt>
                <c:pt idx="2" formatCode="General">
                  <c:v>445</c:v>
                </c:pt>
                <c:pt idx="3">
                  <c:v>2968</c:v>
                </c:pt>
                <c:pt idx="4">
                  <c:v>4469</c:v>
                </c:pt>
                <c:pt idx="5">
                  <c:v>3213</c:v>
                </c:pt>
                <c:pt idx="6">
                  <c:v>2211</c:v>
                </c:pt>
                <c:pt idx="7">
                  <c:v>3023</c:v>
                </c:pt>
                <c:pt idx="8">
                  <c:v>2581</c:v>
                </c:pt>
                <c:pt idx="9">
                  <c:v>2103</c:v>
                </c:pt>
                <c:pt idx="10" formatCode="General">
                  <c:v>757</c:v>
                </c:pt>
                <c:pt idx="11">
                  <c:v>2821</c:v>
                </c:pt>
                <c:pt idx="12">
                  <c:v>3061</c:v>
                </c:pt>
                <c:pt idx="13">
                  <c:v>4125</c:v>
                </c:pt>
                <c:pt idx="14">
                  <c:v>7304</c:v>
                </c:pt>
                <c:pt idx="15">
                  <c:v>5960</c:v>
                </c:pt>
                <c:pt idx="16">
                  <c:v>8624</c:v>
                </c:pt>
                <c:pt idx="17">
                  <c:v>6741</c:v>
                </c:pt>
                <c:pt idx="18">
                  <c:v>9568</c:v>
                </c:pt>
                <c:pt idx="19">
                  <c:v>7249</c:v>
                </c:pt>
                <c:pt idx="20">
                  <c:v>9560</c:v>
                </c:pt>
                <c:pt idx="21">
                  <c:v>13839</c:v>
                </c:pt>
                <c:pt idx="22">
                  <c:v>5590</c:v>
                </c:pt>
                <c:pt idx="23">
                  <c:v>13088</c:v>
                </c:pt>
                <c:pt idx="24">
                  <c:v>11000</c:v>
                </c:pt>
                <c:pt idx="25">
                  <c:v>10820.03</c:v>
                </c:pt>
              </c:numCache>
            </c:numRef>
          </c:val>
          <c:smooth val="0"/>
        </c:ser>
        <c:ser>
          <c:idx val="1"/>
          <c:order val="3"/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numRef>
              <c:f>Arg!$AD$1:$BD$1</c:f>
              <c:numCache>
                <c:formatCode>General</c:formatCode>
                <c:ptCount val="27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</c:numCache>
            </c:numRef>
          </c:cat>
          <c:val>
            <c:numRef>
              <c:f>Arg!$AD$13:$BD$13</c:f>
              <c:numCache>
                <c:formatCode>#,##0</c:formatCode>
                <c:ptCount val="27"/>
                <c:pt idx="0">
                  <c:v>4433</c:v>
                </c:pt>
                <c:pt idx="1">
                  <c:v>5806</c:v>
                </c:pt>
                <c:pt idx="2">
                  <c:v>6404</c:v>
                </c:pt>
                <c:pt idx="3">
                  <c:v>6703</c:v>
                </c:pt>
                <c:pt idx="4">
                  <c:v>7451</c:v>
                </c:pt>
                <c:pt idx="5">
                  <c:v>8225</c:v>
                </c:pt>
                <c:pt idx="6">
                  <c:v>9018</c:v>
                </c:pt>
                <c:pt idx="7">
                  <c:v>9305</c:v>
                </c:pt>
                <c:pt idx="8">
                  <c:v>9247</c:v>
                </c:pt>
                <c:pt idx="9">
                  <c:v>10830</c:v>
                </c:pt>
                <c:pt idx="10">
                  <c:v>11628</c:v>
                </c:pt>
                <c:pt idx="11">
                  <c:v>13560</c:v>
                </c:pt>
                <c:pt idx="12">
                  <c:v>18317</c:v>
                </c:pt>
                <c:pt idx="13">
                  <c:v>17927</c:v>
                </c:pt>
                <c:pt idx="14">
                  <c:v>18331</c:v>
                </c:pt>
                <c:pt idx="15">
                  <c:v>22012</c:v>
                </c:pt>
                <c:pt idx="16">
                  <c:v>24813</c:v>
                </c:pt>
                <c:pt idx="17">
                  <c:v>26443</c:v>
                </c:pt>
                <c:pt idx="18">
                  <c:v>28763</c:v>
                </c:pt>
                <c:pt idx="19">
                  <c:v>33338</c:v>
                </c:pt>
                <c:pt idx="20">
                  <c:v>35093</c:v>
                </c:pt>
                <c:pt idx="21">
                  <c:v>36161</c:v>
                </c:pt>
                <c:pt idx="22">
                  <c:v>32823</c:v>
                </c:pt>
                <c:pt idx="23">
                  <c:v>35723</c:v>
                </c:pt>
                <c:pt idx="24">
                  <c:v>39865</c:v>
                </c:pt>
                <c:pt idx="25">
                  <c:v>38081.370000000003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0984104"/>
        <c:axId val="260991160"/>
      </c:lineChart>
      <c:catAx>
        <c:axId val="260984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991160"/>
        <c:crosses val="autoZero"/>
        <c:auto val="1"/>
        <c:lblAlgn val="ctr"/>
        <c:lblOffset val="100"/>
        <c:noMultiLvlLbl val="0"/>
      </c:catAx>
      <c:valAx>
        <c:axId val="26099116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98410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455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Arg!$C$14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Arg!$D$14:$BD$14</c:f>
              <c:numCache>
                <c:formatCode>General</c:formatCode>
                <c:ptCount val="53"/>
                <c:pt idx="0">
                  <c:v>97</c:v>
                </c:pt>
                <c:pt idx="1">
                  <c:v>118</c:v>
                </c:pt>
                <c:pt idx="2">
                  <c:v>116</c:v>
                </c:pt>
                <c:pt idx="3">
                  <c:v>124</c:v>
                </c:pt>
                <c:pt idx="4">
                  <c:v>174</c:v>
                </c:pt>
                <c:pt idx="5">
                  <c:v>107</c:v>
                </c:pt>
                <c:pt idx="6">
                  <c:v>141</c:v>
                </c:pt>
                <c:pt idx="7">
                  <c:v>184</c:v>
                </c:pt>
                <c:pt idx="8">
                  <c:v>224</c:v>
                </c:pt>
                <c:pt idx="9">
                  <c:v>265</c:v>
                </c:pt>
                <c:pt idx="10">
                  <c:v>187</c:v>
                </c:pt>
                <c:pt idx="11">
                  <c:v>191</c:v>
                </c:pt>
                <c:pt idx="12">
                  <c:v>169</c:v>
                </c:pt>
                <c:pt idx="13">
                  <c:v>205</c:v>
                </c:pt>
                <c:pt idx="14">
                  <c:v>228</c:v>
                </c:pt>
                <c:pt idx="15">
                  <c:v>201</c:v>
                </c:pt>
                <c:pt idx="16">
                  <c:v>208</c:v>
                </c:pt>
                <c:pt idx="17">
                  <c:v>201</c:v>
                </c:pt>
                <c:pt idx="18">
                  <c:v>203</c:v>
                </c:pt>
                <c:pt idx="19">
                  <c:v>173</c:v>
                </c:pt>
                <c:pt idx="20">
                  <c:v>186</c:v>
                </c:pt>
                <c:pt idx="21">
                  <c:v>230</c:v>
                </c:pt>
                <c:pt idx="22">
                  <c:v>180</c:v>
                </c:pt>
                <c:pt idx="23">
                  <c:v>309</c:v>
                </c:pt>
                <c:pt idx="24">
                  <c:v>260</c:v>
                </c:pt>
                <c:pt idx="25">
                  <c:v>283</c:v>
                </c:pt>
                <c:pt idx="26">
                  <c:v>229</c:v>
                </c:pt>
                <c:pt idx="27">
                  <c:v>247</c:v>
                </c:pt>
                <c:pt idx="28">
                  <c:v>291</c:v>
                </c:pt>
                <c:pt idx="29">
                  <c:v>215</c:v>
                </c:pt>
                <c:pt idx="30">
                  <c:v>299</c:v>
                </c:pt>
                <c:pt idx="31">
                  <c:v>425</c:v>
                </c:pt>
                <c:pt idx="32">
                  <c:v>395</c:v>
                </c:pt>
                <c:pt idx="33">
                  <c:v>395</c:v>
                </c:pt>
                <c:pt idx="34">
                  <c:v>602</c:v>
                </c:pt>
                <c:pt idx="35">
                  <c:v>641</c:v>
                </c:pt>
                <c:pt idx="36">
                  <c:v>783</c:v>
                </c:pt>
                <c:pt idx="37">
                  <c:v>673</c:v>
                </c:pt>
                <c:pt idx="38" formatCode="#,##0">
                  <c:v>1078</c:v>
                </c:pt>
                <c:pt idx="39">
                  <c:v>588</c:v>
                </c:pt>
                <c:pt idx="40">
                  <c:v>567</c:v>
                </c:pt>
                <c:pt idx="41">
                  <c:v>463</c:v>
                </c:pt>
                <c:pt idx="42">
                  <c:v>467</c:v>
                </c:pt>
                <c:pt idx="43">
                  <c:v>742</c:v>
                </c:pt>
                <c:pt idx="44">
                  <c:v>683</c:v>
                </c:pt>
                <c:pt idx="45">
                  <c:v>764</c:v>
                </c:pt>
                <c:pt idx="46">
                  <c:v>691</c:v>
                </c:pt>
                <c:pt idx="47">
                  <c:v>810</c:v>
                </c:pt>
                <c:pt idx="48">
                  <c:v>867</c:v>
                </c:pt>
                <c:pt idx="49">
                  <c:v>706</c:v>
                </c:pt>
                <c:pt idx="50" formatCode="#,##0">
                  <c:v>1138</c:v>
                </c:pt>
                <c:pt idx="51" formatCode="#,##0">
                  <c:v>1748.075</c:v>
                </c:pt>
                <c:pt idx="52" formatCode="#,##0">
                  <c:v>1567.971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Arg!$C$15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Arg!$D$15:$BD$15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9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2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4</c:v>
                </c:pt>
                <c:pt idx="30">
                  <c:v>1</c:v>
                </c:pt>
                <c:pt idx="31">
                  <c:v>2</c:v>
                </c:pt>
                <c:pt idx="32">
                  <c:v>1</c:v>
                </c:pt>
                <c:pt idx="33">
                  <c:v>6</c:v>
                </c:pt>
                <c:pt idx="34">
                  <c:v>5</c:v>
                </c:pt>
                <c:pt idx="35">
                  <c:v>7</c:v>
                </c:pt>
                <c:pt idx="36">
                  <c:v>9</c:v>
                </c:pt>
                <c:pt idx="37">
                  <c:v>8</c:v>
                </c:pt>
                <c:pt idx="38">
                  <c:v>15</c:v>
                </c:pt>
                <c:pt idx="39">
                  <c:v>15</c:v>
                </c:pt>
                <c:pt idx="40">
                  <c:v>13</c:v>
                </c:pt>
                <c:pt idx="41">
                  <c:v>5</c:v>
                </c:pt>
                <c:pt idx="42">
                  <c:v>14</c:v>
                </c:pt>
                <c:pt idx="43">
                  <c:v>16</c:v>
                </c:pt>
                <c:pt idx="44">
                  <c:v>10</c:v>
                </c:pt>
                <c:pt idx="45">
                  <c:v>8</c:v>
                </c:pt>
                <c:pt idx="46">
                  <c:v>7</c:v>
                </c:pt>
                <c:pt idx="47">
                  <c:v>9</c:v>
                </c:pt>
                <c:pt idx="48">
                  <c:v>6</c:v>
                </c:pt>
                <c:pt idx="49">
                  <c:v>8</c:v>
                </c:pt>
                <c:pt idx="50">
                  <c:v>5</c:v>
                </c:pt>
                <c:pt idx="51" formatCode="#,##0">
                  <c:v>8.8610000000000007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Arg!$C$16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Arg!$D$16:$BD$16</c:f>
              <c:numCache>
                <c:formatCode>General</c:formatCode>
                <c:ptCount val="53"/>
                <c:pt idx="0">
                  <c:v>11</c:v>
                </c:pt>
                <c:pt idx="1">
                  <c:v>37</c:v>
                </c:pt>
                <c:pt idx="2">
                  <c:v>14</c:v>
                </c:pt>
                <c:pt idx="3">
                  <c:v>5</c:v>
                </c:pt>
                <c:pt idx="4">
                  <c:v>49</c:v>
                </c:pt>
                <c:pt idx="5">
                  <c:v>35</c:v>
                </c:pt>
                <c:pt idx="6">
                  <c:v>32</c:v>
                </c:pt>
                <c:pt idx="7">
                  <c:v>46</c:v>
                </c:pt>
                <c:pt idx="8">
                  <c:v>78</c:v>
                </c:pt>
                <c:pt idx="9">
                  <c:v>96</c:v>
                </c:pt>
                <c:pt idx="10">
                  <c:v>82</c:v>
                </c:pt>
                <c:pt idx="11">
                  <c:v>29</c:v>
                </c:pt>
                <c:pt idx="12">
                  <c:v>34</c:v>
                </c:pt>
                <c:pt idx="13">
                  <c:v>56</c:v>
                </c:pt>
                <c:pt idx="14">
                  <c:v>61</c:v>
                </c:pt>
                <c:pt idx="15">
                  <c:v>111</c:v>
                </c:pt>
                <c:pt idx="16">
                  <c:v>170</c:v>
                </c:pt>
                <c:pt idx="17">
                  <c:v>99</c:v>
                </c:pt>
                <c:pt idx="18">
                  <c:v>70</c:v>
                </c:pt>
                <c:pt idx="19">
                  <c:v>95</c:v>
                </c:pt>
                <c:pt idx="20">
                  <c:v>95</c:v>
                </c:pt>
                <c:pt idx="21">
                  <c:v>97</c:v>
                </c:pt>
                <c:pt idx="22">
                  <c:v>71</c:v>
                </c:pt>
                <c:pt idx="23">
                  <c:v>140</c:v>
                </c:pt>
                <c:pt idx="24">
                  <c:v>165</c:v>
                </c:pt>
                <c:pt idx="25">
                  <c:v>150</c:v>
                </c:pt>
                <c:pt idx="26">
                  <c:v>97</c:v>
                </c:pt>
                <c:pt idx="27">
                  <c:v>43</c:v>
                </c:pt>
                <c:pt idx="28">
                  <c:v>36</c:v>
                </c:pt>
                <c:pt idx="29">
                  <c:v>53</c:v>
                </c:pt>
                <c:pt idx="30">
                  <c:v>75</c:v>
                </c:pt>
                <c:pt idx="31">
                  <c:v>207</c:v>
                </c:pt>
                <c:pt idx="32">
                  <c:v>276</c:v>
                </c:pt>
                <c:pt idx="33">
                  <c:v>203</c:v>
                </c:pt>
                <c:pt idx="34">
                  <c:v>327</c:v>
                </c:pt>
                <c:pt idx="35">
                  <c:v>366</c:v>
                </c:pt>
                <c:pt idx="36">
                  <c:v>530</c:v>
                </c:pt>
                <c:pt idx="37">
                  <c:v>543</c:v>
                </c:pt>
                <c:pt idx="38">
                  <c:v>741</c:v>
                </c:pt>
                <c:pt idx="39">
                  <c:v>417</c:v>
                </c:pt>
                <c:pt idx="40">
                  <c:v>381</c:v>
                </c:pt>
                <c:pt idx="41">
                  <c:v>134</c:v>
                </c:pt>
                <c:pt idx="42">
                  <c:v>193</c:v>
                </c:pt>
                <c:pt idx="43">
                  <c:v>294</c:v>
                </c:pt>
                <c:pt idx="44">
                  <c:v>325</c:v>
                </c:pt>
                <c:pt idx="45">
                  <c:v>485</c:v>
                </c:pt>
                <c:pt idx="46">
                  <c:v>452</c:v>
                </c:pt>
                <c:pt idx="47">
                  <c:v>443</c:v>
                </c:pt>
                <c:pt idx="48">
                  <c:v>554</c:v>
                </c:pt>
                <c:pt idx="49">
                  <c:v>430</c:v>
                </c:pt>
                <c:pt idx="50">
                  <c:v>625</c:v>
                </c:pt>
                <c:pt idx="51" formatCode="#,##0">
                  <c:v>729.41099999999994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Arg!$C$17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Arg!$D$17:$BD$17</c:f>
              <c:numCache>
                <c:formatCode>General</c:formatCode>
                <c:ptCount val="53"/>
                <c:pt idx="0">
                  <c:v>95</c:v>
                </c:pt>
                <c:pt idx="1">
                  <c:v>90</c:v>
                </c:pt>
                <c:pt idx="2">
                  <c:v>86</c:v>
                </c:pt>
                <c:pt idx="3">
                  <c:v>101</c:v>
                </c:pt>
                <c:pt idx="4">
                  <c:v>106</c:v>
                </c:pt>
                <c:pt idx="5">
                  <c:v>106</c:v>
                </c:pt>
                <c:pt idx="6">
                  <c:v>109</c:v>
                </c:pt>
                <c:pt idx="7">
                  <c:v>111</c:v>
                </c:pt>
                <c:pt idx="8">
                  <c:v>117</c:v>
                </c:pt>
                <c:pt idx="9">
                  <c:v>148</c:v>
                </c:pt>
                <c:pt idx="10">
                  <c:v>150</c:v>
                </c:pt>
                <c:pt idx="11">
                  <c:v>165</c:v>
                </c:pt>
                <c:pt idx="12">
                  <c:v>135</c:v>
                </c:pt>
                <c:pt idx="13">
                  <c:v>130</c:v>
                </c:pt>
                <c:pt idx="14">
                  <c:v>141</c:v>
                </c:pt>
                <c:pt idx="15">
                  <c:v>140</c:v>
                </c:pt>
                <c:pt idx="16">
                  <c:v>66</c:v>
                </c:pt>
                <c:pt idx="17">
                  <c:v>112</c:v>
                </c:pt>
                <c:pt idx="18">
                  <c:v>120</c:v>
                </c:pt>
                <c:pt idx="19">
                  <c:v>100</c:v>
                </c:pt>
                <c:pt idx="20">
                  <c:v>100</c:v>
                </c:pt>
                <c:pt idx="21">
                  <c:v>115</c:v>
                </c:pt>
                <c:pt idx="22">
                  <c:v>110</c:v>
                </c:pt>
                <c:pt idx="23">
                  <c:v>125</c:v>
                </c:pt>
                <c:pt idx="24">
                  <c:v>125</c:v>
                </c:pt>
                <c:pt idx="25">
                  <c:v>139</c:v>
                </c:pt>
                <c:pt idx="26">
                  <c:v>125</c:v>
                </c:pt>
                <c:pt idx="27">
                  <c:v>200</c:v>
                </c:pt>
                <c:pt idx="28">
                  <c:v>208</c:v>
                </c:pt>
                <c:pt idx="29">
                  <c:v>210</c:v>
                </c:pt>
                <c:pt idx="30">
                  <c:v>219</c:v>
                </c:pt>
                <c:pt idx="31">
                  <c:v>180</c:v>
                </c:pt>
                <c:pt idx="32">
                  <c:v>175</c:v>
                </c:pt>
                <c:pt idx="33">
                  <c:v>189</c:v>
                </c:pt>
                <c:pt idx="34">
                  <c:v>200</c:v>
                </c:pt>
                <c:pt idx="35">
                  <c:v>210</c:v>
                </c:pt>
                <c:pt idx="36">
                  <c:v>215</c:v>
                </c:pt>
                <c:pt idx="37">
                  <c:v>220</c:v>
                </c:pt>
                <c:pt idx="38">
                  <c:v>225</c:v>
                </c:pt>
                <c:pt idx="39">
                  <c:v>230</c:v>
                </c:pt>
                <c:pt idx="40">
                  <c:v>325</c:v>
                </c:pt>
                <c:pt idx="41">
                  <c:v>325</c:v>
                </c:pt>
                <c:pt idx="42">
                  <c:v>325</c:v>
                </c:pt>
                <c:pt idx="43">
                  <c:v>350</c:v>
                </c:pt>
                <c:pt idx="44">
                  <c:v>375</c:v>
                </c:pt>
                <c:pt idx="45">
                  <c:v>325</c:v>
                </c:pt>
                <c:pt idx="46">
                  <c:v>325</c:v>
                </c:pt>
                <c:pt idx="47">
                  <c:v>325</c:v>
                </c:pt>
                <c:pt idx="48">
                  <c:v>330</c:v>
                </c:pt>
                <c:pt idx="49">
                  <c:v>330</c:v>
                </c:pt>
                <c:pt idx="50">
                  <c:v>350</c:v>
                </c:pt>
                <c:pt idx="51" formatCode="#,##0">
                  <c:v>1027.5250000000001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0983712"/>
        <c:axId val="260987240"/>
      </c:lineChart>
      <c:catAx>
        <c:axId val="260983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987240"/>
        <c:crosses val="autoZero"/>
        <c:auto val="1"/>
        <c:lblAlgn val="ctr"/>
        <c:lblOffset val="100"/>
        <c:noMultiLvlLbl val="0"/>
      </c:catAx>
      <c:valAx>
        <c:axId val="26098724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98371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455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Arg!$C$18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Arg!$D$18:$BD$18</c:f>
              <c:numCache>
                <c:formatCode>#,##0</c:formatCode>
                <c:ptCount val="53"/>
                <c:pt idx="0">
                  <c:v>1252</c:v>
                </c:pt>
                <c:pt idx="1">
                  <c:v>1394</c:v>
                </c:pt>
                <c:pt idx="2" formatCode="General">
                  <c:v>952</c:v>
                </c:pt>
                <c:pt idx="3">
                  <c:v>1267</c:v>
                </c:pt>
                <c:pt idx="4" formatCode="General">
                  <c:v>857</c:v>
                </c:pt>
                <c:pt idx="5">
                  <c:v>2130</c:v>
                </c:pt>
                <c:pt idx="6">
                  <c:v>1380</c:v>
                </c:pt>
                <c:pt idx="7">
                  <c:v>1897</c:v>
                </c:pt>
                <c:pt idx="8">
                  <c:v>2484</c:v>
                </c:pt>
                <c:pt idx="9">
                  <c:v>3820</c:v>
                </c:pt>
                <c:pt idx="10">
                  <c:v>4660</c:v>
                </c:pt>
                <c:pt idx="11">
                  <c:v>2360</c:v>
                </c:pt>
                <c:pt idx="12">
                  <c:v>4600</c:v>
                </c:pt>
                <c:pt idx="13">
                  <c:v>5900</c:v>
                </c:pt>
                <c:pt idx="14">
                  <c:v>4830</c:v>
                </c:pt>
                <c:pt idx="15">
                  <c:v>5060</c:v>
                </c:pt>
                <c:pt idx="16">
                  <c:v>6600</c:v>
                </c:pt>
                <c:pt idx="17">
                  <c:v>7200</c:v>
                </c:pt>
                <c:pt idx="18">
                  <c:v>6500</c:v>
                </c:pt>
                <c:pt idx="19">
                  <c:v>2960</c:v>
                </c:pt>
                <c:pt idx="20">
                  <c:v>7100</c:v>
                </c:pt>
                <c:pt idx="21">
                  <c:v>8000</c:v>
                </c:pt>
                <c:pt idx="22">
                  <c:v>7600</c:v>
                </c:pt>
                <c:pt idx="23">
                  <c:v>6900</c:v>
                </c:pt>
                <c:pt idx="24">
                  <c:v>6200</c:v>
                </c:pt>
                <c:pt idx="25">
                  <c:v>4200</c:v>
                </c:pt>
                <c:pt idx="26">
                  <c:v>3100</c:v>
                </c:pt>
                <c:pt idx="27">
                  <c:v>3000</c:v>
                </c:pt>
                <c:pt idx="28">
                  <c:v>1400</c:v>
                </c:pt>
                <c:pt idx="29">
                  <c:v>2050</c:v>
                </c:pt>
                <c:pt idx="30">
                  <c:v>2252</c:v>
                </c:pt>
                <c:pt idx="31">
                  <c:v>2767</c:v>
                </c:pt>
                <c:pt idx="32">
                  <c:v>2860</c:v>
                </c:pt>
                <c:pt idx="33">
                  <c:v>2270</c:v>
                </c:pt>
                <c:pt idx="34">
                  <c:v>1649</c:v>
                </c:pt>
                <c:pt idx="35">
                  <c:v>2132</c:v>
                </c:pt>
                <c:pt idx="36">
                  <c:v>2499</c:v>
                </c:pt>
                <c:pt idx="37">
                  <c:v>3762</c:v>
                </c:pt>
                <c:pt idx="38">
                  <c:v>3222</c:v>
                </c:pt>
                <c:pt idx="39">
                  <c:v>3344</c:v>
                </c:pt>
                <c:pt idx="40">
                  <c:v>2706</c:v>
                </c:pt>
                <c:pt idx="41">
                  <c:v>2750</c:v>
                </c:pt>
                <c:pt idx="42">
                  <c:v>2800</c:v>
                </c:pt>
                <c:pt idx="43">
                  <c:v>2165</c:v>
                </c:pt>
                <c:pt idx="44">
                  <c:v>2894</c:v>
                </c:pt>
                <c:pt idx="45">
                  <c:v>2328</c:v>
                </c:pt>
                <c:pt idx="46">
                  <c:v>2795</c:v>
                </c:pt>
                <c:pt idx="47">
                  <c:v>2937</c:v>
                </c:pt>
                <c:pt idx="48">
                  <c:v>1660</c:v>
                </c:pt>
                <c:pt idx="49">
                  <c:v>3629</c:v>
                </c:pt>
                <c:pt idx="50">
                  <c:v>3800</c:v>
                </c:pt>
                <c:pt idx="51">
                  <c:v>4458.442</c:v>
                </c:pt>
                <c:pt idx="52">
                  <c:v>4252.3100000000004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Arg!$C$19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Arg!$D$19:$BD$19</c:f>
              <c:numCache>
                <c:formatCode>General</c:formatCode>
                <c:ptCount val="53"/>
                <c:pt idx="0">
                  <c:v>3</c:v>
                </c:pt>
                <c:pt idx="1">
                  <c:v>5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3</c:v>
                </c:pt>
                <c:pt idx="6">
                  <c:v>2</c:v>
                </c:pt>
                <c:pt idx="7">
                  <c:v>3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4</c:v>
                </c:pt>
                <c:pt idx="37">
                  <c:v>4</c:v>
                </c:pt>
                <c:pt idx="38">
                  <c:v>1</c:v>
                </c:pt>
                <c:pt idx="39">
                  <c:v>1</c:v>
                </c:pt>
                <c:pt idx="40">
                  <c:v>0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0</c:v>
                </c:pt>
                <c:pt idx="45">
                  <c:v>0</c:v>
                </c:pt>
                <c:pt idx="46">
                  <c:v>2</c:v>
                </c:pt>
                <c:pt idx="47">
                  <c:v>1</c:v>
                </c:pt>
                <c:pt idx="48">
                  <c:v>1</c:v>
                </c:pt>
                <c:pt idx="49">
                  <c:v>0</c:v>
                </c:pt>
                <c:pt idx="50">
                  <c:v>0</c:v>
                </c:pt>
                <c:pt idx="51" formatCode="#,##0">
                  <c:v>0.495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Arg!$C$20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Arg!$D$20:$BD$20</c:f>
              <c:numCache>
                <c:formatCode>General</c:formatCode>
                <c:ptCount val="53"/>
                <c:pt idx="0">
                  <c:v>287</c:v>
                </c:pt>
                <c:pt idx="1">
                  <c:v>428</c:v>
                </c:pt>
                <c:pt idx="2">
                  <c:v>547</c:v>
                </c:pt>
                <c:pt idx="3">
                  <c:v>653</c:v>
                </c:pt>
                <c:pt idx="4">
                  <c:v>140</c:v>
                </c:pt>
                <c:pt idx="5" formatCode="#,##0">
                  <c:v>1044</c:v>
                </c:pt>
                <c:pt idx="6">
                  <c:v>419</c:v>
                </c:pt>
                <c:pt idx="7">
                  <c:v>627</c:v>
                </c:pt>
                <c:pt idx="8" formatCode="#,##0">
                  <c:v>1316</c:v>
                </c:pt>
                <c:pt idx="9" formatCode="#,##0">
                  <c:v>1994</c:v>
                </c:pt>
                <c:pt idx="10" formatCode="#,##0">
                  <c:v>2335</c:v>
                </c:pt>
                <c:pt idx="11">
                  <c:v>507</c:v>
                </c:pt>
                <c:pt idx="12" formatCode="#,##0">
                  <c:v>2278</c:v>
                </c:pt>
                <c:pt idx="13" formatCode="#,##0">
                  <c:v>2950</c:v>
                </c:pt>
                <c:pt idx="14" formatCode="#,##0">
                  <c:v>2342</c:v>
                </c:pt>
                <c:pt idx="15" formatCode="#,##0">
                  <c:v>3433</c:v>
                </c:pt>
                <c:pt idx="16" formatCode="#,##0">
                  <c:v>4122</c:v>
                </c:pt>
                <c:pt idx="17" formatCode="#,##0">
                  <c:v>4652</c:v>
                </c:pt>
                <c:pt idx="18" formatCode="#,##0">
                  <c:v>3755</c:v>
                </c:pt>
                <c:pt idx="19" formatCode="#,##0">
                  <c:v>1494</c:v>
                </c:pt>
                <c:pt idx="20" formatCode="#,##0">
                  <c:v>4940</c:v>
                </c:pt>
                <c:pt idx="21" formatCode="#,##0">
                  <c:v>5544</c:v>
                </c:pt>
                <c:pt idx="22" formatCode="#,##0">
                  <c:v>5197</c:v>
                </c:pt>
                <c:pt idx="23" formatCode="#,##0">
                  <c:v>4134</c:v>
                </c:pt>
                <c:pt idx="24" formatCode="#,##0">
                  <c:v>3140</c:v>
                </c:pt>
                <c:pt idx="25" formatCode="#,##0">
                  <c:v>1950</c:v>
                </c:pt>
                <c:pt idx="26">
                  <c:v>975</c:v>
                </c:pt>
                <c:pt idx="27" formatCode="#,##0">
                  <c:v>1440</c:v>
                </c:pt>
                <c:pt idx="28">
                  <c:v>386</c:v>
                </c:pt>
                <c:pt idx="29" formatCode="#,##0">
                  <c:v>1200</c:v>
                </c:pt>
                <c:pt idx="30" formatCode="#,##0">
                  <c:v>1300</c:v>
                </c:pt>
                <c:pt idx="31" formatCode="#,##0">
                  <c:v>1200</c:v>
                </c:pt>
                <c:pt idx="32" formatCode="#,##0">
                  <c:v>1048</c:v>
                </c:pt>
                <c:pt idx="33">
                  <c:v>425</c:v>
                </c:pt>
                <c:pt idx="34">
                  <c:v>192</c:v>
                </c:pt>
                <c:pt idx="35">
                  <c:v>800</c:v>
                </c:pt>
                <c:pt idx="36">
                  <c:v>798</c:v>
                </c:pt>
                <c:pt idx="37" formatCode="#,##0">
                  <c:v>1334</c:v>
                </c:pt>
                <c:pt idx="38">
                  <c:v>565</c:v>
                </c:pt>
                <c:pt idx="39">
                  <c:v>920</c:v>
                </c:pt>
                <c:pt idx="40">
                  <c:v>439</c:v>
                </c:pt>
                <c:pt idx="41">
                  <c:v>419</c:v>
                </c:pt>
                <c:pt idx="42">
                  <c:v>639</c:v>
                </c:pt>
                <c:pt idx="43">
                  <c:v>192</c:v>
                </c:pt>
                <c:pt idx="44">
                  <c:v>351</c:v>
                </c:pt>
                <c:pt idx="45">
                  <c:v>197</c:v>
                </c:pt>
                <c:pt idx="46" formatCode="#,##0">
                  <c:v>1083</c:v>
                </c:pt>
                <c:pt idx="47" formatCode="#,##0">
                  <c:v>1223</c:v>
                </c:pt>
                <c:pt idx="48" formatCode="#,##0">
                  <c:v>1113</c:v>
                </c:pt>
                <c:pt idx="49" formatCode="#,##0">
                  <c:v>1750</c:v>
                </c:pt>
                <c:pt idx="50" formatCode="#,##0">
                  <c:v>1400</c:v>
                </c:pt>
                <c:pt idx="51" formatCode="#,##0">
                  <c:v>1847.529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Arg!$C$21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Arg!$D$21:$BD$21</c:f>
              <c:numCache>
                <c:formatCode>General</c:formatCode>
                <c:ptCount val="53"/>
                <c:pt idx="0">
                  <c:v>976</c:v>
                </c:pt>
                <c:pt idx="1">
                  <c:v>964</c:v>
                </c:pt>
                <c:pt idx="2">
                  <c:v>363</c:v>
                </c:pt>
                <c:pt idx="3">
                  <c:v>640</c:v>
                </c:pt>
                <c:pt idx="4">
                  <c:v>735</c:v>
                </c:pt>
                <c:pt idx="5" formatCode="#,##0">
                  <c:v>1077</c:v>
                </c:pt>
                <c:pt idx="6">
                  <c:v>936</c:v>
                </c:pt>
                <c:pt idx="7" formatCode="#,##0">
                  <c:v>1226</c:v>
                </c:pt>
                <c:pt idx="8" formatCode="#,##0">
                  <c:v>1153</c:v>
                </c:pt>
                <c:pt idx="9" formatCode="#,##0">
                  <c:v>1903</c:v>
                </c:pt>
                <c:pt idx="10" formatCode="#,##0">
                  <c:v>2227</c:v>
                </c:pt>
                <c:pt idx="11" formatCode="#,##0">
                  <c:v>1900</c:v>
                </c:pt>
                <c:pt idx="12" formatCode="#,##0">
                  <c:v>2305</c:v>
                </c:pt>
                <c:pt idx="13" formatCode="#,##0">
                  <c:v>3000</c:v>
                </c:pt>
                <c:pt idx="14" formatCode="#,##0">
                  <c:v>2298</c:v>
                </c:pt>
                <c:pt idx="15" formatCode="#,##0">
                  <c:v>1668</c:v>
                </c:pt>
                <c:pt idx="16" formatCode="#,##0">
                  <c:v>2579</c:v>
                </c:pt>
                <c:pt idx="17" formatCode="#,##0">
                  <c:v>2417</c:v>
                </c:pt>
                <c:pt idx="18" formatCode="#,##0">
                  <c:v>2856</c:v>
                </c:pt>
                <c:pt idx="19" formatCode="#,##0">
                  <c:v>1585</c:v>
                </c:pt>
                <c:pt idx="20" formatCode="#,##0">
                  <c:v>2050</c:v>
                </c:pt>
                <c:pt idx="21" formatCode="#,##0">
                  <c:v>2090</c:v>
                </c:pt>
                <c:pt idx="22" formatCode="#,##0">
                  <c:v>2700</c:v>
                </c:pt>
                <c:pt idx="23" formatCode="#,##0">
                  <c:v>2900</c:v>
                </c:pt>
                <c:pt idx="24" formatCode="#,##0">
                  <c:v>2880</c:v>
                </c:pt>
                <c:pt idx="25" formatCode="#,##0">
                  <c:v>2400</c:v>
                </c:pt>
                <c:pt idx="26" formatCode="#,##0">
                  <c:v>2100</c:v>
                </c:pt>
                <c:pt idx="27" formatCode="#,##0">
                  <c:v>1600</c:v>
                </c:pt>
                <c:pt idx="28">
                  <c:v>800</c:v>
                </c:pt>
                <c:pt idx="29">
                  <c:v>900</c:v>
                </c:pt>
                <c:pt idx="30" formatCode="#,##0">
                  <c:v>1000</c:v>
                </c:pt>
                <c:pt idx="31" formatCode="#,##0">
                  <c:v>1300</c:v>
                </c:pt>
                <c:pt idx="32" formatCode="#,##0">
                  <c:v>1754</c:v>
                </c:pt>
                <c:pt idx="33" formatCode="#,##0">
                  <c:v>1885</c:v>
                </c:pt>
                <c:pt idx="34" formatCode="#,##0">
                  <c:v>1608</c:v>
                </c:pt>
                <c:pt idx="35" formatCode="#,##0">
                  <c:v>1350</c:v>
                </c:pt>
                <c:pt idx="36" formatCode="#,##0">
                  <c:v>1656</c:v>
                </c:pt>
                <c:pt idx="37" formatCode="#,##0">
                  <c:v>2070</c:v>
                </c:pt>
                <c:pt idx="38" formatCode="#,##0">
                  <c:v>2550</c:v>
                </c:pt>
                <c:pt idx="39" formatCode="#,##0">
                  <c:v>2500</c:v>
                </c:pt>
                <c:pt idx="40" formatCode="#,##0">
                  <c:v>2500</c:v>
                </c:pt>
                <c:pt idx="41" formatCode="#,##0">
                  <c:v>2300</c:v>
                </c:pt>
                <c:pt idx="42" formatCode="#,##0">
                  <c:v>2250</c:v>
                </c:pt>
                <c:pt idx="43" formatCode="#,##0">
                  <c:v>2000</c:v>
                </c:pt>
                <c:pt idx="44" formatCode="#,##0">
                  <c:v>2600</c:v>
                </c:pt>
                <c:pt idx="45" formatCode="#,##0">
                  <c:v>2300</c:v>
                </c:pt>
                <c:pt idx="46" formatCode="#,##0">
                  <c:v>1700</c:v>
                </c:pt>
                <c:pt idx="47" formatCode="#,##0">
                  <c:v>1200</c:v>
                </c:pt>
                <c:pt idx="48" formatCode="#,##0">
                  <c:v>1100</c:v>
                </c:pt>
                <c:pt idx="49" formatCode="#,##0">
                  <c:v>1900</c:v>
                </c:pt>
                <c:pt idx="50" formatCode="#,##0">
                  <c:v>2300</c:v>
                </c:pt>
                <c:pt idx="51" formatCode="#,##0">
                  <c:v>2611.4079999999999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0984496"/>
        <c:axId val="260985280"/>
      </c:lineChart>
      <c:catAx>
        <c:axId val="260984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985280"/>
        <c:crosses val="autoZero"/>
        <c:auto val="1"/>
        <c:lblAlgn val="ctr"/>
        <c:lblOffset val="100"/>
        <c:noMultiLvlLbl val="0"/>
      </c:catAx>
      <c:valAx>
        <c:axId val="26098528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98449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413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Arg!$C$22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Arg!$D$22:$BD$22</c:f>
              <c:numCache>
                <c:formatCode>General</c:formatCode>
                <c:ptCount val="53"/>
                <c:pt idx="0">
                  <c:v>819</c:v>
                </c:pt>
                <c:pt idx="1">
                  <c:v>684</c:v>
                </c:pt>
                <c:pt idx="2">
                  <c:v>840</c:v>
                </c:pt>
                <c:pt idx="3" formatCode="#,##0">
                  <c:v>1096</c:v>
                </c:pt>
                <c:pt idx="4">
                  <c:v>974</c:v>
                </c:pt>
                <c:pt idx="5" formatCode="#,##0">
                  <c:v>1290</c:v>
                </c:pt>
                <c:pt idx="6" formatCode="#,##0">
                  <c:v>1014</c:v>
                </c:pt>
                <c:pt idx="7">
                  <c:v>766</c:v>
                </c:pt>
                <c:pt idx="8">
                  <c:v>912</c:v>
                </c:pt>
                <c:pt idx="9">
                  <c:v>970</c:v>
                </c:pt>
                <c:pt idx="10">
                  <c:v>908</c:v>
                </c:pt>
                <c:pt idx="11">
                  <c:v>990</c:v>
                </c:pt>
                <c:pt idx="12" formatCode="#,##0">
                  <c:v>1293</c:v>
                </c:pt>
                <c:pt idx="13" formatCode="#,##0">
                  <c:v>1650</c:v>
                </c:pt>
                <c:pt idx="14" formatCode="#,##0">
                  <c:v>1532</c:v>
                </c:pt>
                <c:pt idx="15" formatCode="#,##0">
                  <c:v>1349</c:v>
                </c:pt>
                <c:pt idx="16" formatCode="#,##0">
                  <c:v>1592</c:v>
                </c:pt>
                <c:pt idx="17" formatCode="#,##0">
                  <c:v>1665</c:v>
                </c:pt>
                <c:pt idx="18" formatCode="#,##0">
                  <c:v>1387</c:v>
                </c:pt>
                <c:pt idx="19" formatCode="#,##0">
                  <c:v>1395</c:v>
                </c:pt>
                <c:pt idx="20" formatCode="#,##0">
                  <c:v>1715</c:v>
                </c:pt>
                <c:pt idx="21" formatCode="#,##0">
                  <c:v>1618</c:v>
                </c:pt>
                <c:pt idx="22" formatCode="#,##0">
                  <c:v>1617</c:v>
                </c:pt>
                <c:pt idx="23" formatCode="#,##0">
                  <c:v>1621</c:v>
                </c:pt>
                <c:pt idx="24" formatCode="#,##0">
                  <c:v>1535</c:v>
                </c:pt>
                <c:pt idx="25" formatCode="#,##0">
                  <c:v>1160</c:v>
                </c:pt>
                <c:pt idx="26" formatCode="#,##0">
                  <c:v>1108</c:v>
                </c:pt>
                <c:pt idx="27" formatCode="#,##0">
                  <c:v>1100</c:v>
                </c:pt>
                <c:pt idx="28" formatCode="#,##0">
                  <c:v>1284</c:v>
                </c:pt>
                <c:pt idx="29">
                  <c:v>944</c:v>
                </c:pt>
                <c:pt idx="30" formatCode="#,##0">
                  <c:v>1300</c:v>
                </c:pt>
                <c:pt idx="31" formatCode="#,##0">
                  <c:v>1550</c:v>
                </c:pt>
                <c:pt idx="32" formatCode="#,##0">
                  <c:v>1350</c:v>
                </c:pt>
                <c:pt idx="33" formatCode="#,##0">
                  <c:v>1080</c:v>
                </c:pt>
                <c:pt idx="34" formatCode="#,##0">
                  <c:v>1180</c:v>
                </c:pt>
                <c:pt idx="35" formatCode="#,##0">
                  <c:v>1590</c:v>
                </c:pt>
                <c:pt idx="36" formatCode="#,##0">
                  <c:v>1380</c:v>
                </c:pt>
                <c:pt idx="37" formatCode="#,##0">
                  <c:v>1750</c:v>
                </c:pt>
                <c:pt idx="38" formatCode="#,##0">
                  <c:v>1830</c:v>
                </c:pt>
                <c:pt idx="39" formatCode="#,##0">
                  <c:v>1670</c:v>
                </c:pt>
                <c:pt idx="40" formatCode="#,##0">
                  <c:v>1540</c:v>
                </c:pt>
                <c:pt idx="41" formatCode="#,##0">
                  <c:v>1600</c:v>
                </c:pt>
                <c:pt idx="42" formatCode="#,##0">
                  <c:v>1650</c:v>
                </c:pt>
                <c:pt idx="43" formatCode="#,##0">
                  <c:v>1925</c:v>
                </c:pt>
                <c:pt idx="44" formatCode="#,##0">
                  <c:v>1815</c:v>
                </c:pt>
                <c:pt idx="45" formatCode="#,##0">
                  <c:v>2140</c:v>
                </c:pt>
                <c:pt idx="46" formatCode="#,##0">
                  <c:v>2440</c:v>
                </c:pt>
                <c:pt idx="47" formatCode="#,##0">
                  <c:v>2190</c:v>
                </c:pt>
                <c:pt idx="48" formatCode="#,##0">
                  <c:v>2420</c:v>
                </c:pt>
                <c:pt idx="49" formatCode="#,##0">
                  <c:v>2230</c:v>
                </c:pt>
                <c:pt idx="50" formatCode="#,##0">
                  <c:v>2290</c:v>
                </c:pt>
                <c:pt idx="51" formatCode="#,##0">
                  <c:v>19806.89</c:v>
                </c:pt>
                <c:pt idx="52" formatCode="#,##0">
                  <c:v>19766.386999999999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Arg!$C$23</c:f>
              <c:strCache>
                <c:ptCount val="1"/>
                <c:pt idx="0">
                  <c:v>Total Imports</c:v>
                </c:pt>
              </c:strCache>
            </c:strRef>
          </c:tx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Arg!$D$23:$BD$23</c:f>
              <c:numCache>
                <c:formatCode>General</c:formatCode>
                <c:ptCount val="53"/>
                <c:pt idx="0">
                  <c:v>6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215</c:v>
                </c:pt>
                <c:pt idx="34">
                  <c:v>180</c:v>
                </c:pt>
                <c:pt idx="35">
                  <c:v>20</c:v>
                </c:pt>
                <c:pt idx="36">
                  <c:v>36</c:v>
                </c:pt>
                <c:pt idx="37">
                  <c:v>23</c:v>
                </c:pt>
                <c:pt idx="38">
                  <c:v>1</c:v>
                </c:pt>
                <c:pt idx="39">
                  <c:v>1</c:v>
                </c:pt>
                <c:pt idx="40">
                  <c:v>2</c:v>
                </c:pt>
                <c:pt idx="41">
                  <c:v>1</c:v>
                </c:pt>
                <c:pt idx="42">
                  <c:v>1</c:v>
                </c:pt>
                <c:pt idx="43">
                  <c:v>10</c:v>
                </c:pt>
                <c:pt idx="44">
                  <c:v>5</c:v>
                </c:pt>
                <c:pt idx="45">
                  <c:v>5</c:v>
                </c:pt>
                <c:pt idx="46">
                  <c:v>2</c:v>
                </c:pt>
                <c:pt idx="47">
                  <c:v>10</c:v>
                </c:pt>
                <c:pt idx="48">
                  <c:v>21</c:v>
                </c:pt>
                <c:pt idx="49">
                  <c:v>10</c:v>
                </c:pt>
                <c:pt idx="50">
                  <c:v>5</c:v>
                </c:pt>
                <c:pt idx="51" formatCode="#,##0">
                  <c:v>3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Arg!$C$24</c:f>
              <c:strCache>
                <c:ptCount val="1"/>
                <c:pt idx="0">
                  <c:v>Total Exports</c:v>
                </c:pt>
              </c:strCache>
            </c:strRef>
          </c:tx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Arg!$D$24:$BD$24</c:f>
              <c:numCache>
                <c:formatCode>General</c:formatCode>
                <c:ptCount val="53"/>
                <c:pt idx="0">
                  <c:v>192</c:v>
                </c:pt>
                <c:pt idx="1">
                  <c:v>33</c:v>
                </c:pt>
                <c:pt idx="2">
                  <c:v>50</c:v>
                </c:pt>
                <c:pt idx="3">
                  <c:v>223</c:v>
                </c:pt>
                <c:pt idx="4">
                  <c:v>276</c:v>
                </c:pt>
                <c:pt idx="5">
                  <c:v>152</c:v>
                </c:pt>
                <c:pt idx="6">
                  <c:v>124</c:v>
                </c:pt>
                <c:pt idx="7">
                  <c:v>83</c:v>
                </c:pt>
                <c:pt idx="8">
                  <c:v>51</c:v>
                </c:pt>
                <c:pt idx="9">
                  <c:v>121</c:v>
                </c:pt>
                <c:pt idx="10">
                  <c:v>118</c:v>
                </c:pt>
                <c:pt idx="11">
                  <c:v>106</c:v>
                </c:pt>
                <c:pt idx="12">
                  <c:v>280</c:v>
                </c:pt>
                <c:pt idx="13">
                  <c:v>640</c:v>
                </c:pt>
                <c:pt idx="14">
                  <c:v>542</c:v>
                </c:pt>
                <c:pt idx="15">
                  <c:v>217</c:v>
                </c:pt>
                <c:pt idx="16">
                  <c:v>564</c:v>
                </c:pt>
                <c:pt idx="17">
                  <c:v>674</c:v>
                </c:pt>
                <c:pt idx="18">
                  <c:v>444</c:v>
                </c:pt>
                <c:pt idx="19">
                  <c:v>309</c:v>
                </c:pt>
                <c:pt idx="20">
                  <c:v>636</c:v>
                </c:pt>
                <c:pt idx="21">
                  <c:v>588</c:v>
                </c:pt>
                <c:pt idx="22">
                  <c:v>553</c:v>
                </c:pt>
                <c:pt idx="23">
                  <c:v>770</c:v>
                </c:pt>
                <c:pt idx="24">
                  <c:v>307</c:v>
                </c:pt>
                <c:pt idx="25">
                  <c:v>170</c:v>
                </c:pt>
                <c:pt idx="26">
                  <c:v>80</c:v>
                </c:pt>
                <c:pt idx="27">
                  <c:v>72</c:v>
                </c:pt>
                <c:pt idx="28">
                  <c:v>277</c:v>
                </c:pt>
                <c:pt idx="29">
                  <c:v>129</c:v>
                </c:pt>
                <c:pt idx="30">
                  <c:v>387</c:v>
                </c:pt>
                <c:pt idx="31">
                  <c:v>275</c:v>
                </c:pt>
                <c:pt idx="32">
                  <c:v>190</c:v>
                </c:pt>
                <c:pt idx="33">
                  <c:v>57</c:v>
                </c:pt>
                <c:pt idx="34">
                  <c:v>55</c:v>
                </c:pt>
                <c:pt idx="35">
                  <c:v>170</c:v>
                </c:pt>
                <c:pt idx="36">
                  <c:v>163</c:v>
                </c:pt>
                <c:pt idx="37">
                  <c:v>261</c:v>
                </c:pt>
                <c:pt idx="38">
                  <c:v>189</c:v>
                </c:pt>
                <c:pt idx="39">
                  <c:v>200</c:v>
                </c:pt>
                <c:pt idx="40">
                  <c:v>189</c:v>
                </c:pt>
                <c:pt idx="41">
                  <c:v>137</c:v>
                </c:pt>
                <c:pt idx="42">
                  <c:v>265</c:v>
                </c:pt>
                <c:pt idx="43">
                  <c:v>201</c:v>
                </c:pt>
                <c:pt idx="44">
                  <c:v>228</c:v>
                </c:pt>
                <c:pt idx="45">
                  <c:v>641</c:v>
                </c:pt>
                <c:pt idx="46">
                  <c:v>720</c:v>
                </c:pt>
                <c:pt idx="47">
                  <c:v>343</c:v>
                </c:pt>
                <c:pt idx="48">
                  <c:v>580</c:v>
                </c:pt>
                <c:pt idx="49">
                  <c:v>760</c:v>
                </c:pt>
                <c:pt idx="50">
                  <c:v>340</c:v>
                </c:pt>
                <c:pt idx="51" formatCode="#,##0">
                  <c:v>96.649000000000001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Arg!$C$25</c:f>
              <c:strCache>
                <c:ptCount val="1"/>
                <c:pt idx="0">
                  <c:v>Human Dom.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Arg!$D$25:$BD$25</c:f>
              <c:numCache>
                <c:formatCode>General</c:formatCode>
                <c:ptCount val="53"/>
                <c:pt idx="0">
                  <c:v>698</c:v>
                </c:pt>
                <c:pt idx="1">
                  <c:v>786</c:v>
                </c:pt>
                <c:pt idx="2">
                  <c:v>780</c:v>
                </c:pt>
                <c:pt idx="3">
                  <c:v>794</c:v>
                </c:pt>
                <c:pt idx="4">
                  <c:v>838</c:v>
                </c:pt>
                <c:pt idx="5">
                  <c:v>852</c:v>
                </c:pt>
                <c:pt idx="6">
                  <c:v>862</c:v>
                </c:pt>
                <c:pt idx="7">
                  <c:v>860</c:v>
                </c:pt>
                <c:pt idx="8">
                  <c:v>865</c:v>
                </c:pt>
                <c:pt idx="9">
                  <c:v>869</c:v>
                </c:pt>
                <c:pt idx="10">
                  <c:v>880</c:v>
                </c:pt>
                <c:pt idx="11">
                  <c:v>961</c:v>
                </c:pt>
                <c:pt idx="12" formatCode="#,##0">
                  <c:v>1025</c:v>
                </c:pt>
                <c:pt idx="13" formatCode="#,##0">
                  <c:v>1021</c:v>
                </c:pt>
                <c:pt idx="14">
                  <c:v>973</c:v>
                </c:pt>
                <c:pt idx="15" formatCode="#,##0">
                  <c:v>1131</c:v>
                </c:pt>
                <c:pt idx="16">
                  <c:v>927</c:v>
                </c:pt>
                <c:pt idx="17">
                  <c:v>948</c:v>
                </c:pt>
                <c:pt idx="18" formatCode="#,##0">
                  <c:v>1036</c:v>
                </c:pt>
                <c:pt idx="19" formatCode="#,##0">
                  <c:v>1006</c:v>
                </c:pt>
                <c:pt idx="20" formatCode="#,##0">
                  <c:v>1104</c:v>
                </c:pt>
                <c:pt idx="21">
                  <c:v>971</c:v>
                </c:pt>
                <c:pt idx="22">
                  <c:v>980</c:v>
                </c:pt>
                <c:pt idx="23" formatCode="#,##0">
                  <c:v>1050</c:v>
                </c:pt>
                <c:pt idx="24" formatCode="#,##0">
                  <c:v>1040</c:v>
                </c:pt>
                <c:pt idx="25" formatCode="#,##0">
                  <c:v>1051</c:v>
                </c:pt>
                <c:pt idx="26" formatCode="#,##0">
                  <c:v>1070</c:v>
                </c:pt>
                <c:pt idx="27" formatCode="#,##0">
                  <c:v>1080</c:v>
                </c:pt>
                <c:pt idx="28">
                  <c:v>870</c:v>
                </c:pt>
                <c:pt idx="29">
                  <c:v>815</c:v>
                </c:pt>
                <c:pt idx="30">
                  <c:v>980</c:v>
                </c:pt>
                <c:pt idx="31" formatCode="#,##0">
                  <c:v>1220</c:v>
                </c:pt>
                <c:pt idx="32" formatCode="#,##0">
                  <c:v>1250</c:v>
                </c:pt>
                <c:pt idx="33" formatCode="#,##0">
                  <c:v>1300</c:v>
                </c:pt>
                <c:pt idx="34" formatCode="#,##0">
                  <c:v>1300</c:v>
                </c:pt>
                <c:pt idx="35" formatCode="#,##0">
                  <c:v>1340</c:v>
                </c:pt>
                <c:pt idx="36" formatCode="#,##0">
                  <c:v>1133</c:v>
                </c:pt>
                <c:pt idx="37" formatCode="#,##0">
                  <c:v>1550</c:v>
                </c:pt>
                <c:pt idx="38" formatCode="#,##0">
                  <c:v>1510</c:v>
                </c:pt>
                <c:pt idx="39" formatCode="#,##0">
                  <c:v>1520</c:v>
                </c:pt>
                <c:pt idx="40" formatCode="#,##0">
                  <c:v>1460</c:v>
                </c:pt>
                <c:pt idx="41" formatCode="#,##0">
                  <c:v>1470</c:v>
                </c:pt>
                <c:pt idx="42" formatCode="#,##0">
                  <c:v>1430</c:v>
                </c:pt>
                <c:pt idx="43" formatCode="#,##0">
                  <c:v>1550</c:v>
                </c:pt>
                <c:pt idx="44" formatCode="#,##0">
                  <c:v>1600</c:v>
                </c:pt>
                <c:pt idx="45" formatCode="#,##0">
                  <c:v>1675</c:v>
                </c:pt>
                <c:pt idx="46" formatCode="#,##0">
                  <c:v>1710</c:v>
                </c:pt>
                <c:pt idx="47" formatCode="#,##0">
                  <c:v>1795</c:v>
                </c:pt>
                <c:pt idx="48" formatCode="#,##0">
                  <c:v>1730</c:v>
                </c:pt>
                <c:pt idx="49" formatCode="#,##0">
                  <c:v>1730</c:v>
                </c:pt>
                <c:pt idx="50" formatCode="#,##0">
                  <c:v>1760</c:v>
                </c:pt>
                <c:pt idx="51" formatCode="#,##0">
                  <c:v>19713.240999999998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0820408"/>
        <c:axId val="307985800"/>
      </c:lineChart>
      <c:catAx>
        <c:axId val="260820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5800"/>
        <c:crosses val="autoZero"/>
        <c:auto val="1"/>
        <c:lblAlgn val="ctr"/>
        <c:lblOffset val="100"/>
        <c:noMultiLvlLbl val="0"/>
      </c:catAx>
      <c:valAx>
        <c:axId val="30798580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26082040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386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Arg!$C$26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Arg!$D$26:$BD$26</c:f>
              <c:numCache>
                <c:formatCode>#,##0</c:formatCode>
                <c:ptCount val="53"/>
                <c:pt idx="0">
                  <c:v>3960</c:v>
                </c:pt>
                <c:pt idx="1">
                  <c:v>5725</c:v>
                </c:pt>
                <c:pt idx="2">
                  <c:v>5700</c:v>
                </c:pt>
                <c:pt idx="3">
                  <c:v>8940</c:v>
                </c:pt>
                <c:pt idx="4">
                  <c:v>11260</c:v>
                </c:pt>
                <c:pt idx="5">
                  <c:v>6079</c:v>
                </c:pt>
                <c:pt idx="6">
                  <c:v>6247</c:v>
                </c:pt>
                <c:pt idx="7">
                  <c:v>7320</c:v>
                </c:pt>
                <c:pt idx="8">
                  <c:v>5740</c:v>
                </c:pt>
                <c:pt idx="9">
                  <c:v>7020</c:v>
                </c:pt>
                <c:pt idx="10">
                  <c:v>4920</c:v>
                </c:pt>
                <c:pt idx="11">
                  <c:v>5680</c:v>
                </c:pt>
                <c:pt idx="12">
                  <c:v>6900</c:v>
                </c:pt>
                <c:pt idx="13">
                  <c:v>6560</c:v>
                </c:pt>
                <c:pt idx="14">
                  <c:v>5970</c:v>
                </c:pt>
                <c:pt idx="15">
                  <c:v>8570</c:v>
                </c:pt>
                <c:pt idx="16">
                  <c:v>11000</c:v>
                </c:pt>
                <c:pt idx="17">
                  <c:v>5700</c:v>
                </c:pt>
                <c:pt idx="18">
                  <c:v>8100</c:v>
                </c:pt>
                <c:pt idx="19">
                  <c:v>8100</c:v>
                </c:pt>
                <c:pt idx="20">
                  <c:v>7780</c:v>
                </c:pt>
                <c:pt idx="21">
                  <c:v>8300</c:v>
                </c:pt>
                <c:pt idx="22">
                  <c:v>15000</c:v>
                </c:pt>
                <c:pt idx="23">
                  <c:v>12750</c:v>
                </c:pt>
                <c:pt idx="24">
                  <c:v>13200</c:v>
                </c:pt>
                <c:pt idx="25">
                  <c:v>8500</c:v>
                </c:pt>
                <c:pt idx="26">
                  <c:v>8930</c:v>
                </c:pt>
                <c:pt idx="27">
                  <c:v>9000</c:v>
                </c:pt>
                <c:pt idx="28">
                  <c:v>8540</c:v>
                </c:pt>
                <c:pt idx="29">
                  <c:v>10000</c:v>
                </c:pt>
                <c:pt idx="30">
                  <c:v>10992</c:v>
                </c:pt>
                <c:pt idx="31">
                  <c:v>9884</c:v>
                </c:pt>
                <c:pt idx="32">
                  <c:v>9874</c:v>
                </c:pt>
                <c:pt idx="33">
                  <c:v>9659</c:v>
                </c:pt>
                <c:pt idx="34">
                  <c:v>11306</c:v>
                </c:pt>
                <c:pt idx="35">
                  <c:v>8600</c:v>
                </c:pt>
                <c:pt idx="36">
                  <c:v>15914</c:v>
                </c:pt>
                <c:pt idx="37">
                  <c:v>15740</c:v>
                </c:pt>
                <c:pt idx="38">
                  <c:v>13300</c:v>
                </c:pt>
                <c:pt idx="39">
                  <c:v>16400</c:v>
                </c:pt>
                <c:pt idx="40">
                  <c:v>16300</c:v>
                </c:pt>
                <c:pt idx="41">
                  <c:v>15700</c:v>
                </c:pt>
                <c:pt idx="42">
                  <c:v>12700</c:v>
                </c:pt>
                <c:pt idx="43">
                  <c:v>15100</c:v>
                </c:pt>
                <c:pt idx="44">
                  <c:v>16900</c:v>
                </c:pt>
                <c:pt idx="45">
                  <c:v>13800</c:v>
                </c:pt>
                <c:pt idx="46">
                  <c:v>16300</c:v>
                </c:pt>
                <c:pt idx="47">
                  <c:v>18600</c:v>
                </c:pt>
                <c:pt idx="48">
                  <c:v>11000</c:v>
                </c:pt>
                <c:pt idx="49">
                  <c:v>11000</c:v>
                </c:pt>
                <c:pt idx="50">
                  <c:v>15000</c:v>
                </c:pt>
                <c:pt idx="51">
                  <c:v>14500.517</c:v>
                </c:pt>
                <c:pt idx="52">
                  <c:v>8024.9949999999999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Arg!$C$27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Arg!$D$27:$BD$27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134</c:v>
                </c:pt>
                <c:pt idx="7">
                  <c:v>35</c:v>
                </c:pt>
                <c:pt idx="8">
                  <c:v>390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493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13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13</c:v>
                </c:pt>
                <c:pt idx="31">
                  <c:v>1</c:v>
                </c:pt>
                <c:pt idx="32">
                  <c:v>15</c:v>
                </c:pt>
                <c:pt idx="33">
                  <c:v>11</c:v>
                </c:pt>
                <c:pt idx="34">
                  <c:v>33</c:v>
                </c:pt>
                <c:pt idx="35">
                  <c:v>48</c:v>
                </c:pt>
                <c:pt idx="36">
                  <c:v>43</c:v>
                </c:pt>
                <c:pt idx="37">
                  <c:v>27</c:v>
                </c:pt>
                <c:pt idx="38">
                  <c:v>25</c:v>
                </c:pt>
                <c:pt idx="39">
                  <c:v>12</c:v>
                </c:pt>
                <c:pt idx="40">
                  <c:v>7</c:v>
                </c:pt>
                <c:pt idx="41">
                  <c:v>12</c:v>
                </c:pt>
                <c:pt idx="42">
                  <c:v>7</c:v>
                </c:pt>
                <c:pt idx="43">
                  <c:v>37</c:v>
                </c:pt>
                <c:pt idx="44">
                  <c:v>2</c:v>
                </c:pt>
                <c:pt idx="45">
                  <c:v>3</c:v>
                </c:pt>
                <c:pt idx="46">
                  <c:v>6</c:v>
                </c:pt>
                <c:pt idx="47">
                  <c:v>23</c:v>
                </c:pt>
                <c:pt idx="48">
                  <c:v>26</c:v>
                </c:pt>
                <c:pt idx="49">
                  <c:v>3</c:v>
                </c:pt>
                <c:pt idx="50">
                  <c:v>100</c:v>
                </c:pt>
                <c:pt idx="51" formatCode="#,##0">
                  <c:v>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Arg!$C$28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Arg!$D$28:$BD$28</c:f>
              <c:numCache>
                <c:formatCode>#,##0</c:formatCode>
                <c:ptCount val="53"/>
                <c:pt idx="0">
                  <c:v>1094</c:v>
                </c:pt>
                <c:pt idx="1">
                  <c:v>2717</c:v>
                </c:pt>
                <c:pt idx="2">
                  <c:v>1796</c:v>
                </c:pt>
                <c:pt idx="3">
                  <c:v>3460</c:v>
                </c:pt>
                <c:pt idx="4">
                  <c:v>6287</c:v>
                </c:pt>
                <c:pt idx="5">
                  <c:v>5586</c:v>
                </c:pt>
                <c:pt idx="6">
                  <c:v>2233</c:v>
                </c:pt>
                <c:pt idx="7">
                  <c:v>2199</c:v>
                </c:pt>
                <c:pt idx="8">
                  <c:v>2494</c:v>
                </c:pt>
                <c:pt idx="9">
                  <c:v>2322</c:v>
                </c:pt>
                <c:pt idx="10" formatCode="General">
                  <c:v>969</c:v>
                </c:pt>
                <c:pt idx="11">
                  <c:v>1629</c:v>
                </c:pt>
                <c:pt idx="12">
                  <c:v>3193</c:v>
                </c:pt>
                <c:pt idx="13">
                  <c:v>1582</c:v>
                </c:pt>
                <c:pt idx="14">
                  <c:v>1784</c:v>
                </c:pt>
                <c:pt idx="15">
                  <c:v>3162</c:v>
                </c:pt>
                <c:pt idx="16">
                  <c:v>5900</c:v>
                </c:pt>
                <c:pt idx="17">
                  <c:v>1775</c:v>
                </c:pt>
                <c:pt idx="18">
                  <c:v>4080</c:v>
                </c:pt>
                <c:pt idx="19">
                  <c:v>4755</c:v>
                </c:pt>
                <c:pt idx="20">
                  <c:v>3845</c:v>
                </c:pt>
                <c:pt idx="21">
                  <c:v>3638</c:v>
                </c:pt>
                <c:pt idx="22">
                  <c:v>9870</c:v>
                </c:pt>
                <c:pt idx="23">
                  <c:v>7847</c:v>
                </c:pt>
                <c:pt idx="24">
                  <c:v>9408</c:v>
                </c:pt>
                <c:pt idx="25">
                  <c:v>4300</c:v>
                </c:pt>
                <c:pt idx="26">
                  <c:v>4435</c:v>
                </c:pt>
                <c:pt idx="27">
                  <c:v>3705</c:v>
                </c:pt>
                <c:pt idx="28">
                  <c:v>4034</c:v>
                </c:pt>
                <c:pt idx="29">
                  <c:v>6060</c:v>
                </c:pt>
                <c:pt idx="30">
                  <c:v>5592</c:v>
                </c:pt>
                <c:pt idx="31">
                  <c:v>5780</c:v>
                </c:pt>
                <c:pt idx="32">
                  <c:v>5850</c:v>
                </c:pt>
                <c:pt idx="33">
                  <c:v>5009</c:v>
                </c:pt>
                <c:pt idx="34">
                  <c:v>7318</c:v>
                </c:pt>
                <c:pt idx="35">
                  <c:v>4483</c:v>
                </c:pt>
                <c:pt idx="36">
                  <c:v>10198</c:v>
                </c:pt>
                <c:pt idx="37">
                  <c:v>11151</c:v>
                </c:pt>
                <c:pt idx="38">
                  <c:v>8573</c:v>
                </c:pt>
                <c:pt idx="39">
                  <c:v>11608</c:v>
                </c:pt>
                <c:pt idx="40">
                  <c:v>11325</c:v>
                </c:pt>
                <c:pt idx="41">
                  <c:v>10284</c:v>
                </c:pt>
                <c:pt idx="42">
                  <c:v>6798</c:v>
                </c:pt>
                <c:pt idx="43">
                  <c:v>9466</c:v>
                </c:pt>
                <c:pt idx="44">
                  <c:v>11898</c:v>
                </c:pt>
                <c:pt idx="45">
                  <c:v>9635</c:v>
                </c:pt>
                <c:pt idx="46">
                  <c:v>10721</c:v>
                </c:pt>
                <c:pt idx="47">
                  <c:v>11209</c:v>
                </c:pt>
                <c:pt idx="48">
                  <c:v>6767</c:v>
                </c:pt>
                <c:pt idx="49">
                  <c:v>5099</c:v>
                </c:pt>
                <c:pt idx="50">
                  <c:v>8500</c:v>
                </c:pt>
                <c:pt idx="51">
                  <c:v>8411.1360000000004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Arg!$C$29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Arg!$D$1:$BD$1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Arg!$D$29:$BD$29</c:f>
              <c:numCache>
                <c:formatCode>#,##0</c:formatCode>
                <c:ptCount val="53"/>
                <c:pt idx="0">
                  <c:v>3294</c:v>
                </c:pt>
                <c:pt idx="1">
                  <c:v>3529</c:v>
                </c:pt>
                <c:pt idx="2">
                  <c:v>3643</c:v>
                </c:pt>
                <c:pt idx="3">
                  <c:v>3771</c:v>
                </c:pt>
                <c:pt idx="4">
                  <c:v>3846</c:v>
                </c:pt>
                <c:pt idx="5">
                  <c:v>3658</c:v>
                </c:pt>
                <c:pt idx="6">
                  <c:v>4078</c:v>
                </c:pt>
                <c:pt idx="7">
                  <c:v>4393</c:v>
                </c:pt>
                <c:pt idx="8">
                  <c:v>3794</c:v>
                </c:pt>
                <c:pt idx="9">
                  <c:v>4768</c:v>
                </c:pt>
                <c:pt idx="10">
                  <c:v>4056</c:v>
                </c:pt>
                <c:pt idx="11">
                  <c:v>4356</c:v>
                </c:pt>
                <c:pt idx="12">
                  <c:v>4301</c:v>
                </c:pt>
                <c:pt idx="13">
                  <c:v>4221</c:v>
                </c:pt>
                <c:pt idx="14">
                  <c:v>4498</c:v>
                </c:pt>
                <c:pt idx="15">
                  <c:v>5380</c:v>
                </c:pt>
                <c:pt idx="16">
                  <c:v>4242</c:v>
                </c:pt>
                <c:pt idx="17">
                  <c:v>4349</c:v>
                </c:pt>
                <c:pt idx="18">
                  <c:v>4093</c:v>
                </c:pt>
                <c:pt idx="19">
                  <c:v>4020</c:v>
                </c:pt>
                <c:pt idx="20">
                  <c:v>3950</c:v>
                </c:pt>
                <c:pt idx="21">
                  <c:v>4300</c:v>
                </c:pt>
                <c:pt idx="22">
                  <c:v>4849</c:v>
                </c:pt>
                <c:pt idx="23">
                  <c:v>4700</c:v>
                </c:pt>
                <c:pt idx="24">
                  <c:v>4600</c:v>
                </c:pt>
                <c:pt idx="25">
                  <c:v>4400</c:v>
                </c:pt>
                <c:pt idx="26">
                  <c:v>4539</c:v>
                </c:pt>
                <c:pt idx="27">
                  <c:v>4500</c:v>
                </c:pt>
                <c:pt idx="28">
                  <c:v>4700</c:v>
                </c:pt>
                <c:pt idx="29">
                  <c:v>4540</c:v>
                </c:pt>
                <c:pt idx="30">
                  <c:v>4530</c:v>
                </c:pt>
                <c:pt idx="31">
                  <c:v>4578</c:v>
                </c:pt>
                <c:pt idx="32">
                  <c:v>4265</c:v>
                </c:pt>
                <c:pt idx="33">
                  <c:v>4298</c:v>
                </c:pt>
                <c:pt idx="34">
                  <c:v>4314</c:v>
                </c:pt>
                <c:pt idx="35">
                  <c:v>4165</c:v>
                </c:pt>
                <c:pt idx="36">
                  <c:v>4895</c:v>
                </c:pt>
                <c:pt idx="37">
                  <c:v>4796</c:v>
                </c:pt>
                <c:pt idx="38">
                  <c:v>5150</c:v>
                </c:pt>
                <c:pt idx="39">
                  <c:v>5050</c:v>
                </c:pt>
                <c:pt idx="40">
                  <c:v>5100</c:v>
                </c:pt>
                <c:pt idx="41">
                  <c:v>5150</c:v>
                </c:pt>
                <c:pt idx="42">
                  <c:v>5300</c:v>
                </c:pt>
                <c:pt idx="43">
                  <c:v>5350</c:v>
                </c:pt>
                <c:pt idx="44">
                  <c:v>5350</c:v>
                </c:pt>
                <c:pt idx="45">
                  <c:v>5075</c:v>
                </c:pt>
                <c:pt idx="46">
                  <c:v>5350</c:v>
                </c:pt>
                <c:pt idx="47">
                  <c:v>5650</c:v>
                </c:pt>
                <c:pt idx="48">
                  <c:v>5325</c:v>
                </c:pt>
                <c:pt idx="49">
                  <c:v>5825</c:v>
                </c:pt>
                <c:pt idx="50">
                  <c:v>5875</c:v>
                </c:pt>
                <c:pt idx="51">
                  <c:v>6098.3809999999994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988152"/>
        <c:axId val="307982664"/>
      </c:lineChart>
      <c:catAx>
        <c:axId val="3079881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2664"/>
        <c:crosses val="autoZero"/>
        <c:auto val="1"/>
        <c:lblAlgn val="ctr"/>
        <c:lblOffset val="100"/>
        <c:noMultiLvlLbl val="0"/>
      </c:catAx>
      <c:valAx>
        <c:axId val="30798266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815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344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Aus!$C$2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Aus!$D$2:$BD$2</c:f>
              <c:numCache>
                <c:formatCode>General</c:formatCode>
                <c:ptCount val="53"/>
                <c:pt idx="0">
                  <c:v>159</c:v>
                </c:pt>
                <c:pt idx="1">
                  <c:v>186</c:v>
                </c:pt>
                <c:pt idx="2">
                  <c:v>189</c:v>
                </c:pt>
                <c:pt idx="3">
                  <c:v>171</c:v>
                </c:pt>
                <c:pt idx="4">
                  <c:v>175</c:v>
                </c:pt>
                <c:pt idx="5">
                  <c:v>125</c:v>
                </c:pt>
                <c:pt idx="6">
                  <c:v>190</c:v>
                </c:pt>
                <c:pt idx="7">
                  <c:v>181</c:v>
                </c:pt>
                <c:pt idx="8">
                  <c:v>149</c:v>
                </c:pt>
                <c:pt idx="9">
                  <c:v>192</c:v>
                </c:pt>
                <c:pt idx="10">
                  <c:v>212</c:v>
                </c:pt>
                <c:pt idx="11">
                  <c:v>214</c:v>
                </c:pt>
                <c:pt idx="12">
                  <c:v>139</c:v>
                </c:pt>
                <c:pt idx="13">
                  <c:v>106</c:v>
                </c:pt>
                <c:pt idx="14">
                  <c:v>133</c:v>
                </c:pt>
                <c:pt idx="15">
                  <c:v>131</c:v>
                </c:pt>
                <c:pt idx="16">
                  <c:v>144</c:v>
                </c:pt>
                <c:pt idx="17">
                  <c:v>130</c:v>
                </c:pt>
                <c:pt idx="18">
                  <c:v>169</c:v>
                </c:pt>
                <c:pt idx="19">
                  <c:v>151</c:v>
                </c:pt>
                <c:pt idx="20">
                  <c:v>173</c:v>
                </c:pt>
                <c:pt idx="21">
                  <c:v>212</c:v>
                </c:pt>
                <c:pt idx="22">
                  <c:v>139</c:v>
                </c:pt>
                <c:pt idx="23">
                  <c:v>238</c:v>
                </c:pt>
                <c:pt idx="24">
                  <c:v>291</c:v>
                </c:pt>
                <c:pt idx="25">
                  <c:v>228</c:v>
                </c:pt>
                <c:pt idx="26">
                  <c:v>158</c:v>
                </c:pt>
                <c:pt idx="27">
                  <c:v>221</c:v>
                </c:pt>
                <c:pt idx="28">
                  <c:v>226</c:v>
                </c:pt>
                <c:pt idx="29">
                  <c:v>227</c:v>
                </c:pt>
                <c:pt idx="30">
                  <c:v>205</c:v>
                </c:pt>
                <c:pt idx="31">
                  <c:v>280</c:v>
                </c:pt>
                <c:pt idx="32">
                  <c:v>208</c:v>
                </c:pt>
                <c:pt idx="33">
                  <c:v>202</c:v>
                </c:pt>
                <c:pt idx="34">
                  <c:v>242</c:v>
                </c:pt>
                <c:pt idx="35">
                  <c:v>325</c:v>
                </c:pt>
                <c:pt idx="36">
                  <c:v>398</c:v>
                </c:pt>
                <c:pt idx="37">
                  <c:v>271</c:v>
                </c:pt>
                <c:pt idx="38">
                  <c:v>338</c:v>
                </c:pt>
                <c:pt idx="39">
                  <c:v>406</c:v>
                </c:pt>
                <c:pt idx="40">
                  <c:v>345</c:v>
                </c:pt>
                <c:pt idx="41">
                  <c:v>457</c:v>
                </c:pt>
                <c:pt idx="42">
                  <c:v>316</c:v>
                </c:pt>
                <c:pt idx="43">
                  <c:v>392</c:v>
                </c:pt>
                <c:pt idx="44">
                  <c:v>312</c:v>
                </c:pt>
                <c:pt idx="45">
                  <c:v>380</c:v>
                </c:pt>
                <c:pt idx="46">
                  <c:v>240</c:v>
                </c:pt>
                <c:pt idx="47">
                  <c:v>387</c:v>
                </c:pt>
                <c:pt idx="48">
                  <c:v>368</c:v>
                </c:pt>
                <c:pt idx="49">
                  <c:v>350</c:v>
                </c:pt>
                <c:pt idx="50" formatCode="_(* #,##0_);_(* \(#,##0\);_(* &quot;-&quot;??_);_(@_)">
                  <c:v>356.94299999999998</c:v>
                </c:pt>
                <c:pt idx="51" formatCode="_(* #,##0_);_(* \(#,##0\);_(* &quot;-&quot;??_);_(@_)">
                  <c:v>450.53500000000003</c:v>
                </c:pt>
                <c:pt idx="52" formatCode="_(* #,##0_);_(* \(#,##0\);_(* &quot;-&quot;??_);_(@_)">
                  <c:v>506.72500000000002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Aus!$C$3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Aus!$D$3:$BD$3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1</c:v>
                </c:pt>
                <c:pt idx="6">
                  <c:v>6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4</c:v>
                </c:pt>
                <c:pt idx="19">
                  <c:v>3</c:v>
                </c:pt>
                <c:pt idx="20">
                  <c:v>7</c:v>
                </c:pt>
                <c:pt idx="21">
                  <c:v>14</c:v>
                </c:pt>
                <c:pt idx="22">
                  <c:v>12</c:v>
                </c:pt>
                <c:pt idx="23">
                  <c:v>12</c:v>
                </c:pt>
                <c:pt idx="24">
                  <c:v>7</c:v>
                </c:pt>
                <c:pt idx="25">
                  <c:v>10</c:v>
                </c:pt>
                <c:pt idx="26">
                  <c:v>12</c:v>
                </c:pt>
                <c:pt idx="27">
                  <c:v>9</c:v>
                </c:pt>
                <c:pt idx="28">
                  <c:v>5</c:v>
                </c:pt>
                <c:pt idx="29">
                  <c:v>0</c:v>
                </c:pt>
                <c:pt idx="30">
                  <c:v>3</c:v>
                </c:pt>
                <c:pt idx="31">
                  <c:v>0</c:v>
                </c:pt>
                <c:pt idx="32">
                  <c:v>0</c:v>
                </c:pt>
                <c:pt idx="33">
                  <c:v>22</c:v>
                </c:pt>
                <c:pt idx="34">
                  <c:v>75</c:v>
                </c:pt>
                <c:pt idx="35">
                  <c:v>0</c:v>
                </c:pt>
                <c:pt idx="36">
                  <c:v>0</c:v>
                </c:pt>
                <c:pt idx="37">
                  <c:v>1</c:v>
                </c:pt>
                <c:pt idx="38">
                  <c:v>0</c:v>
                </c:pt>
                <c:pt idx="39">
                  <c:v>1</c:v>
                </c:pt>
                <c:pt idx="40">
                  <c:v>0</c:v>
                </c:pt>
                <c:pt idx="41">
                  <c:v>48</c:v>
                </c:pt>
                <c:pt idx="42">
                  <c:v>0</c:v>
                </c:pt>
                <c:pt idx="43">
                  <c:v>0</c:v>
                </c:pt>
                <c:pt idx="44">
                  <c:v>22</c:v>
                </c:pt>
                <c:pt idx="45">
                  <c:v>0</c:v>
                </c:pt>
                <c:pt idx="46">
                  <c:v>24</c:v>
                </c:pt>
                <c:pt idx="47">
                  <c:v>26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0.91100000000000003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Aus!$C$4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Aus!$D$4:$BD$4</c:f>
              <c:numCache>
                <c:formatCode>General</c:formatCode>
                <c:ptCount val="53"/>
                <c:pt idx="0">
                  <c:v>0</c:v>
                </c:pt>
                <c:pt idx="1">
                  <c:v>10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2</c:v>
                </c:pt>
                <c:pt idx="6">
                  <c:v>3</c:v>
                </c:pt>
                <c:pt idx="7">
                  <c:v>0</c:v>
                </c:pt>
                <c:pt idx="8">
                  <c:v>1</c:v>
                </c:pt>
                <c:pt idx="9">
                  <c:v>22</c:v>
                </c:pt>
                <c:pt idx="10">
                  <c:v>41</c:v>
                </c:pt>
                <c:pt idx="11">
                  <c:v>9</c:v>
                </c:pt>
                <c:pt idx="12">
                  <c:v>3</c:v>
                </c:pt>
                <c:pt idx="13">
                  <c:v>1</c:v>
                </c:pt>
                <c:pt idx="14">
                  <c:v>11</c:v>
                </c:pt>
                <c:pt idx="15">
                  <c:v>34</c:v>
                </c:pt>
                <c:pt idx="16">
                  <c:v>11</c:v>
                </c:pt>
                <c:pt idx="17">
                  <c:v>17</c:v>
                </c:pt>
                <c:pt idx="18">
                  <c:v>8</c:v>
                </c:pt>
                <c:pt idx="19">
                  <c:v>27</c:v>
                </c:pt>
                <c:pt idx="20">
                  <c:v>11</c:v>
                </c:pt>
                <c:pt idx="21">
                  <c:v>20</c:v>
                </c:pt>
                <c:pt idx="22">
                  <c:v>1</c:v>
                </c:pt>
                <c:pt idx="23">
                  <c:v>90</c:v>
                </c:pt>
                <c:pt idx="24">
                  <c:v>100</c:v>
                </c:pt>
                <c:pt idx="25">
                  <c:v>70</c:v>
                </c:pt>
                <c:pt idx="26">
                  <c:v>55</c:v>
                </c:pt>
                <c:pt idx="27">
                  <c:v>40</c:v>
                </c:pt>
                <c:pt idx="28">
                  <c:v>20</c:v>
                </c:pt>
                <c:pt idx="29">
                  <c:v>36</c:v>
                </c:pt>
                <c:pt idx="30">
                  <c:v>20</c:v>
                </c:pt>
                <c:pt idx="31">
                  <c:v>15</c:v>
                </c:pt>
                <c:pt idx="32">
                  <c:v>21</c:v>
                </c:pt>
                <c:pt idx="33">
                  <c:v>22</c:v>
                </c:pt>
                <c:pt idx="34">
                  <c:v>4</c:v>
                </c:pt>
                <c:pt idx="35">
                  <c:v>9</c:v>
                </c:pt>
                <c:pt idx="36">
                  <c:v>13</c:v>
                </c:pt>
                <c:pt idx="37">
                  <c:v>19</c:v>
                </c:pt>
                <c:pt idx="38">
                  <c:v>37</c:v>
                </c:pt>
                <c:pt idx="39">
                  <c:v>51</c:v>
                </c:pt>
                <c:pt idx="40">
                  <c:v>44</c:v>
                </c:pt>
                <c:pt idx="41">
                  <c:v>118</c:v>
                </c:pt>
                <c:pt idx="42">
                  <c:v>18</c:v>
                </c:pt>
                <c:pt idx="43">
                  <c:v>9</c:v>
                </c:pt>
                <c:pt idx="44">
                  <c:v>4</c:v>
                </c:pt>
                <c:pt idx="45">
                  <c:v>3</c:v>
                </c:pt>
                <c:pt idx="46">
                  <c:v>1</c:v>
                </c:pt>
                <c:pt idx="47">
                  <c:v>67</c:v>
                </c:pt>
                <c:pt idx="48">
                  <c:v>13</c:v>
                </c:pt>
                <c:pt idx="49">
                  <c:v>10</c:v>
                </c:pt>
                <c:pt idx="50" formatCode="_(* #,##0_);_(* \(#,##0\);_(* &quot;-&quot;??_);_(@_)">
                  <c:v>42.026000000000003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Aus!$C$5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Aus!$D$5:$BD$5</c:f>
              <c:numCache>
                <c:formatCode>General</c:formatCode>
                <c:ptCount val="53"/>
                <c:pt idx="0">
                  <c:v>159</c:v>
                </c:pt>
                <c:pt idx="1">
                  <c:v>171</c:v>
                </c:pt>
                <c:pt idx="2">
                  <c:v>189</c:v>
                </c:pt>
                <c:pt idx="3">
                  <c:v>175</c:v>
                </c:pt>
                <c:pt idx="4">
                  <c:v>177</c:v>
                </c:pt>
                <c:pt idx="5">
                  <c:v>139</c:v>
                </c:pt>
                <c:pt idx="6">
                  <c:v>173</c:v>
                </c:pt>
                <c:pt idx="7">
                  <c:v>182</c:v>
                </c:pt>
                <c:pt idx="8">
                  <c:v>154</c:v>
                </c:pt>
                <c:pt idx="9">
                  <c:v>160</c:v>
                </c:pt>
                <c:pt idx="10">
                  <c:v>167</c:v>
                </c:pt>
                <c:pt idx="11">
                  <c:v>221</c:v>
                </c:pt>
                <c:pt idx="12">
                  <c:v>154</c:v>
                </c:pt>
                <c:pt idx="13">
                  <c:v>116</c:v>
                </c:pt>
                <c:pt idx="14">
                  <c:v>107</c:v>
                </c:pt>
                <c:pt idx="15">
                  <c:v>115</c:v>
                </c:pt>
                <c:pt idx="16">
                  <c:v>118</c:v>
                </c:pt>
                <c:pt idx="17">
                  <c:v>112</c:v>
                </c:pt>
                <c:pt idx="18">
                  <c:v>119</c:v>
                </c:pt>
                <c:pt idx="19">
                  <c:v>130</c:v>
                </c:pt>
                <c:pt idx="20">
                  <c:v>161</c:v>
                </c:pt>
                <c:pt idx="21">
                  <c:v>265</c:v>
                </c:pt>
                <c:pt idx="22">
                  <c:v>170</c:v>
                </c:pt>
                <c:pt idx="23">
                  <c:v>150</c:v>
                </c:pt>
                <c:pt idx="24">
                  <c:v>203</c:v>
                </c:pt>
                <c:pt idx="25">
                  <c:v>168</c:v>
                </c:pt>
                <c:pt idx="26">
                  <c:v>119</c:v>
                </c:pt>
                <c:pt idx="27">
                  <c:v>189</c:v>
                </c:pt>
                <c:pt idx="28">
                  <c:v>199</c:v>
                </c:pt>
                <c:pt idx="29">
                  <c:v>191</c:v>
                </c:pt>
                <c:pt idx="30">
                  <c:v>188</c:v>
                </c:pt>
                <c:pt idx="31">
                  <c:v>264</c:v>
                </c:pt>
                <c:pt idx="32">
                  <c:v>187</c:v>
                </c:pt>
                <c:pt idx="33">
                  <c:v>193</c:v>
                </c:pt>
                <c:pt idx="34">
                  <c:v>329</c:v>
                </c:pt>
                <c:pt idx="35">
                  <c:v>312</c:v>
                </c:pt>
                <c:pt idx="36">
                  <c:v>385</c:v>
                </c:pt>
                <c:pt idx="37">
                  <c:v>263</c:v>
                </c:pt>
                <c:pt idx="38">
                  <c:v>301</c:v>
                </c:pt>
                <c:pt idx="39">
                  <c:v>355</c:v>
                </c:pt>
                <c:pt idx="40">
                  <c:v>300</c:v>
                </c:pt>
                <c:pt idx="41">
                  <c:v>390</c:v>
                </c:pt>
                <c:pt idx="42">
                  <c:v>290</c:v>
                </c:pt>
                <c:pt idx="43">
                  <c:v>380</c:v>
                </c:pt>
                <c:pt idx="44">
                  <c:v>335</c:v>
                </c:pt>
                <c:pt idx="45">
                  <c:v>370</c:v>
                </c:pt>
                <c:pt idx="46">
                  <c:v>265</c:v>
                </c:pt>
                <c:pt idx="47">
                  <c:v>320</c:v>
                </c:pt>
                <c:pt idx="48">
                  <c:v>350</c:v>
                </c:pt>
                <c:pt idx="49">
                  <c:v>350</c:v>
                </c:pt>
                <c:pt idx="50" formatCode="_(* #,##0_);_(* \(#,##0\);_(* &quot;-&quot;??_);_(@_)">
                  <c:v>315.82799999999997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985016"/>
        <c:axId val="307986976"/>
      </c:lineChart>
      <c:catAx>
        <c:axId val="3079850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6976"/>
        <c:crosses val="autoZero"/>
        <c:auto val="1"/>
        <c:lblAlgn val="ctr"/>
        <c:lblOffset val="100"/>
        <c:noMultiLvlLbl val="0"/>
      </c:catAx>
      <c:valAx>
        <c:axId val="30798697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501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178"/>
          <c:w val="0.2259502574676143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Aus!$C$6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Aus!$D$6:$BD$6</c:f>
              <c:numCache>
                <c:formatCode>General</c:formatCode>
                <c:ptCount val="53"/>
                <c:pt idx="0">
                  <c:v>8</c:v>
                </c:pt>
                <c:pt idx="1">
                  <c:v>8</c:v>
                </c:pt>
                <c:pt idx="2">
                  <c:v>10</c:v>
                </c:pt>
                <c:pt idx="3">
                  <c:v>16</c:v>
                </c:pt>
                <c:pt idx="4">
                  <c:v>45</c:v>
                </c:pt>
                <c:pt idx="5">
                  <c:v>91</c:v>
                </c:pt>
                <c:pt idx="6">
                  <c:v>85</c:v>
                </c:pt>
                <c:pt idx="7">
                  <c:v>150</c:v>
                </c:pt>
                <c:pt idx="8">
                  <c:v>153</c:v>
                </c:pt>
                <c:pt idx="9">
                  <c:v>127</c:v>
                </c:pt>
                <c:pt idx="10">
                  <c:v>90</c:v>
                </c:pt>
                <c:pt idx="11">
                  <c:v>200</c:v>
                </c:pt>
                <c:pt idx="12">
                  <c:v>146</c:v>
                </c:pt>
                <c:pt idx="13">
                  <c:v>140</c:v>
                </c:pt>
                <c:pt idx="14">
                  <c:v>153</c:v>
                </c:pt>
                <c:pt idx="15">
                  <c:v>115</c:v>
                </c:pt>
                <c:pt idx="16">
                  <c:v>128</c:v>
                </c:pt>
                <c:pt idx="17">
                  <c:v>204</c:v>
                </c:pt>
                <c:pt idx="18">
                  <c:v>244</c:v>
                </c:pt>
                <c:pt idx="19">
                  <c:v>382</c:v>
                </c:pt>
                <c:pt idx="20">
                  <c:v>455</c:v>
                </c:pt>
                <c:pt idx="21">
                  <c:v>615</c:v>
                </c:pt>
                <c:pt idx="22">
                  <c:v>464</c:v>
                </c:pt>
                <c:pt idx="23">
                  <c:v>648</c:v>
                </c:pt>
                <c:pt idx="24" formatCode="#,##0">
                  <c:v>1144</c:v>
                </c:pt>
                <c:pt idx="25" formatCode="#,##0">
                  <c:v>1185</c:v>
                </c:pt>
                <c:pt idx="26">
                  <c:v>983</c:v>
                </c:pt>
                <c:pt idx="27" formatCode="#,##0">
                  <c:v>1275</c:v>
                </c:pt>
                <c:pt idx="28" formatCode="#,##0">
                  <c:v>1226</c:v>
                </c:pt>
                <c:pt idx="29" formatCode="#,##0">
                  <c:v>1401</c:v>
                </c:pt>
                <c:pt idx="30" formatCode="#,##0">
                  <c:v>1989</c:v>
                </c:pt>
                <c:pt idx="31" formatCode="#,##0">
                  <c:v>2306</c:v>
                </c:pt>
                <c:pt idx="32" formatCode="#,##0">
                  <c:v>1713</c:v>
                </c:pt>
                <c:pt idx="33" formatCode="#,##0">
                  <c:v>1511</c:v>
                </c:pt>
                <c:pt idx="34" formatCode="#,##0">
                  <c:v>1539</c:v>
                </c:pt>
                <c:pt idx="35" formatCode="#,##0">
                  <c:v>1970</c:v>
                </c:pt>
                <c:pt idx="36" formatCode="#,##0">
                  <c:v>2792</c:v>
                </c:pt>
                <c:pt idx="37" formatCode="#,##0">
                  <c:v>3166</c:v>
                </c:pt>
                <c:pt idx="38" formatCode="#,##0">
                  <c:v>3327</c:v>
                </c:pt>
                <c:pt idx="39" formatCode="#,##0">
                  <c:v>3458</c:v>
                </c:pt>
                <c:pt idx="40" formatCode="#,##0">
                  <c:v>3700</c:v>
                </c:pt>
                <c:pt idx="41" formatCode="#,##0">
                  <c:v>3340</c:v>
                </c:pt>
                <c:pt idx="42" formatCode="#,##0">
                  <c:v>1680</c:v>
                </c:pt>
                <c:pt idx="43" formatCode="#,##0">
                  <c:v>1700</c:v>
                </c:pt>
                <c:pt idx="44" formatCode="#,##0">
                  <c:v>3000</c:v>
                </c:pt>
                <c:pt idx="45" formatCode="#,##0">
                  <c:v>2800</c:v>
                </c:pt>
                <c:pt idx="46" formatCode="#,##0">
                  <c:v>1350</c:v>
                </c:pt>
                <c:pt idx="47">
                  <c:v>640</c:v>
                </c:pt>
                <c:pt idx="48" formatCode="#,##0">
                  <c:v>1500</c:v>
                </c:pt>
                <c:pt idx="49" formatCode="#,##0">
                  <c:v>1775</c:v>
                </c:pt>
                <c:pt idx="50" formatCode="_(* #,##0_);_(* \(#,##0\);_(* &quot;-&quot;??_);_(@_)">
                  <c:v>4500</c:v>
                </c:pt>
                <c:pt idx="51" formatCode="_(* #,##0_);_(* \(#,##0\);_(* &quot;-&quot;??_);_(@_)">
                  <c:v>843.572</c:v>
                </c:pt>
                <c:pt idx="52" formatCode="_(* #,##0_);_(* \(#,##0\);_(* &quot;-&quot;??_);_(@_)">
                  <c:v>973.49699999999996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Aus!$C$7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Aus!$D$7:$BD$7</c:f>
              <c:numCache>
                <c:formatCode>General</c:formatCode>
                <c:ptCount val="53"/>
                <c:pt idx="0">
                  <c:v>80</c:v>
                </c:pt>
                <c:pt idx="1">
                  <c:v>83</c:v>
                </c:pt>
                <c:pt idx="2">
                  <c:v>93</c:v>
                </c:pt>
                <c:pt idx="3">
                  <c:v>116</c:v>
                </c:pt>
                <c:pt idx="4">
                  <c:v>112</c:v>
                </c:pt>
                <c:pt idx="5">
                  <c:v>65</c:v>
                </c:pt>
                <c:pt idx="6">
                  <c:v>40</c:v>
                </c:pt>
                <c:pt idx="7">
                  <c:v>57</c:v>
                </c:pt>
                <c:pt idx="8">
                  <c:v>24</c:v>
                </c:pt>
                <c:pt idx="9">
                  <c:v>20</c:v>
                </c:pt>
                <c:pt idx="10">
                  <c:v>38</c:v>
                </c:pt>
                <c:pt idx="11">
                  <c:v>34</c:v>
                </c:pt>
                <c:pt idx="12">
                  <c:v>17</c:v>
                </c:pt>
                <c:pt idx="13">
                  <c:v>46</c:v>
                </c:pt>
                <c:pt idx="14">
                  <c:v>12</c:v>
                </c:pt>
                <c:pt idx="15">
                  <c:v>18</c:v>
                </c:pt>
                <c:pt idx="16">
                  <c:v>23</c:v>
                </c:pt>
                <c:pt idx="17">
                  <c:v>17</c:v>
                </c:pt>
                <c:pt idx="18">
                  <c:v>6</c:v>
                </c:pt>
                <c:pt idx="19">
                  <c:v>4</c:v>
                </c:pt>
                <c:pt idx="20">
                  <c:v>8</c:v>
                </c:pt>
                <c:pt idx="21">
                  <c:v>4</c:v>
                </c:pt>
                <c:pt idx="22">
                  <c:v>0</c:v>
                </c:pt>
                <c:pt idx="23">
                  <c:v>5</c:v>
                </c:pt>
                <c:pt idx="24">
                  <c:v>12</c:v>
                </c:pt>
                <c:pt idx="25">
                  <c:v>2</c:v>
                </c:pt>
                <c:pt idx="26">
                  <c:v>1</c:v>
                </c:pt>
                <c:pt idx="27">
                  <c:v>4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2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3</c:v>
                </c:pt>
                <c:pt idx="36">
                  <c:v>1</c:v>
                </c:pt>
                <c:pt idx="37">
                  <c:v>1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2</c:v>
                </c:pt>
                <c:pt idx="42">
                  <c:v>0</c:v>
                </c:pt>
                <c:pt idx="43">
                  <c:v>0</c:v>
                </c:pt>
                <c:pt idx="44">
                  <c:v>1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0.24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Aus!$C$8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Aus!$D$8:$BD$8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19</c:v>
                </c:pt>
                <c:pt idx="9">
                  <c:v>66</c:v>
                </c:pt>
                <c:pt idx="10">
                  <c:v>19</c:v>
                </c:pt>
                <c:pt idx="11">
                  <c:v>15</c:v>
                </c:pt>
                <c:pt idx="12">
                  <c:v>100</c:v>
                </c:pt>
                <c:pt idx="13">
                  <c:v>14</c:v>
                </c:pt>
                <c:pt idx="14">
                  <c:v>44</c:v>
                </c:pt>
                <c:pt idx="15">
                  <c:v>69</c:v>
                </c:pt>
                <c:pt idx="16">
                  <c:v>24</c:v>
                </c:pt>
                <c:pt idx="17">
                  <c:v>48</c:v>
                </c:pt>
                <c:pt idx="18">
                  <c:v>109</c:v>
                </c:pt>
                <c:pt idx="19">
                  <c:v>279</c:v>
                </c:pt>
                <c:pt idx="20">
                  <c:v>243</c:v>
                </c:pt>
                <c:pt idx="21">
                  <c:v>371</c:v>
                </c:pt>
                <c:pt idx="22">
                  <c:v>617</c:v>
                </c:pt>
                <c:pt idx="23">
                  <c:v>374</c:v>
                </c:pt>
                <c:pt idx="24">
                  <c:v>690</c:v>
                </c:pt>
                <c:pt idx="25" formatCode="#,##0">
                  <c:v>1138</c:v>
                </c:pt>
                <c:pt idx="26" formatCode="#,##0">
                  <c:v>1180</c:v>
                </c:pt>
                <c:pt idx="27">
                  <c:v>818</c:v>
                </c:pt>
                <c:pt idx="28" formatCode="#,##0">
                  <c:v>1319</c:v>
                </c:pt>
                <c:pt idx="29" formatCode="#,##0">
                  <c:v>1319</c:v>
                </c:pt>
                <c:pt idx="30" formatCode="#,##0">
                  <c:v>1372</c:v>
                </c:pt>
                <c:pt idx="31" formatCode="#,##0">
                  <c:v>2111</c:v>
                </c:pt>
                <c:pt idx="32" formatCode="#,##0">
                  <c:v>1730</c:v>
                </c:pt>
                <c:pt idx="33" formatCode="#,##0">
                  <c:v>1689</c:v>
                </c:pt>
                <c:pt idx="34" formatCode="#,##0">
                  <c:v>1359</c:v>
                </c:pt>
                <c:pt idx="35" formatCode="#,##0">
                  <c:v>1463</c:v>
                </c:pt>
                <c:pt idx="36" formatCode="#,##0">
                  <c:v>2383</c:v>
                </c:pt>
                <c:pt idx="37" formatCode="#,##0">
                  <c:v>2712</c:v>
                </c:pt>
                <c:pt idx="38" formatCode="#,##0">
                  <c:v>3040</c:v>
                </c:pt>
                <c:pt idx="39" formatCode="#,##0">
                  <c:v>3211</c:v>
                </c:pt>
                <c:pt idx="40" formatCode="#,##0">
                  <c:v>3903</c:v>
                </c:pt>
                <c:pt idx="41" formatCode="#,##0">
                  <c:v>3130</c:v>
                </c:pt>
                <c:pt idx="42" formatCode="#,##0">
                  <c:v>2655</c:v>
                </c:pt>
                <c:pt idx="43" formatCode="#,##0">
                  <c:v>2157</c:v>
                </c:pt>
                <c:pt idx="44" formatCode="#,##0">
                  <c:v>1998</c:v>
                </c:pt>
                <c:pt idx="45" formatCode="#,##0">
                  <c:v>2884</c:v>
                </c:pt>
                <c:pt idx="46" formatCode="#,##0">
                  <c:v>2129</c:v>
                </c:pt>
                <c:pt idx="47" formatCode="#,##0">
                  <c:v>1219</c:v>
                </c:pt>
                <c:pt idx="48" formatCode="#,##0">
                  <c:v>1201</c:v>
                </c:pt>
                <c:pt idx="49" formatCode="#,##0">
                  <c:v>2115</c:v>
                </c:pt>
                <c:pt idx="50" formatCode="_(* #,##0_);_(* \(#,##0\);_(* &quot;-&quot;??_);_(@_)">
                  <c:v>3000</c:v>
                </c:pt>
                <c:pt idx="51" formatCode="_(* #,##0_);_(* \(#,##0\);_(* &quot;-&quot;??_);_(@_)">
                  <c:v>796.62400000000002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Aus!$C$9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Aus!$D$9:$BD$9</c:f>
              <c:numCache>
                <c:formatCode>General</c:formatCode>
                <c:ptCount val="53"/>
                <c:pt idx="0">
                  <c:v>88</c:v>
                </c:pt>
                <c:pt idx="1">
                  <c:v>94</c:v>
                </c:pt>
                <c:pt idx="2">
                  <c:v>97</c:v>
                </c:pt>
                <c:pt idx="3">
                  <c:v>122</c:v>
                </c:pt>
                <c:pt idx="4">
                  <c:v>127</c:v>
                </c:pt>
                <c:pt idx="5">
                  <c:v>130</c:v>
                </c:pt>
                <c:pt idx="6">
                  <c:v>132</c:v>
                </c:pt>
                <c:pt idx="7">
                  <c:v>129</c:v>
                </c:pt>
                <c:pt idx="8">
                  <c:v>133</c:v>
                </c:pt>
                <c:pt idx="9">
                  <c:v>142</c:v>
                </c:pt>
                <c:pt idx="10">
                  <c:v>143</c:v>
                </c:pt>
                <c:pt idx="11">
                  <c:v>136</c:v>
                </c:pt>
                <c:pt idx="12">
                  <c:v>135</c:v>
                </c:pt>
                <c:pt idx="13">
                  <c:v>151</c:v>
                </c:pt>
                <c:pt idx="14">
                  <c:v>120</c:v>
                </c:pt>
                <c:pt idx="15">
                  <c:v>130</c:v>
                </c:pt>
                <c:pt idx="16">
                  <c:v>115</c:v>
                </c:pt>
                <c:pt idx="17">
                  <c:v>104</c:v>
                </c:pt>
                <c:pt idx="18">
                  <c:v>108</c:v>
                </c:pt>
                <c:pt idx="19">
                  <c:v>106</c:v>
                </c:pt>
                <c:pt idx="20">
                  <c:v>102</c:v>
                </c:pt>
                <c:pt idx="21">
                  <c:v>98</c:v>
                </c:pt>
                <c:pt idx="22">
                  <c:v>101</c:v>
                </c:pt>
                <c:pt idx="23">
                  <c:v>95</c:v>
                </c:pt>
                <c:pt idx="24">
                  <c:v>95</c:v>
                </c:pt>
                <c:pt idx="25">
                  <c:v>96</c:v>
                </c:pt>
                <c:pt idx="26">
                  <c:v>103</c:v>
                </c:pt>
                <c:pt idx="27">
                  <c:v>107</c:v>
                </c:pt>
                <c:pt idx="28">
                  <c:v>115</c:v>
                </c:pt>
                <c:pt idx="29">
                  <c:v>114</c:v>
                </c:pt>
                <c:pt idx="30">
                  <c:v>130</c:v>
                </c:pt>
                <c:pt idx="31">
                  <c:v>132</c:v>
                </c:pt>
                <c:pt idx="32">
                  <c:v>130</c:v>
                </c:pt>
                <c:pt idx="33">
                  <c:v>92</c:v>
                </c:pt>
                <c:pt idx="34">
                  <c:v>133</c:v>
                </c:pt>
                <c:pt idx="35">
                  <c:v>118</c:v>
                </c:pt>
                <c:pt idx="36">
                  <c:v>59</c:v>
                </c:pt>
                <c:pt idx="37">
                  <c:v>95</c:v>
                </c:pt>
                <c:pt idx="38">
                  <c:v>10</c:v>
                </c:pt>
                <c:pt idx="39">
                  <c:v>25</c:v>
                </c:pt>
                <c:pt idx="40">
                  <c:v>10</c:v>
                </c:pt>
                <c:pt idx="41">
                  <c:v>25</c:v>
                </c:pt>
                <c:pt idx="42">
                  <c:v>0</c:v>
                </c:pt>
                <c:pt idx="43">
                  <c:v>-50</c:v>
                </c:pt>
                <c:pt idx="44">
                  <c:v>-60</c:v>
                </c:pt>
                <c:pt idx="45">
                  <c:v>-65</c:v>
                </c:pt>
                <c:pt idx="46">
                  <c:v>-45</c:v>
                </c:pt>
                <c:pt idx="47">
                  <c:v>0</c:v>
                </c:pt>
                <c:pt idx="48">
                  <c:v>-55</c:v>
                </c:pt>
                <c:pt idx="49">
                  <c:v>-110</c:v>
                </c:pt>
                <c:pt idx="50" formatCode="_(* #,##0_);_(* \(#,##0\);_(* &quot;-&quot;??_);_(@_)">
                  <c:v>-110</c:v>
                </c:pt>
                <c:pt idx="51" formatCode="_(* #,##0_);_(* \(#,##0\);_(* &quot;-&quot;??_);_(@_)">
                  <c:v>47.187999999999988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989328"/>
        <c:axId val="307987368"/>
      </c:lineChart>
      <c:catAx>
        <c:axId val="307989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7368"/>
        <c:crosses val="autoZero"/>
        <c:auto val="1"/>
        <c:lblAlgn val="ctr"/>
        <c:lblOffset val="100"/>
        <c:noMultiLvlLbl val="0"/>
      </c:catAx>
      <c:valAx>
        <c:axId val="30798736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932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"/>
          <c:w val="0.91165128933230188"/>
          <c:h val="0.10780685832101058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Aus!$C$10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Aus!$H$1:$BD$1</c:f>
              <c:numCache>
                <c:formatCode>General</c:formatCode>
                <c:ptCount val="49"/>
                <c:pt idx="0">
                  <c:v>1965</c:v>
                </c:pt>
                <c:pt idx="1">
                  <c:v>1966</c:v>
                </c:pt>
                <c:pt idx="2">
                  <c:v>1967</c:v>
                </c:pt>
                <c:pt idx="3">
                  <c:v>1968</c:v>
                </c:pt>
                <c:pt idx="4">
                  <c:v>1969</c:v>
                </c:pt>
                <c:pt idx="5">
                  <c:v>1970</c:v>
                </c:pt>
                <c:pt idx="6">
                  <c:v>1971</c:v>
                </c:pt>
                <c:pt idx="7">
                  <c:v>1972</c:v>
                </c:pt>
                <c:pt idx="8">
                  <c:v>1973</c:v>
                </c:pt>
                <c:pt idx="9">
                  <c:v>1974</c:v>
                </c:pt>
                <c:pt idx="10">
                  <c:v>1975</c:v>
                </c:pt>
                <c:pt idx="11">
                  <c:v>1976</c:v>
                </c:pt>
                <c:pt idx="12">
                  <c:v>1977</c:v>
                </c:pt>
                <c:pt idx="13">
                  <c:v>1978</c:v>
                </c:pt>
                <c:pt idx="14">
                  <c:v>1979</c:v>
                </c:pt>
                <c:pt idx="15">
                  <c:v>1980</c:v>
                </c:pt>
                <c:pt idx="16">
                  <c:v>1981</c:v>
                </c:pt>
                <c:pt idx="17">
                  <c:v>1982</c:v>
                </c:pt>
                <c:pt idx="18">
                  <c:v>1983</c:v>
                </c:pt>
                <c:pt idx="19">
                  <c:v>1984</c:v>
                </c:pt>
                <c:pt idx="20">
                  <c:v>1985</c:v>
                </c:pt>
                <c:pt idx="21">
                  <c:v>1986</c:v>
                </c:pt>
                <c:pt idx="22">
                  <c:v>1987</c:v>
                </c:pt>
                <c:pt idx="23">
                  <c:v>1988</c:v>
                </c:pt>
                <c:pt idx="24">
                  <c:v>1989</c:v>
                </c:pt>
                <c:pt idx="25">
                  <c:v>1990</c:v>
                </c:pt>
                <c:pt idx="26">
                  <c:v>1991</c:v>
                </c:pt>
                <c:pt idx="27">
                  <c:v>1992</c:v>
                </c:pt>
                <c:pt idx="28">
                  <c:v>1993</c:v>
                </c:pt>
                <c:pt idx="29">
                  <c:v>1994</c:v>
                </c:pt>
                <c:pt idx="30">
                  <c:v>1995</c:v>
                </c:pt>
                <c:pt idx="31">
                  <c:v>1996</c:v>
                </c:pt>
                <c:pt idx="32">
                  <c:v>1997</c:v>
                </c:pt>
                <c:pt idx="33">
                  <c:v>1998</c:v>
                </c:pt>
                <c:pt idx="34">
                  <c:v>1999</c:v>
                </c:pt>
                <c:pt idx="35">
                  <c:v>2000</c:v>
                </c:pt>
                <c:pt idx="36">
                  <c:v>2001</c:v>
                </c:pt>
                <c:pt idx="37">
                  <c:v>2002</c:v>
                </c:pt>
                <c:pt idx="38">
                  <c:v>2003</c:v>
                </c:pt>
                <c:pt idx="39">
                  <c:v>2004</c:v>
                </c:pt>
                <c:pt idx="40">
                  <c:v>2005</c:v>
                </c:pt>
                <c:pt idx="41">
                  <c:v>2006</c:v>
                </c:pt>
                <c:pt idx="42">
                  <c:v>2007</c:v>
                </c:pt>
                <c:pt idx="43">
                  <c:v>2008</c:v>
                </c:pt>
                <c:pt idx="44">
                  <c:v>2009</c:v>
                </c:pt>
                <c:pt idx="45">
                  <c:v>2010</c:v>
                </c:pt>
                <c:pt idx="46">
                  <c:v>2011</c:v>
                </c:pt>
                <c:pt idx="47">
                  <c:v>2012</c:v>
                </c:pt>
                <c:pt idx="48">
                  <c:v>2013</c:v>
                </c:pt>
              </c:numCache>
            </c:numRef>
          </c:cat>
          <c:val>
            <c:numRef>
              <c:f>Aus!$H$10:$BD$10</c:f>
              <c:numCache>
                <c:formatCode>General</c:formatCode>
                <c:ptCount val="49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5</c:v>
                </c:pt>
                <c:pt idx="6">
                  <c:v>9</c:v>
                </c:pt>
                <c:pt idx="7">
                  <c:v>28</c:v>
                </c:pt>
                <c:pt idx="8">
                  <c:v>38</c:v>
                </c:pt>
                <c:pt idx="9">
                  <c:v>63</c:v>
                </c:pt>
                <c:pt idx="10">
                  <c:v>74</c:v>
                </c:pt>
                <c:pt idx="11">
                  <c:v>45</c:v>
                </c:pt>
                <c:pt idx="12">
                  <c:v>55</c:v>
                </c:pt>
                <c:pt idx="13">
                  <c:v>77</c:v>
                </c:pt>
                <c:pt idx="14">
                  <c:v>99</c:v>
                </c:pt>
                <c:pt idx="15">
                  <c:v>82</c:v>
                </c:pt>
                <c:pt idx="16">
                  <c:v>73</c:v>
                </c:pt>
                <c:pt idx="17">
                  <c:v>77</c:v>
                </c:pt>
                <c:pt idx="18">
                  <c:v>53</c:v>
                </c:pt>
                <c:pt idx="19">
                  <c:v>89</c:v>
                </c:pt>
                <c:pt idx="20">
                  <c:v>110</c:v>
                </c:pt>
                <c:pt idx="21">
                  <c:v>105</c:v>
                </c:pt>
                <c:pt idx="22">
                  <c:v>115</c:v>
                </c:pt>
                <c:pt idx="23">
                  <c:v>68</c:v>
                </c:pt>
                <c:pt idx="24">
                  <c:v>129</c:v>
                </c:pt>
                <c:pt idx="25">
                  <c:v>77</c:v>
                </c:pt>
                <c:pt idx="26">
                  <c:v>62</c:v>
                </c:pt>
                <c:pt idx="27">
                  <c:v>63</c:v>
                </c:pt>
                <c:pt idx="28">
                  <c:v>51</c:v>
                </c:pt>
                <c:pt idx="29">
                  <c:v>81</c:v>
                </c:pt>
                <c:pt idx="30">
                  <c:v>28</c:v>
                </c:pt>
                <c:pt idx="31">
                  <c:v>44</c:v>
                </c:pt>
                <c:pt idx="32">
                  <c:v>74</c:v>
                </c:pt>
                <c:pt idx="33">
                  <c:v>54</c:v>
                </c:pt>
                <c:pt idx="34">
                  <c:v>109</c:v>
                </c:pt>
                <c:pt idx="35">
                  <c:v>105</c:v>
                </c:pt>
                <c:pt idx="36">
                  <c:v>49</c:v>
                </c:pt>
                <c:pt idx="37">
                  <c:v>63</c:v>
                </c:pt>
                <c:pt idx="38">
                  <c:v>18</c:v>
                </c:pt>
                <c:pt idx="39">
                  <c:v>74</c:v>
                </c:pt>
                <c:pt idx="40">
                  <c:v>54</c:v>
                </c:pt>
                <c:pt idx="41">
                  <c:v>56</c:v>
                </c:pt>
                <c:pt idx="42">
                  <c:v>32</c:v>
                </c:pt>
                <c:pt idx="43">
                  <c:v>35</c:v>
                </c:pt>
                <c:pt idx="44">
                  <c:v>101</c:v>
                </c:pt>
                <c:pt idx="45">
                  <c:v>70</c:v>
                </c:pt>
                <c:pt idx="46" formatCode="_(* #,##0_);_(* \(#,##0\);_(* &quot;-&quot;??_);_(@_)">
                  <c:v>50</c:v>
                </c:pt>
                <c:pt idx="47" formatCode="_(* #,##0_);_(* \(#,##0\);_(* &quot;-&quot;??_);_(@_)">
                  <c:v>29.75</c:v>
                </c:pt>
                <c:pt idx="48" formatCode="_(* #,##0_);_(* \(#,##0\);_(* &quot;-&quot;??_);_(@_)">
                  <c:v>86.1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Aus!$C$11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Aus!$H$1:$BD$1</c:f>
              <c:numCache>
                <c:formatCode>General</c:formatCode>
                <c:ptCount val="49"/>
                <c:pt idx="0">
                  <c:v>1965</c:v>
                </c:pt>
                <c:pt idx="1">
                  <c:v>1966</c:v>
                </c:pt>
                <c:pt idx="2">
                  <c:v>1967</c:v>
                </c:pt>
                <c:pt idx="3">
                  <c:v>1968</c:v>
                </c:pt>
                <c:pt idx="4">
                  <c:v>1969</c:v>
                </c:pt>
                <c:pt idx="5">
                  <c:v>1970</c:v>
                </c:pt>
                <c:pt idx="6">
                  <c:v>1971</c:v>
                </c:pt>
                <c:pt idx="7">
                  <c:v>1972</c:v>
                </c:pt>
                <c:pt idx="8">
                  <c:v>1973</c:v>
                </c:pt>
                <c:pt idx="9">
                  <c:v>1974</c:v>
                </c:pt>
                <c:pt idx="10">
                  <c:v>1975</c:v>
                </c:pt>
                <c:pt idx="11">
                  <c:v>1976</c:v>
                </c:pt>
                <c:pt idx="12">
                  <c:v>1977</c:v>
                </c:pt>
                <c:pt idx="13">
                  <c:v>1978</c:v>
                </c:pt>
                <c:pt idx="14">
                  <c:v>1979</c:v>
                </c:pt>
                <c:pt idx="15">
                  <c:v>1980</c:v>
                </c:pt>
                <c:pt idx="16">
                  <c:v>1981</c:v>
                </c:pt>
                <c:pt idx="17">
                  <c:v>1982</c:v>
                </c:pt>
                <c:pt idx="18">
                  <c:v>1983</c:v>
                </c:pt>
                <c:pt idx="19">
                  <c:v>1984</c:v>
                </c:pt>
                <c:pt idx="20">
                  <c:v>1985</c:v>
                </c:pt>
                <c:pt idx="21">
                  <c:v>1986</c:v>
                </c:pt>
                <c:pt idx="22">
                  <c:v>1987</c:v>
                </c:pt>
                <c:pt idx="23">
                  <c:v>1988</c:v>
                </c:pt>
                <c:pt idx="24">
                  <c:v>1989</c:v>
                </c:pt>
                <c:pt idx="25">
                  <c:v>1990</c:v>
                </c:pt>
                <c:pt idx="26">
                  <c:v>1991</c:v>
                </c:pt>
                <c:pt idx="27">
                  <c:v>1992</c:v>
                </c:pt>
                <c:pt idx="28">
                  <c:v>1993</c:v>
                </c:pt>
                <c:pt idx="29">
                  <c:v>1994</c:v>
                </c:pt>
                <c:pt idx="30">
                  <c:v>1995</c:v>
                </c:pt>
                <c:pt idx="31">
                  <c:v>1996</c:v>
                </c:pt>
                <c:pt idx="32">
                  <c:v>1997</c:v>
                </c:pt>
                <c:pt idx="33">
                  <c:v>1998</c:v>
                </c:pt>
                <c:pt idx="34">
                  <c:v>1999</c:v>
                </c:pt>
                <c:pt idx="35">
                  <c:v>2000</c:v>
                </c:pt>
                <c:pt idx="36">
                  <c:v>2001</c:v>
                </c:pt>
                <c:pt idx="37">
                  <c:v>2002</c:v>
                </c:pt>
                <c:pt idx="38">
                  <c:v>2003</c:v>
                </c:pt>
                <c:pt idx="39">
                  <c:v>2004</c:v>
                </c:pt>
                <c:pt idx="40">
                  <c:v>2005</c:v>
                </c:pt>
                <c:pt idx="41">
                  <c:v>2006</c:v>
                </c:pt>
                <c:pt idx="42">
                  <c:v>2007</c:v>
                </c:pt>
                <c:pt idx="43">
                  <c:v>2008</c:v>
                </c:pt>
                <c:pt idx="44">
                  <c:v>2009</c:v>
                </c:pt>
                <c:pt idx="45">
                  <c:v>2010</c:v>
                </c:pt>
                <c:pt idx="46">
                  <c:v>2011</c:v>
                </c:pt>
                <c:pt idx="47">
                  <c:v>2012</c:v>
                </c:pt>
                <c:pt idx="48">
                  <c:v>2013</c:v>
                </c:pt>
              </c:numCache>
            </c:numRef>
          </c:cat>
          <c:val>
            <c:numRef>
              <c:f>Aus!$H$11:$BD$11</c:f>
              <c:numCache>
                <c:formatCode>General</c:formatCode>
                <c:ptCount val="49"/>
                <c:pt idx="0">
                  <c:v>7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11</c:v>
                </c:pt>
                <c:pt idx="7">
                  <c:v>0</c:v>
                </c:pt>
                <c:pt idx="8">
                  <c:v>0</c:v>
                </c:pt>
                <c:pt idx="9">
                  <c:v>33</c:v>
                </c:pt>
                <c:pt idx="10">
                  <c:v>16</c:v>
                </c:pt>
                <c:pt idx="11">
                  <c:v>10</c:v>
                </c:pt>
                <c:pt idx="12">
                  <c:v>21</c:v>
                </c:pt>
                <c:pt idx="13">
                  <c:v>15</c:v>
                </c:pt>
                <c:pt idx="14">
                  <c:v>13</c:v>
                </c:pt>
                <c:pt idx="15">
                  <c:v>13</c:v>
                </c:pt>
                <c:pt idx="16">
                  <c:v>41</c:v>
                </c:pt>
                <c:pt idx="17">
                  <c:v>35</c:v>
                </c:pt>
                <c:pt idx="18">
                  <c:v>30</c:v>
                </c:pt>
                <c:pt idx="19">
                  <c:v>29</c:v>
                </c:pt>
                <c:pt idx="20">
                  <c:v>38</c:v>
                </c:pt>
                <c:pt idx="21">
                  <c:v>0</c:v>
                </c:pt>
                <c:pt idx="22">
                  <c:v>35</c:v>
                </c:pt>
                <c:pt idx="23">
                  <c:v>90</c:v>
                </c:pt>
                <c:pt idx="24">
                  <c:v>10</c:v>
                </c:pt>
                <c:pt idx="25">
                  <c:v>42</c:v>
                </c:pt>
                <c:pt idx="26">
                  <c:v>60</c:v>
                </c:pt>
                <c:pt idx="27">
                  <c:v>57</c:v>
                </c:pt>
                <c:pt idx="28">
                  <c:v>55</c:v>
                </c:pt>
                <c:pt idx="29">
                  <c:v>55</c:v>
                </c:pt>
                <c:pt idx="30">
                  <c:v>86</c:v>
                </c:pt>
                <c:pt idx="31">
                  <c:v>70</c:v>
                </c:pt>
                <c:pt idx="32">
                  <c:v>70</c:v>
                </c:pt>
                <c:pt idx="33">
                  <c:v>50</c:v>
                </c:pt>
                <c:pt idx="34">
                  <c:v>30</c:v>
                </c:pt>
                <c:pt idx="35">
                  <c:v>18</c:v>
                </c:pt>
                <c:pt idx="36">
                  <c:v>0</c:v>
                </c:pt>
                <c:pt idx="37">
                  <c:v>18</c:v>
                </c:pt>
                <c:pt idx="38">
                  <c:v>65</c:v>
                </c:pt>
                <c:pt idx="39">
                  <c:v>9</c:v>
                </c:pt>
                <c:pt idx="40">
                  <c:v>1</c:v>
                </c:pt>
                <c:pt idx="41">
                  <c:v>1</c:v>
                </c:pt>
                <c:pt idx="42">
                  <c:v>11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 formatCode="_(* #,##0_);_(* \(#,##0\);_(* &quot;-&quot;??_);_(@_)">
                  <c:v>1</c:v>
                </c:pt>
                <c:pt idx="47" formatCode="_(* #,##0_);_(* \(#,##0\);_(* &quot;-&quot;??_);_(@_)">
                  <c:v>1.161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Aus!$C$12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Aus!$H$1:$BD$1</c:f>
              <c:numCache>
                <c:formatCode>General</c:formatCode>
                <c:ptCount val="49"/>
                <c:pt idx="0">
                  <c:v>1965</c:v>
                </c:pt>
                <c:pt idx="1">
                  <c:v>1966</c:v>
                </c:pt>
                <c:pt idx="2">
                  <c:v>1967</c:v>
                </c:pt>
                <c:pt idx="3">
                  <c:v>1968</c:v>
                </c:pt>
                <c:pt idx="4">
                  <c:v>1969</c:v>
                </c:pt>
                <c:pt idx="5">
                  <c:v>1970</c:v>
                </c:pt>
                <c:pt idx="6">
                  <c:v>1971</c:v>
                </c:pt>
                <c:pt idx="7">
                  <c:v>1972</c:v>
                </c:pt>
                <c:pt idx="8">
                  <c:v>1973</c:v>
                </c:pt>
                <c:pt idx="9">
                  <c:v>1974</c:v>
                </c:pt>
                <c:pt idx="10">
                  <c:v>1975</c:v>
                </c:pt>
                <c:pt idx="11">
                  <c:v>1976</c:v>
                </c:pt>
                <c:pt idx="12">
                  <c:v>1977</c:v>
                </c:pt>
                <c:pt idx="13">
                  <c:v>1978</c:v>
                </c:pt>
                <c:pt idx="14">
                  <c:v>1979</c:v>
                </c:pt>
                <c:pt idx="15">
                  <c:v>1980</c:v>
                </c:pt>
                <c:pt idx="16">
                  <c:v>1981</c:v>
                </c:pt>
                <c:pt idx="17">
                  <c:v>1982</c:v>
                </c:pt>
                <c:pt idx="18">
                  <c:v>1983</c:v>
                </c:pt>
                <c:pt idx="19">
                  <c:v>1984</c:v>
                </c:pt>
                <c:pt idx="20">
                  <c:v>1985</c:v>
                </c:pt>
                <c:pt idx="21">
                  <c:v>1986</c:v>
                </c:pt>
                <c:pt idx="22">
                  <c:v>1987</c:v>
                </c:pt>
                <c:pt idx="23">
                  <c:v>1988</c:v>
                </c:pt>
                <c:pt idx="24">
                  <c:v>1989</c:v>
                </c:pt>
                <c:pt idx="25">
                  <c:v>1990</c:v>
                </c:pt>
                <c:pt idx="26">
                  <c:v>1991</c:v>
                </c:pt>
                <c:pt idx="27">
                  <c:v>1992</c:v>
                </c:pt>
                <c:pt idx="28">
                  <c:v>1993</c:v>
                </c:pt>
                <c:pt idx="29">
                  <c:v>1994</c:v>
                </c:pt>
                <c:pt idx="30">
                  <c:v>1995</c:v>
                </c:pt>
                <c:pt idx="31">
                  <c:v>1996</c:v>
                </c:pt>
                <c:pt idx="32">
                  <c:v>1997</c:v>
                </c:pt>
                <c:pt idx="33">
                  <c:v>1998</c:v>
                </c:pt>
                <c:pt idx="34">
                  <c:v>1999</c:v>
                </c:pt>
                <c:pt idx="35">
                  <c:v>2000</c:v>
                </c:pt>
                <c:pt idx="36">
                  <c:v>2001</c:v>
                </c:pt>
                <c:pt idx="37">
                  <c:v>2002</c:v>
                </c:pt>
                <c:pt idx="38">
                  <c:v>2003</c:v>
                </c:pt>
                <c:pt idx="39">
                  <c:v>2004</c:v>
                </c:pt>
                <c:pt idx="40">
                  <c:v>2005</c:v>
                </c:pt>
                <c:pt idx="41">
                  <c:v>2006</c:v>
                </c:pt>
                <c:pt idx="42">
                  <c:v>2007</c:v>
                </c:pt>
                <c:pt idx="43">
                  <c:v>2008</c:v>
                </c:pt>
                <c:pt idx="44">
                  <c:v>2009</c:v>
                </c:pt>
                <c:pt idx="45">
                  <c:v>2010</c:v>
                </c:pt>
                <c:pt idx="46">
                  <c:v>2011</c:v>
                </c:pt>
                <c:pt idx="47">
                  <c:v>2012</c:v>
                </c:pt>
                <c:pt idx="48">
                  <c:v>2013</c:v>
                </c:pt>
              </c:numCache>
            </c:numRef>
          </c:cat>
          <c:val>
            <c:numRef>
              <c:f>Aus!$H$12:$BD$12</c:f>
              <c:numCache>
                <c:formatCode>General</c:formatCode>
                <c:ptCount val="4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3</c:v>
                </c:pt>
                <c:pt idx="10">
                  <c:v>4</c:v>
                </c:pt>
                <c:pt idx="11">
                  <c:v>32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11</c:v>
                </c:pt>
                <c:pt idx="37">
                  <c:v>6</c:v>
                </c:pt>
                <c:pt idx="38">
                  <c:v>8</c:v>
                </c:pt>
                <c:pt idx="39">
                  <c:v>3</c:v>
                </c:pt>
                <c:pt idx="40">
                  <c:v>5</c:v>
                </c:pt>
                <c:pt idx="41">
                  <c:v>3</c:v>
                </c:pt>
                <c:pt idx="42">
                  <c:v>3</c:v>
                </c:pt>
                <c:pt idx="43">
                  <c:v>2</c:v>
                </c:pt>
                <c:pt idx="44">
                  <c:v>7</c:v>
                </c:pt>
                <c:pt idx="45">
                  <c:v>2</c:v>
                </c:pt>
                <c:pt idx="46" formatCode="_(* #,##0_);_(* \(#,##0\);_(* &quot;-&quot;??_);_(@_)">
                  <c:v>2</c:v>
                </c:pt>
                <c:pt idx="47" formatCode="_(* #,##0_);_(* \(#,##0\);_(* &quot;-&quot;??_);_(@_)">
                  <c:v>1.835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Aus!$C$13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Aus!$H$1:$BD$1</c:f>
              <c:numCache>
                <c:formatCode>General</c:formatCode>
                <c:ptCount val="49"/>
                <c:pt idx="0">
                  <c:v>1965</c:v>
                </c:pt>
                <c:pt idx="1">
                  <c:v>1966</c:v>
                </c:pt>
                <c:pt idx="2">
                  <c:v>1967</c:v>
                </c:pt>
                <c:pt idx="3">
                  <c:v>1968</c:v>
                </c:pt>
                <c:pt idx="4">
                  <c:v>1969</c:v>
                </c:pt>
                <c:pt idx="5">
                  <c:v>1970</c:v>
                </c:pt>
                <c:pt idx="6">
                  <c:v>1971</c:v>
                </c:pt>
                <c:pt idx="7">
                  <c:v>1972</c:v>
                </c:pt>
                <c:pt idx="8">
                  <c:v>1973</c:v>
                </c:pt>
                <c:pt idx="9">
                  <c:v>1974</c:v>
                </c:pt>
                <c:pt idx="10">
                  <c:v>1975</c:v>
                </c:pt>
                <c:pt idx="11">
                  <c:v>1976</c:v>
                </c:pt>
                <c:pt idx="12">
                  <c:v>1977</c:v>
                </c:pt>
                <c:pt idx="13">
                  <c:v>1978</c:v>
                </c:pt>
                <c:pt idx="14">
                  <c:v>1979</c:v>
                </c:pt>
                <c:pt idx="15">
                  <c:v>1980</c:v>
                </c:pt>
                <c:pt idx="16">
                  <c:v>1981</c:v>
                </c:pt>
                <c:pt idx="17">
                  <c:v>1982</c:v>
                </c:pt>
                <c:pt idx="18">
                  <c:v>1983</c:v>
                </c:pt>
                <c:pt idx="19">
                  <c:v>1984</c:v>
                </c:pt>
                <c:pt idx="20">
                  <c:v>1985</c:v>
                </c:pt>
                <c:pt idx="21">
                  <c:v>1986</c:v>
                </c:pt>
                <c:pt idx="22">
                  <c:v>1987</c:v>
                </c:pt>
                <c:pt idx="23">
                  <c:v>1988</c:v>
                </c:pt>
                <c:pt idx="24">
                  <c:v>1989</c:v>
                </c:pt>
                <c:pt idx="25">
                  <c:v>1990</c:v>
                </c:pt>
                <c:pt idx="26">
                  <c:v>1991</c:v>
                </c:pt>
                <c:pt idx="27">
                  <c:v>1992</c:v>
                </c:pt>
                <c:pt idx="28">
                  <c:v>1993</c:v>
                </c:pt>
                <c:pt idx="29">
                  <c:v>1994</c:v>
                </c:pt>
                <c:pt idx="30">
                  <c:v>1995</c:v>
                </c:pt>
                <c:pt idx="31">
                  <c:v>1996</c:v>
                </c:pt>
                <c:pt idx="32">
                  <c:v>1997</c:v>
                </c:pt>
                <c:pt idx="33">
                  <c:v>1998</c:v>
                </c:pt>
                <c:pt idx="34">
                  <c:v>1999</c:v>
                </c:pt>
                <c:pt idx="35">
                  <c:v>2000</c:v>
                </c:pt>
                <c:pt idx="36">
                  <c:v>2001</c:v>
                </c:pt>
                <c:pt idx="37">
                  <c:v>2002</c:v>
                </c:pt>
                <c:pt idx="38">
                  <c:v>2003</c:v>
                </c:pt>
                <c:pt idx="39">
                  <c:v>2004</c:v>
                </c:pt>
                <c:pt idx="40">
                  <c:v>2005</c:v>
                </c:pt>
                <c:pt idx="41">
                  <c:v>2006</c:v>
                </c:pt>
                <c:pt idx="42">
                  <c:v>2007</c:v>
                </c:pt>
                <c:pt idx="43">
                  <c:v>2008</c:v>
                </c:pt>
                <c:pt idx="44">
                  <c:v>2009</c:v>
                </c:pt>
                <c:pt idx="45">
                  <c:v>2010</c:v>
                </c:pt>
                <c:pt idx="46">
                  <c:v>2011</c:v>
                </c:pt>
                <c:pt idx="47">
                  <c:v>2012</c:v>
                </c:pt>
                <c:pt idx="48">
                  <c:v>2013</c:v>
                </c:pt>
              </c:numCache>
            </c:numRef>
          </c:cat>
          <c:val>
            <c:numRef>
              <c:f>Aus!$H$13:$BD$13</c:f>
              <c:numCache>
                <c:formatCode>General</c:formatCode>
                <c:ptCount val="49"/>
                <c:pt idx="0">
                  <c:v>8</c:v>
                </c:pt>
                <c:pt idx="1">
                  <c:v>2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6</c:v>
                </c:pt>
                <c:pt idx="6">
                  <c:v>16</c:v>
                </c:pt>
                <c:pt idx="7">
                  <c:v>18</c:v>
                </c:pt>
                <c:pt idx="8">
                  <c:v>31</c:v>
                </c:pt>
                <c:pt idx="9">
                  <c:v>76</c:v>
                </c:pt>
                <c:pt idx="10">
                  <c:v>71</c:v>
                </c:pt>
                <c:pt idx="11">
                  <c:v>60</c:v>
                </c:pt>
                <c:pt idx="12">
                  <c:v>76</c:v>
                </c:pt>
                <c:pt idx="13">
                  <c:v>87</c:v>
                </c:pt>
                <c:pt idx="14">
                  <c:v>106</c:v>
                </c:pt>
                <c:pt idx="15">
                  <c:v>115</c:v>
                </c:pt>
                <c:pt idx="16">
                  <c:v>117</c:v>
                </c:pt>
                <c:pt idx="17">
                  <c:v>113</c:v>
                </c:pt>
                <c:pt idx="18">
                  <c:v>78</c:v>
                </c:pt>
                <c:pt idx="19">
                  <c:v>119</c:v>
                </c:pt>
                <c:pt idx="20">
                  <c:v>154</c:v>
                </c:pt>
                <c:pt idx="21">
                  <c:v>105</c:v>
                </c:pt>
                <c:pt idx="22">
                  <c:v>150</c:v>
                </c:pt>
                <c:pt idx="23">
                  <c:v>158</c:v>
                </c:pt>
                <c:pt idx="24">
                  <c:v>139</c:v>
                </c:pt>
                <c:pt idx="25">
                  <c:v>119</c:v>
                </c:pt>
                <c:pt idx="26">
                  <c:v>122</c:v>
                </c:pt>
                <c:pt idx="27">
                  <c:v>120</c:v>
                </c:pt>
                <c:pt idx="28">
                  <c:v>106</c:v>
                </c:pt>
                <c:pt idx="29">
                  <c:v>136</c:v>
                </c:pt>
                <c:pt idx="30">
                  <c:v>114</c:v>
                </c:pt>
                <c:pt idx="31">
                  <c:v>114</c:v>
                </c:pt>
                <c:pt idx="32">
                  <c:v>134</c:v>
                </c:pt>
                <c:pt idx="33">
                  <c:v>114</c:v>
                </c:pt>
                <c:pt idx="34">
                  <c:v>123</c:v>
                </c:pt>
                <c:pt idx="35">
                  <c:v>115</c:v>
                </c:pt>
                <c:pt idx="36">
                  <c:v>50</c:v>
                </c:pt>
                <c:pt idx="37">
                  <c:v>68</c:v>
                </c:pt>
                <c:pt idx="38">
                  <c:v>65</c:v>
                </c:pt>
                <c:pt idx="39">
                  <c:v>64</c:v>
                </c:pt>
                <c:pt idx="40">
                  <c:v>60</c:v>
                </c:pt>
                <c:pt idx="41">
                  <c:v>59</c:v>
                </c:pt>
                <c:pt idx="42">
                  <c:v>58</c:v>
                </c:pt>
                <c:pt idx="43">
                  <c:v>43</c:v>
                </c:pt>
                <c:pt idx="44">
                  <c:v>89</c:v>
                </c:pt>
                <c:pt idx="45">
                  <c:v>77</c:v>
                </c:pt>
                <c:pt idx="46" formatCode="_(* #,##0_);_(* \(#,##0\);_(* &quot;-&quot;??_);_(@_)">
                  <c:v>49</c:v>
                </c:pt>
                <c:pt idx="47" formatCode="_(* #,##0_);_(* \(#,##0\);_(* &quot;-&quot;??_);_(@_)">
                  <c:v>29.076000000000001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987760"/>
        <c:axId val="307982272"/>
      </c:lineChart>
      <c:catAx>
        <c:axId val="307987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2272"/>
        <c:crosses val="autoZero"/>
        <c:auto val="1"/>
        <c:lblAlgn val="ctr"/>
        <c:lblOffset val="100"/>
        <c:noMultiLvlLbl val="0"/>
      </c:catAx>
      <c:valAx>
        <c:axId val="30798227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776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91165128933230188"/>
          <c:h val="0.10780685832101061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588464106834263E-2"/>
          <c:y val="0.15817287897377999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Aus!$C$14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Aus!$D$14:$BD$14</c:f>
              <c:numCache>
                <c:formatCode>General</c:formatCode>
                <c:ptCount val="53"/>
                <c:pt idx="0">
                  <c:v>82</c:v>
                </c:pt>
                <c:pt idx="1">
                  <c:v>96</c:v>
                </c:pt>
                <c:pt idx="2">
                  <c:v>97</c:v>
                </c:pt>
                <c:pt idx="3">
                  <c:v>102</c:v>
                </c:pt>
                <c:pt idx="4">
                  <c:v>109</c:v>
                </c:pt>
                <c:pt idx="5">
                  <c:v>130</c:v>
                </c:pt>
                <c:pt idx="6">
                  <c:v>153</c:v>
                </c:pt>
                <c:pt idx="7">
                  <c:v>158</c:v>
                </c:pt>
                <c:pt idx="8">
                  <c:v>183</c:v>
                </c:pt>
                <c:pt idx="9">
                  <c:v>177</c:v>
                </c:pt>
                <c:pt idx="10">
                  <c:v>214</c:v>
                </c:pt>
                <c:pt idx="11">
                  <c:v>177</c:v>
                </c:pt>
                <c:pt idx="12">
                  <c:v>221</c:v>
                </c:pt>
                <c:pt idx="13">
                  <c:v>293</c:v>
                </c:pt>
                <c:pt idx="14">
                  <c:v>277</c:v>
                </c:pt>
                <c:pt idx="15">
                  <c:v>298</c:v>
                </c:pt>
                <c:pt idx="16">
                  <c:v>379</c:v>
                </c:pt>
                <c:pt idx="17">
                  <c:v>351</c:v>
                </c:pt>
                <c:pt idx="18">
                  <c:v>495</c:v>
                </c:pt>
                <c:pt idx="19">
                  <c:v>438</c:v>
                </c:pt>
                <c:pt idx="20">
                  <c:v>521</c:v>
                </c:pt>
                <c:pt idx="21">
                  <c:v>611</c:v>
                </c:pt>
                <c:pt idx="22">
                  <c:v>392</c:v>
                </c:pt>
                <c:pt idx="23">
                  <c:v>452</c:v>
                </c:pt>
                <c:pt idx="24">
                  <c:v>618</c:v>
                </c:pt>
                <c:pt idx="25">
                  <c:v>491</c:v>
                </c:pt>
                <c:pt idx="26">
                  <c:v>393</c:v>
                </c:pt>
                <c:pt idx="27">
                  <c:v>540</c:v>
                </c:pt>
                <c:pt idx="28">
                  <c:v>576</c:v>
                </c:pt>
                <c:pt idx="29">
                  <c:v>605</c:v>
                </c:pt>
                <c:pt idx="30">
                  <c:v>563</c:v>
                </c:pt>
                <c:pt idx="31">
                  <c:v>806</c:v>
                </c:pt>
                <c:pt idx="32">
                  <c:v>683</c:v>
                </c:pt>
                <c:pt idx="33">
                  <c:v>774</c:v>
                </c:pt>
                <c:pt idx="34">
                  <c:v>813</c:v>
                </c:pt>
                <c:pt idx="35">
                  <c:v>691</c:v>
                </c:pt>
                <c:pt idx="36">
                  <c:v>894</c:v>
                </c:pt>
                <c:pt idx="37">
                  <c:v>947</c:v>
                </c:pt>
                <c:pt idx="38">
                  <c:v>974</c:v>
                </c:pt>
                <c:pt idx="39">
                  <c:v>787</c:v>
                </c:pt>
                <c:pt idx="40" formatCode="#,##0">
                  <c:v>1175</c:v>
                </c:pt>
                <c:pt idx="41">
                  <c:v>888</c:v>
                </c:pt>
                <c:pt idx="42">
                  <c:v>313</c:v>
                </c:pt>
                <c:pt idx="43">
                  <c:v>395</c:v>
                </c:pt>
                <c:pt idx="44">
                  <c:v>243</c:v>
                </c:pt>
                <c:pt idx="45">
                  <c:v>716</c:v>
                </c:pt>
                <c:pt idx="46">
                  <c:v>117</c:v>
                </c:pt>
                <c:pt idx="47">
                  <c:v>13</c:v>
                </c:pt>
                <c:pt idx="48">
                  <c:v>44</c:v>
                </c:pt>
                <c:pt idx="49">
                  <c:v>142</c:v>
                </c:pt>
                <c:pt idx="50" formatCode="_(* #,##0_);_(* \(#,##0\);_(* &quot;-&quot;??_);_(@_)">
                  <c:v>608</c:v>
                </c:pt>
                <c:pt idx="51" formatCode="_(* #,##0_);_(* \(#,##0\);_(* &quot;-&quot;??_);_(@_)">
                  <c:v>723.28300000000002</c:v>
                </c:pt>
                <c:pt idx="52" formatCode="_(* #,##0_);_(* \(#,##0\);_(* &quot;-&quot;??_);_(@_)">
                  <c:v>918.73299999999995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Aus!$C$15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Aus!$D$15:$BD$15</c:f>
              <c:numCache>
                <c:formatCode>General</c:formatCode>
                <c:ptCount val="53"/>
                <c:pt idx="0">
                  <c:v>0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5</c:v>
                </c:pt>
                <c:pt idx="23">
                  <c:v>1</c:v>
                </c:pt>
                <c:pt idx="24">
                  <c:v>9</c:v>
                </c:pt>
                <c:pt idx="25">
                  <c:v>10</c:v>
                </c:pt>
                <c:pt idx="26">
                  <c:v>10</c:v>
                </c:pt>
                <c:pt idx="27">
                  <c:v>10</c:v>
                </c:pt>
                <c:pt idx="28">
                  <c:v>24</c:v>
                </c:pt>
                <c:pt idx="29">
                  <c:v>28</c:v>
                </c:pt>
                <c:pt idx="30">
                  <c:v>28</c:v>
                </c:pt>
                <c:pt idx="31">
                  <c:v>31</c:v>
                </c:pt>
                <c:pt idx="32">
                  <c:v>29</c:v>
                </c:pt>
                <c:pt idx="33">
                  <c:v>28</c:v>
                </c:pt>
                <c:pt idx="34">
                  <c:v>31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51</c:v>
                </c:pt>
                <c:pt idx="39">
                  <c:v>46</c:v>
                </c:pt>
                <c:pt idx="40">
                  <c:v>68</c:v>
                </c:pt>
                <c:pt idx="41">
                  <c:v>65</c:v>
                </c:pt>
                <c:pt idx="42">
                  <c:v>88</c:v>
                </c:pt>
                <c:pt idx="43">
                  <c:v>88</c:v>
                </c:pt>
                <c:pt idx="44">
                  <c:v>106</c:v>
                </c:pt>
                <c:pt idx="45">
                  <c:v>94</c:v>
                </c:pt>
                <c:pt idx="46">
                  <c:v>198</c:v>
                </c:pt>
                <c:pt idx="47">
                  <c:v>188</c:v>
                </c:pt>
                <c:pt idx="48">
                  <c:v>215</c:v>
                </c:pt>
                <c:pt idx="49">
                  <c:v>225</c:v>
                </c:pt>
                <c:pt idx="50" formatCode="_(* #,##0_);_(* \(#,##0\);_(* &quot;-&quot;??_);_(@_)">
                  <c:v>125</c:v>
                </c:pt>
                <c:pt idx="51" formatCode="_(* #,##0_);_(* \(#,##0\);_(* &quot;-&quot;??_);_(@_)">
                  <c:v>160.12100000000001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Aus!$C$16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Aus!$D$16:$BD$16</c:f>
              <c:numCache>
                <c:formatCode>General</c:formatCode>
                <c:ptCount val="53"/>
                <c:pt idx="0">
                  <c:v>51</c:v>
                </c:pt>
                <c:pt idx="1">
                  <c:v>57</c:v>
                </c:pt>
                <c:pt idx="2">
                  <c:v>56</c:v>
                </c:pt>
                <c:pt idx="3">
                  <c:v>64</c:v>
                </c:pt>
                <c:pt idx="4">
                  <c:v>64</c:v>
                </c:pt>
                <c:pt idx="5">
                  <c:v>89</c:v>
                </c:pt>
                <c:pt idx="6">
                  <c:v>99</c:v>
                </c:pt>
                <c:pt idx="7">
                  <c:v>107</c:v>
                </c:pt>
                <c:pt idx="8">
                  <c:v>121</c:v>
                </c:pt>
                <c:pt idx="9">
                  <c:v>96</c:v>
                </c:pt>
                <c:pt idx="10">
                  <c:v>171</c:v>
                </c:pt>
                <c:pt idx="11">
                  <c:v>150</c:v>
                </c:pt>
                <c:pt idx="12">
                  <c:v>154</c:v>
                </c:pt>
                <c:pt idx="13">
                  <c:v>163</c:v>
                </c:pt>
                <c:pt idx="14">
                  <c:v>196</c:v>
                </c:pt>
                <c:pt idx="15">
                  <c:v>297</c:v>
                </c:pt>
                <c:pt idx="16">
                  <c:v>256</c:v>
                </c:pt>
                <c:pt idx="17">
                  <c:v>253</c:v>
                </c:pt>
                <c:pt idx="18">
                  <c:v>426</c:v>
                </c:pt>
                <c:pt idx="19">
                  <c:v>294</c:v>
                </c:pt>
                <c:pt idx="20">
                  <c:v>468</c:v>
                </c:pt>
                <c:pt idx="21">
                  <c:v>573</c:v>
                </c:pt>
                <c:pt idx="22">
                  <c:v>251</c:v>
                </c:pt>
                <c:pt idx="23">
                  <c:v>327</c:v>
                </c:pt>
                <c:pt idx="24">
                  <c:v>463</c:v>
                </c:pt>
                <c:pt idx="25">
                  <c:v>390</c:v>
                </c:pt>
                <c:pt idx="26">
                  <c:v>375</c:v>
                </c:pt>
                <c:pt idx="27">
                  <c:v>430</c:v>
                </c:pt>
                <c:pt idx="28">
                  <c:v>500</c:v>
                </c:pt>
                <c:pt idx="29">
                  <c:v>461</c:v>
                </c:pt>
                <c:pt idx="30">
                  <c:v>519</c:v>
                </c:pt>
                <c:pt idx="31">
                  <c:v>607</c:v>
                </c:pt>
                <c:pt idx="32">
                  <c:v>525</c:v>
                </c:pt>
                <c:pt idx="33">
                  <c:v>500</c:v>
                </c:pt>
                <c:pt idx="34">
                  <c:v>500</c:v>
                </c:pt>
                <c:pt idx="35">
                  <c:v>550</c:v>
                </c:pt>
                <c:pt idx="36">
                  <c:v>657</c:v>
                </c:pt>
                <c:pt idx="37">
                  <c:v>537</c:v>
                </c:pt>
                <c:pt idx="38">
                  <c:v>662</c:v>
                </c:pt>
                <c:pt idx="39">
                  <c:v>610</c:v>
                </c:pt>
                <c:pt idx="40">
                  <c:v>617</c:v>
                </c:pt>
                <c:pt idx="41">
                  <c:v>247</c:v>
                </c:pt>
                <c:pt idx="42">
                  <c:v>150</c:v>
                </c:pt>
                <c:pt idx="43">
                  <c:v>175</c:v>
                </c:pt>
                <c:pt idx="44">
                  <c:v>80</c:v>
                </c:pt>
                <c:pt idx="45">
                  <c:v>326</c:v>
                </c:pt>
                <c:pt idx="46">
                  <c:v>166</c:v>
                </c:pt>
                <c:pt idx="47">
                  <c:v>36</c:v>
                </c:pt>
                <c:pt idx="48">
                  <c:v>15</c:v>
                </c:pt>
                <c:pt idx="49">
                  <c:v>40</c:v>
                </c:pt>
                <c:pt idx="50" formatCode="_(* #,##0_);_(* \(#,##0\);_(* &quot;-&quot;??_);_(@_)">
                  <c:v>350</c:v>
                </c:pt>
                <c:pt idx="51" formatCode="_(* #,##0_);_(* \(#,##0\);_(* &quot;-&quot;??_);_(@_)">
                  <c:v>277.99200000000002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Aus!$C$17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Aus!$D$17:$BD$17</c:f>
              <c:numCache>
                <c:formatCode>General</c:formatCode>
                <c:ptCount val="53"/>
                <c:pt idx="0">
                  <c:v>35</c:v>
                </c:pt>
                <c:pt idx="1">
                  <c:v>36</c:v>
                </c:pt>
                <c:pt idx="2">
                  <c:v>37</c:v>
                </c:pt>
                <c:pt idx="3">
                  <c:v>35</c:v>
                </c:pt>
                <c:pt idx="4">
                  <c:v>36</c:v>
                </c:pt>
                <c:pt idx="5">
                  <c:v>40</c:v>
                </c:pt>
                <c:pt idx="6">
                  <c:v>45</c:v>
                </c:pt>
                <c:pt idx="7">
                  <c:v>54</c:v>
                </c:pt>
                <c:pt idx="8">
                  <c:v>60</c:v>
                </c:pt>
                <c:pt idx="9">
                  <c:v>65</c:v>
                </c:pt>
                <c:pt idx="10">
                  <c:v>72</c:v>
                </c:pt>
                <c:pt idx="11">
                  <c:v>67</c:v>
                </c:pt>
                <c:pt idx="12">
                  <c:v>80</c:v>
                </c:pt>
                <c:pt idx="13">
                  <c:v>92</c:v>
                </c:pt>
                <c:pt idx="14">
                  <c:v>37</c:v>
                </c:pt>
                <c:pt idx="15">
                  <c:v>55</c:v>
                </c:pt>
                <c:pt idx="16">
                  <c:v>56</c:v>
                </c:pt>
                <c:pt idx="17">
                  <c:v>58</c:v>
                </c:pt>
                <c:pt idx="18">
                  <c:v>60</c:v>
                </c:pt>
                <c:pt idx="19">
                  <c:v>62</c:v>
                </c:pt>
                <c:pt idx="20">
                  <c:v>65</c:v>
                </c:pt>
                <c:pt idx="21">
                  <c:v>66</c:v>
                </c:pt>
                <c:pt idx="22">
                  <c:v>73</c:v>
                </c:pt>
                <c:pt idx="23">
                  <c:v>71</c:v>
                </c:pt>
                <c:pt idx="24">
                  <c:v>74</c:v>
                </c:pt>
                <c:pt idx="25">
                  <c:v>75</c:v>
                </c:pt>
                <c:pt idx="26">
                  <c:v>81</c:v>
                </c:pt>
                <c:pt idx="27">
                  <c:v>110</c:v>
                </c:pt>
                <c:pt idx="28">
                  <c:v>160</c:v>
                </c:pt>
                <c:pt idx="29">
                  <c:v>172</c:v>
                </c:pt>
                <c:pt idx="30">
                  <c:v>212</c:v>
                </c:pt>
                <c:pt idx="31">
                  <c:v>250</c:v>
                </c:pt>
                <c:pt idx="32">
                  <c:v>267</c:v>
                </c:pt>
                <c:pt idx="33">
                  <c:v>262</c:v>
                </c:pt>
                <c:pt idx="34">
                  <c:v>294</c:v>
                </c:pt>
                <c:pt idx="35">
                  <c:v>302</c:v>
                </c:pt>
                <c:pt idx="36">
                  <c:v>307</c:v>
                </c:pt>
                <c:pt idx="37">
                  <c:v>313</c:v>
                </c:pt>
                <c:pt idx="38">
                  <c:v>333</c:v>
                </c:pt>
                <c:pt idx="39">
                  <c:v>345</c:v>
                </c:pt>
                <c:pt idx="40">
                  <c:v>356</c:v>
                </c:pt>
                <c:pt idx="41">
                  <c:v>360</c:v>
                </c:pt>
                <c:pt idx="42">
                  <c:v>370</c:v>
                </c:pt>
                <c:pt idx="43">
                  <c:v>380</c:v>
                </c:pt>
                <c:pt idx="44">
                  <c:v>348</c:v>
                </c:pt>
                <c:pt idx="45">
                  <c:v>400</c:v>
                </c:pt>
                <c:pt idx="46">
                  <c:v>434</c:v>
                </c:pt>
                <c:pt idx="47">
                  <c:v>343</c:v>
                </c:pt>
                <c:pt idx="48">
                  <c:v>270</c:v>
                </c:pt>
                <c:pt idx="49">
                  <c:v>309</c:v>
                </c:pt>
                <c:pt idx="50" formatCode="_(* #,##0_);_(* \(#,##0\);_(* &quot;-&quot;??_);_(@_)">
                  <c:v>330</c:v>
                </c:pt>
                <c:pt idx="51" formatCode="_(* #,##0_);_(* \(#,##0\);_(* &quot;-&quot;??_);_(@_)">
                  <c:v>605.41200000000003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983056"/>
        <c:axId val="307983448"/>
      </c:lineChart>
      <c:catAx>
        <c:axId val="307983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3448"/>
        <c:crosses val="autoZero"/>
        <c:auto val="1"/>
        <c:lblAlgn val="ctr"/>
        <c:lblOffset val="100"/>
        <c:noMultiLvlLbl val="0"/>
      </c:catAx>
      <c:valAx>
        <c:axId val="30798344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305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3.8485277183954031E-2"/>
          <c:y val="0.8790878067757677"/>
          <c:w val="0.93957482776318635"/>
          <c:h val="8.4872522240372519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588464106834263E-2"/>
          <c:y val="0.15817287897377988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Aus!$C$18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Aus!$D$18:$BD$18</c:f>
              <c:numCache>
                <c:formatCode>General</c:formatCode>
                <c:ptCount val="53"/>
                <c:pt idx="0">
                  <c:v>163</c:v>
                </c:pt>
                <c:pt idx="1">
                  <c:v>255</c:v>
                </c:pt>
                <c:pt idx="2">
                  <c:v>279</c:v>
                </c:pt>
                <c:pt idx="3">
                  <c:v>215</c:v>
                </c:pt>
                <c:pt idx="4">
                  <c:v>195</c:v>
                </c:pt>
                <c:pt idx="5">
                  <c:v>195</c:v>
                </c:pt>
                <c:pt idx="6">
                  <c:v>319</c:v>
                </c:pt>
                <c:pt idx="7">
                  <c:v>288</c:v>
                </c:pt>
                <c:pt idx="8">
                  <c:v>294</c:v>
                </c:pt>
                <c:pt idx="9">
                  <c:v>547</c:v>
                </c:pt>
                <c:pt idx="10" formatCode="#,##0">
                  <c:v>1298</c:v>
                </c:pt>
                <c:pt idx="11" formatCode="#,##0">
                  <c:v>1228</c:v>
                </c:pt>
                <c:pt idx="12" formatCode="#,##0">
                  <c:v>1018</c:v>
                </c:pt>
                <c:pt idx="13" formatCode="#,##0">
                  <c:v>1061</c:v>
                </c:pt>
                <c:pt idx="14">
                  <c:v>901</c:v>
                </c:pt>
                <c:pt idx="15" formatCode="#,##0">
                  <c:v>1124</c:v>
                </c:pt>
                <c:pt idx="16">
                  <c:v>956</c:v>
                </c:pt>
                <c:pt idx="17">
                  <c:v>714</c:v>
                </c:pt>
                <c:pt idx="18" formatCode="#,##0">
                  <c:v>1125</c:v>
                </c:pt>
                <c:pt idx="19">
                  <c:v>922</c:v>
                </c:pt>
                <c:pt idx="20" formatCode="#,##0">
                  <c:v>1204</c:v>
                </c:pt>
                <c:pt idx="21" formatCode="#,##0">
                  <c:v>1317</c:v>
                </c:pt>
                <c:pt idx="22">
                  <c:v>958</c:v>
                </c:pt>
                <c:pt idx="23" formatCode="#,##0">
                  <c:v>1885</c:v>
                </c:pt>
                <c:pt idx="24" formatCode="#,##0">
                  <c:v>1369</c:v>
                </c:pt>
                <c:pt idx="25" formatCode="#,##0">
                  <c:v>1416</c:v>
                </c:pt>
                <c:pt idx="26" formatCode="#,##0">
                  <c:v>1422</c:v>
                </c:pt>
                <c:pt idx="27" formatCode="#,##0">
                  <c:v>1677</c:v>
                </c:pt>
                <c:pt idx="28" formatCode="#,##0">
                  <c:v>1283</c:v>
                </c:pt>
                <c:pt idx="29">
                  <c:v>971</c:v>
                </c:pt>
                <c:pt idx="30">
                  <c:v>775</c:v>
                </c:pt>
                <c:pt idx="31" formatCode="#,##0">
                  <c:v>1472</c:v>
                </c:pt>
                <c:pt idx="32">
                  <c:v>557</c:v>
                </c:pt>
                <c:pt idx="33">
                  <c:v>931</c:v>
                </c:pt>
                <c:pt idx="34" formatCode="#,##0">
                  <c:v>1272</c:v>
                </c:pt>
                <c:pt idx="35" formatCode="#,##0">
                  <c:v>1592</c:v>
                </c:pt>
                <c:pt idx="36" formatCode="#,##0">
                  <c:v>1425</c:v>
                </c:pt>
                <c:pt idx="37" formatCode="#,##0">
                  <c:v>1081</c:v>
                </c:pt>
                <c:pt idx="38" formatCode="#,##0">
                  <c:v>1891</c:v>
                </c:pt>
                <c:pt idx="39" formatCode="#,##0">
                  <c:v>2116</c:v>
                </c:pt>
                <c:pt idx="40" formatCode="#,##0">
                  <c:v>1935</c:v>
                </c:pt>
                <c:pt idx="41" formatCode="#,##0">
                  <c:v>2021</c:v>
                </c:pt>
                <c:pt idx="42" formatCode="#,##0">
                  <c:v>1465</c:v>
                </c:pt>
                <c:pt idx="43" formatCode="#,##0">
                  <c:v>2009</c:v>
                </c:pt>
                <c:pt idx="44" formatCode="#,##0">
                  <c:v>2011</c:v>
                </c:pt>
                <c:pt idx="45" formatCode="#,##0">
                  <c:v>1929</c:v>
                </c:pt>
                <c:pt idx="46" formatCode="#,##0">
                  <c:v>1283</c:v>
                </c:pt>
                <c:pt idx="47" formatCode="#,##0">
                  <c:v>3790</c:v>
                </c:pt>
                <c:pt idx="48" formatCode="#,##0">
                  <c:v>2690</c:v>
                </c:pt>
                <c:pt idx="49" formatCode="#,##0">
                  <c:v>1600</c:v>
                </c:pt>
                <c:pt idx="50" formatCode="_(* #,##0_);_(* \(#,##0\);_(* &quot;-&quot;??_);_(@_)">
                  <c:v>2400</c:v>
                </c:pt>
                <c:pt idx="51" formatCode="_(* #,##0_);_(* \(#,##0\);_(* &quot;-&quot;??_);_(@_)">
                  <c:v>1934.51</c:v>
                </c:pt>
                <c:pt idx="52" formatCode="_(* #,##0_);_(* \(#,##0\);_(* &quot;-&quot;??_);_(@_)">
                  <c:v>2238.9119999999998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Aus!$C$19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Aus!$D$19:$BD$19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238</c:v>
                </c:pt>
                <c:pt idx="34">
                  <c:v>44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4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Aus!$C$20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Aus!$D$20:$BD$20</c:f>
              <c:numCache>
                <c:formatCode>General</c:formatCode>
                <c:ptCount val="53"/>
                <c:pt idx="0">
                  <c:v>39</c:v>
                </c:pt>
                <c:pt idx="1">
                  <c:v>61</c:v>
                </c:pt>
                <c:pt idx="2">
                  <c:v>8</c:v>
                </c:pt>
                <c:pt idx="3">
                  <c:v>19</c:v>
                </c:pt>
                <c:pt idx="4">
                  <c:v>2</c:v>
                </c:pt>
                <c:pt idx="5">
                  <c:v>72</c:v>
                </c:pt>
                <c:pt idx="6">
                  <c:v>22</c:v>
                </c:pt>
                <c:pt idx="7">
                  <c:v>80</c:v>
                </c:pt>
                <c:pt idx="8">
                  <c:v>17</c:v>
                </c:pt>
                <c:pt idx="9">
                  <c:v>278</c:v>
                </c:pt>
                <c:pt idx="10" formatCode="#,##0">
                  <c:v>1087</c:v>
                </c:pt>
                <c:pt idx="11">
                  <c:v>692</c:v>
                </c:pt>
                <c:pt idx="12">
                  <c:v>633</c:v>
                </c:pt>
                <c:pt idx="13">
                  <c:v>984</c:v>
                </c:pt>
                <c:pt idx="14">
                  <c:v>897</c:v>
                </c:pt>
                <c:pt idx="15">
                  <c:v>972</c:v>
                </c:pt>
                <c:pt idx="16">
                  <c:v>490</c:v>
                </c:pt>
                <c:pt idx="17">
                  <c:v>231</c:v>
                </c:pt>
                <c:pt idx="18">
                  <c:v>669</c:v>
                </c:pt>
                <c:pt idx="19">
                  <c:v>506</c:v>
                </c:pt>
                <c:pt idx="20">
                  <c:v>856</c:v>
                </c:pt>
                <c:pt idx="21">
                  <c:v>961</c:v>
                </c:pt>
                <c:pt idx="22">
                  <c:v>282</c:v>
                </c:pt>
                <c:pt idx="23" formatCode="#,##0">
                  <c:v>1553</c:v>
                </c:pt>
                <c:pt idx="24" formatCode="#,##0">
                  <c:v>1086</c:v>
                </c:pt>
                <c:pt idx="25" formatCode="#,##0">
                  <c:v>1064</c:v>
                </c:pt>
                <c:pt idx="26">
                  <c:v>570</c:v>
                </c:pt>
                <c:pt idx="27">
                  <c:v>555</c:v>
                </c:pt>
                <c:pt idx="28">
                  <c:v>408</c:v>
                </c:pt>
                <c:pt idx="29">
                  <c:v>16</c:v>
                </c:pt>
                <c:pt idx="30">
                  <c:v>247</c:v>
                </c:pt>
                <c:pt idx="31">
                  <c:v>206</c:v>
                </c:pt>
                <c:pt idx="32">
                  <c:v>62</c:v>
                </c:pt>
                <c:pt idx="33">
                  <c:v>506</c:v>
                </c:pt>
                <c:pt idx="34">
                  <c:v>50</c:v>
                </c:pt>
                <c:pt idx="35">
                  <c:v>537</c:v>
                </c:pt>
                <c:pt idx="36">
                  <c:v>231</c:v>
                </c:pt>
                <c:pt idx="37">
                  <c:v>184</c:v>
                </c:pt>
                <c:pt idx="38">
                  <c:v>450</c:v>
                </c:pt>
                <c:pt idx="39">
                  <c:v>850</c:v>
                </c:pt>
                <c:pt idx="40">
                  <c:v>630</c:v>
                </c:pt>
                <c:pt idx="41">
                  <c:v>385</c:v>
                </c:pt>
                <c:pt idx="42">
                  <c:v>75</c:v>
                </c:pt>
                <c:pt idx="43">
                  <c:v>595</c:v>
                </c:pt>
                <c:pt idx="44">
                  <c:v>205</c:v>
                </c:pt>
                <c:pt idx="45">
                  <c:v>125</c:v>
                </c:pt>
                <c:pt idx="46">
                  <c:v>85</c:v>
                </c:pt>
                <c:pt idx="47">
                  <c:v>810</c:v>
                </c:pt>
                <c:pt idx="48" formatCode="#,##0">
                  <c:v>1000</c:v>
                </c:pt>
                <c:pt idx="49">
                  <c:v>350</c:v>
                </c:pt>
                <c:pt idx="50" formatCode="_(* #,##0_);_(* \(#,##0\);_(* &quot;-&quot;??_);_(@_)">
                  <c:v>1300</c:v>
                </c:pt>
                <c:pt idx="51" formatCode="_(* #,##0_);_(* \(#,##0\);_(* &quot;-&quot;??_);_(@_)">
                  <c:v>75.766000000000005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Aus!$C$21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Aus!$D$21:$BD$21</c:f>
              <c:numCache>
                <c:formatCode>General</c:formatCode>
                <c:ptCount val="53"/>
                <c:pt idx="0">
                  <c:v>124</c:v>
                </c:pt>
                <c:pt idx="1">
                  <c:v>194</c:v>
                </c:pt>
                <c:pt idx="2">
                  <c:v>271</c:v>
                </c:pt>
                <c:pt idx="3">
                  <c:v>196</c:v>
                </c:pt>
                <c:pt idx="4">
                  <c:v>193</c:v>
                </c:pt>
                <c:pt idx="5">
                  <c:v>123</c:v>
                </c:pt>
                <c:pt idx="6">
                  <c:v>297</c:v>
                </c:pt>
                <c:pt idx="7">
                  <c:v>208</c:v>
                </c:pt>
                <c:pt idx="8">
                  <c:v>243</c:v>
                </c:pt>
                <c:pt idx="9">
                  <c:v>268</c:v>
                </c:pt>
                <c:pt idx="10">
                  <c:v>222</c:v>
                </c:pt>
                <c:pt idx="11">
                  <c:v>500</c:v>
                </c:pt>
                <c:pt idx="12">
                  <c:v>299</c:v>
                </c:pt>
                <c:pt idx="13">
                  <c:v>115</c:v>
                </c:pt>
                <c:pt idx="14">
                  <c:v>89</c:v>
                </c:pt>
                <c:pt idx="15">
                  <c:v>116</c:v>
                </c:pt>
                <c:pt idx="16">
                  <c:v>372</c:v>
                </c:pt>
                <c:pt idx="17">
                  <c:v>456</c:v>
                </c:pt>
                <c:pt idx="18">
                  <c:v>502</c:v>
                </c:pt>
                <c:pt idx="19">
                  <c:v>367</c:v>
                </c:pt>
                <c:pt idx="20">
                  <c:v>466</c:v>
                </c:pt>
                <c:pt idx="21">
                  <c:v>366</c:v>
                </c:pt>
                <c:pt idx="22">
                  <c:v>701</c:v>
                </c:pt>
                <c:pt idx="23">
                  <c:v>304</c:v>
                </c:pt>
                <c:pt idx="24">
                  <c:v>331</c:v>
                </c:pt>
                <c:pt idx="25">
                  <c:v>288</c:v>
                </c:pt>
                <c:pt idx="26">
                  <c:v>926</c:v>
                </c:pt>
                <c:pt idx="27" formatCode="#,##0">
                  <c:v>1086</c:v>
                </c:pt>
                <c:pt idx="28">
                  <c:v>857</c:v>
                </c:pt>
                <c:pt idx="29">
                  <c:v>946</c:v>
                </c:pt>
                <c:pt idx="30">
                  <c:v>550</c:v>
                </c:pt>
                <c:pt idx="31" formatCode="#,##0">
                  <c:v>1217</c:v>
                </c:pt>
                <c:pt idx="32">
                  <c:v>495</c:v>
                </c:pt>
                <c:pt idx="33">
                  <c:v>653</c:v>
                </c:pt>
                <c:pt idx="34" formatCode="#,##0">
                  <c:v>1266</c:v>
                </c:pt>
                <c:pt idx="35" formatCode="#,##0">
                  <c:v>1055</c:v>
                </c:pt>
                <c:pt idx="36" formatCode="#,##0">
                  <c:v>1195</c:v>
                </c:pt>
                <c:pt idx="37">
                  <c:v>905</c:v>
                </c:pt>
                <c:pt idx="38" formatCode="#,##0">
                  <c:v>1405</c:v>
                </c:pt>
                <c:pt idx="39" formatCode="#,##0">
                  <c:v>1305</c:v>
                </c:pt>
                <c:pt idx="40" formatCode="#,##0">
                  <c:v>1305</c:v>
                </c:pt>
                <c:pt idx="41" formatCode="#,##0">
                  <c:v>1655</c:v>
                </c:pt>
                <c:pt idx="42" formatCode="#,##0">
                  <c:v>1405</c:v>
                </c:pt>
                <c:pt idx="43" formatCode="#,##0">
                  <c:v>1405</c:v>
                </c:pt>
                <c:pt idx="44" formatCode="#,##0">
                  <c:v>1755</c:v>
                </c:pt>
                <c:pt idx="45" formatCode="#,##0">
                  <c:v>1895</c:v>
                </c:pt>
                <c:pt idx="46" formatCode="#,##0">
                  <c:v>1205</c:v>
                </c:pt>
                <c:pt idx="47" formatCode="#,##0">
                  <c:v>2205</c:v>
                </c:pt>
                <c:pt idx="48" formatCode="#,##0">
                  <c:v>1805</c:v>
                </c:pt>
                <c:pt idx="49" formatCode="#,##0">
                  <c:v>1205</c:v>
                </c:pt>
                <c:pt idx="50" formatCode="_(* #,##0_);_(* \(#,##0\);_(* &quot;-&quot;??_);_(@_)">
                  <c:v>1405</c:v>
                </c:pt>
                <c:pt idx="51" formatCode="_(* #,##0_);_(* \(#,##0\);_(* &quot;-&quot;??_);_(@_)">
                  <c:v>1862.7439999999999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986584"/>
        <c:axId val="307984232"/>
      </c:lineChart>
      <c:catAx>
        <c:axId val="3079865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4232"/>
        <c:crosses val="autoZero"/>
        <c:auto val="1"/>
        <c:lblAlgn val="ctr"/>
        <c:lblOffset val="100"/>
        <c:noMultiLvlLbl val="0"/>
      </c:catAx>
      <c:valAx>
        <c:axId val="30798423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798658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3.8485277183954059E-2"/>
          <c:y val="0.8790878067757677"/>
          <c:w val="0.93957482776318668"/>
          <c:h val="8.4872522240372547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588464106834263E-2"/>
          <c:y val="0.15817287897377982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Aus!$C$22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Aus!$D$22:$BD$22</c:f>
              <c:numCache>
                <c:formatCode>#,##0</c:formatCode>
                <c:ptCount val="53"/>
                <c:pt idx="0">
                  <c:v>9730.2960000000003</c:v>
                </c:pt>
                <c:pt idx="1">
                  <c:v>12940.300999999999</c:v>
                </c:pt>
                <c:pt idx="2">
                  <c:v>12312.569</c:v>
                </c:pt>
                <c:pt idx="3">
                  <c:v>15312.357</c:v>
                </c:pt>
                <c:pt idx="4">
                  <c:v>14382.227000000001</c:v>
                </c:pt>
                <c:pt idx="5">
                  <c:v>16952.687999999998</c:v>
                </c:pt>
                <c:pt idx="6">
                  <c:v>17025.232</c:v>
                </c:pt>
                <c:pt idx="7">
                  <c:v>18708.304</c:v>
                </c:pt>
                <c:pt idx="8">
                  <c:v>15784.353999999999</c:v>
                </c:pt>
                <c:pt idx="9">
                  <c:v>17644.815999999999</c:v>
                </c:pt>
                <c:pt idx="10">
                  <c:v>19390.511999999999</c:v>
                </c:pt>
                <c:pt idx="11">
                  <c:v>18928.304</c:v>
                </c:pt>
                <c:pt idx="12">
                  <c:v>19278</c:v>
                </c:pt>
                <c:pt idx="13">
                  <c:v>20417.808000000001</c:v>
                </c:pt>
                <c:pt idx="14">
                  <c:v>21959.008000000002</c:v>
                </c:pt>
                <c:pt idx="15">
                  <c:v>23343.552</c:v>
                </c:pt>
                <c:pt idx="16">
                  <c:v>23493.151999999998</c:v>
                </c:pt>
                <c:pt idx="17">
                  <c:v>21457.008000000002</c:v>
                </c:pt>
                <c:pt idx="18">
                  <c:v>21151.072</c:v>
                </c:pt>
                <c:pt idx="19">
                  <c:v>23975.648000000001</c:v>
                </c:pt>
                <c:pt idx="20">
                  <c:v>25039.808000000001</c:v>
                </c:pt>
                <c:pt idx="21">
                  <c:v>24817.103999999999</c:v>
                </c:pt>
                <c:pt idx="22">
                  <c:v>24191.168000000001</c:v>
                </c:pt>
                <c:pt idx="23">
                  <c:v>25450.304</c:v>
                </c:pt>
                <c:pt idx="24">
                  <c:v>24401.599999999999</c:v>
                </c:pt>
                <c:pt idx="25">
                  <c:v>24742</c:v>
                </c:pt>
                <c:pt idx="26">
                  <c:v>24831.68</c:v>
                </c:pt>
                <c:pt idx="27">
                  <c:v>27145.968000000001</c:v>
                </c:pt>
                <c:pt idx="28">
                  <c:v>26940.335999999999</c:v>
                </c:pt>
                <c:pt idx="29">
                  <c:v>24369.936000000002</c:v>
                </c:pt>
                <c:pt idx="30">
                  <c:v>21366</c:v>
                </c:pt>
                <c:pt idx="31">
                  <c:v>20641</c:v>
                </c:pt>
                <c:pt idx="32">
                  <c:v>27959</c:v>
                </c:pt>
                <c:pt idx="33">
                  <c:v>31312</c:v>
                </c:pt>
                <c:pt idx="34">
                  <c:v>34943</c:v>
                </c:pt>
                <c:pt idx="35">
                  <c:v>37436</c:v>
                </c:pt>
                <c:pt idx="36">
                  <c:v>39938</c:v>
                </c:pt>
                <c:pt idx="37">
                  <c:v>41064</c:v>
                </c:pt>
                <c:pt idx="38">
                  <c:v>39699</c:v>
                </c:pt>
                <c:pt idx="39">
                  <c:v>3814.6880000000001</c:v>
                </c:pt>
                <c:pt idx="40">
                  <c:v>281160</c:v>
                </c:pt>
                <c:pt idx="41">
                  <c:v>31424</c:v>
                </c:pt>
                <c:pt idx="42">
                  <c:v>36995</c:v>
                </c:pt>
                <c:pt idx="43">
                  <c:v>36993.453999999998</c:v>
                </c:pt>
                <c:pt idx="44">
                  <c:v>37822.192000000003</c:v>
                </c:pt>
                <c:pt idx="45">
                  <c:v>37128</c:v>
                </c:pt>
                <c:pt idx="46">
                  <c:v>36397</c:v>
                </c:pt>
                <c:pt idx="47">
                  <c:v>32621.113000000001</c:v>
                </c:pt>
                <c:pt idx="48">
                  <c:v>30284</c:v>
                </c:pt>
                <c:pt idx="49">
                  <c:v>31457</c:v>
                </c:pt>
                <c:pt idx="50" formatCode="_(* #,##0_);_(* \(#,##0\);_(* &quot;-&quot;??_);_(@_)">
                  <c:v>25181.813999999998</c:v>
                </c:pt>
                <c:pt idx="51" formatCode="_(* #,##0_);_(* \(#,##0\);_(* &quot;-&quot;??_);_(@_)">
                  <c:v>25957.093000000001</c:v>
                </c:pt>
                <c:pt idx="52" formatCode="_(* #,##0_);_(* \(#,##0\);_(* &quot;-&quot;??_);_(@_)">
                  <c:v>27136.081999999999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Aus!$C$23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Aus!$D$23:$BD$23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14</c:v>
                </c:pt>
                <c:pt idx="31">
                  <c:v>12</c:v>
                </c:pt>
                <c:pt idx="32">
                  <c:v>9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  <c:pt idx="38">
                  <c:v>4</c:v>
                </c:pt>
                <c:pt idx="39">
                  <c:v>5</c:v>
                </c:pt>
                <c:pt idx="40">
                  <c:v>5</c:v>
                </c:pt>
                <c:pt idx="41">
                  <c:v>5</c:v>
                </c:pt>
                <c:pt idx="42">
                  <c:v>8</c:v>
                </c:pt>
                <c:pt idx="43">
                  <c:v>10</c:v>
                </c:pt>
                <c:pt idx="44">
                  <c:v>9</c:v>
                </c:pt>
                <c:pt idx="45">
                  <c:v>9</c:v>
                </c:pt>
                <c:pt idx="46">
                  <c:v>9</c:v>
                </c:pt>
                <c:pt idx="47">
                  <c:v>9</c:v>
                </c:pt>
                <c:pt idx="48">
                  <c:v>45</c:v>
                </c:pt>
                <c:pt idx="49">
                  <c:v>76</c:v>
                </c:pt>
                <c:pt idx="50" formatCode="_(* #,##0_);_(* \(#,##0\);_(* &quot;-&quot;??_);_(@_)">
                  <c:v>80</c:v>
                </c:pt>
                <c:pt idx="51" formatCode="_(* #,##0_);_(* \(#,##0\);_(* &quot;-&quot;??_);_(@_)">
                  <c:v>102.367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Aus!$C$24</c:f>
              <c:strCache>
                <c:ptCount val="1"/>
                <c:pt idx="0">
                  <c:v>Total 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Aus!$D$24:$BD$24</c:f>
              <c:numCache>
                <c:formatCode>General</c:formatCode>
                <c:ptCount val="53"/>
                <c:pt idx="0">
                  <c:v>802</c:v>
                </c:pt>
                <c:pt idx="1">
                  <c:v>947</c:v>
                </c:pt>
                <c:pt idx="2">
                  <c:v>850</c:v>
                </c:pt>
                <c:pt idx="3" formatCode="#,##0">
                  <c:v>1155</c:v>
                </c:pt>
                <c:pt idx="4" formatCode="#,##0">
                  <c:v>1194</c:v>
                </c:pt>
                <c:pt idx="5" formatCode="#,##0">
                  <c:v>1320</c:v>
                </c:pt>
                <c:pt idx="6" formatCode="#,##0">
                  <c:v>1865</c:v>
                </c:pt>
                <c:pt idx="7" formatCode="#,##0">
                  <c:v>1724</c:v>
                </c:pt>
                <c:pt idx="8" formatCode="#,##0">
                  <c:v>2170</c:v>
                </c:pt>
                <c:pt idx="9" formatCode="#,##0">
                  <c:v>1523</c:v>
                </c:pt>
                <c:pt idx="10" formatCode="#,##0">
                  <c:v>1817</c:v>
                </c:pt>
                <c:pt idx="11" formatCode="#,##0">
                  <c:v>2170</c:v>
                </c:pt>
                <c:pt idx="12" formatCode="#,##0">
                  <c:v>1938</c:v>
                </c:pt>
                <c:pt idx="13" formatCode="#,##0">
                  <c:v>1940</c:v>
                </c:pt>
                <c:pt idx="14" formatCode="#,##0">
                  <c:v>1950</c:v>
                </c:pt>
                <c:pt idx="15" formatCode="#,##0">
                  <c:v>2114</c:v>
                </c:pt>
                <c:pt idx="16" formatCode="#,##0">
                  <c:v>2619</c:v>
                </c:pt>
                <c:pt idx="17" formatCode="#,##0">
                  <c:v>2580</c:v>
                </c:pt>
                <c:pt idx="18" formatCode="#,##0">
                  <c:v>2036</c:v>
                </c:pt>
                <c:pt idx="19" formatCode="#,##0">
                  <c:v>2318</c:v>
                </c:pt>
                <c:pt idx="20" formatCode="#,##0">
                  <c:v>2595</c:v>
                </c:pt>
                <c:pt idx="21" formatCode="#,##0">
                  <c:v>2468</c:v>
                </c:pt>
                <c:pt idx="22" formatCode="#,##0">
                  <c:v>2696</c:v>
                </c:pt>
                <c:pt idx="23" formatCode="#,##0">
                  <c:v>2605</c:v>
                </c:pt>
                <c:pt idx="24" formatCode="#,##0">
                  <c:v>2681</c:v>
                </c:pt>
                <c:pt idx="25" formatCode="#,##0">
                  <c:v>2858</c:v>
                </c:pt>
                <c:pt idx="26" formatCode="#,##0">
                  <c:v>2658</c:v>
                </c:pt>
                <c:pt idx="27" formatCode="#,##0">
                  <c:v>2797</c:v>
                </c:pt>
                <c:pt idx="28" formatCode="#,##0">
                  <c:v>2860</c:v>
                </c:pt>
                <c:pt idx="29" formatCode="#,##0">
                  <c:v>2927</c:v>
                </c:pt>
                <c:pt idx="30" formatCode="#,##0">
                  <c:v>2819</c:v>
                </c:pt>
                <c:pt idx="31" formatCode="#,##0">
                  <c:v>2345</c:v>
                </c:pt>
                <c:pt idx="32" formatCode="#,##0">
                  <c:v>3476</c:v>
                </c:pt>
                <c:pt idx="33" formatCode="#,##0">
                  <c:v>3663</c:v>
                </c:pt>
                <c:pt idx="34" formatCode="#,##0">
                  <c:v>4321</c:v>
                </c:pt>
                <c:pt idx="35" formatCode="#,##0">
                  <c:v>4242</c:v>
                </c:pt>
                <c:pt idx="36" formatCode="#,##0">
                  <c:v>4564</c:v>
                </c:pt>
                <c:pt idx="37" formatCode="#,##0">
                  <c:v>4554</c:v>
                </c:pt>
                <c:pt idx="38" formatCode="#,##0">
                  <c:v>4076</c:v>
                </c:pt>
                <c:pt idx="39" formatCode="#,##0">
                  <c:v>4123</c:v>
                </c:pt>
                <c:pt idx="40" formatCode="#,##0">
                  <c:v>3056</c:v>
                </c:pt>
                <c:pt idx="41" formatCode="#,##0">
                  <c:v>3594</c:v>
                </c:pt>
                <c:pt idx="42" formatCode="#,##0">
                  <c:v>4114</c:v>
                </c:pt>
                <c:pt idx="43" formatCode="#,##0">
                  <c:v>4157</c:v>
                </c:pt>
                <c:pt idx="44" formatCode="#,##0">
                  <c:v>4447</c:v>
                </c:pt>
                <c:pt idx="45" formatCode="#,##0">
                  <c:v>4208</c:v>
                </c:pt>
                <c:pt idx="46" formatCode="#,##0">
                  <c:v>3860</c:v>
                </c:pt>
                <c:pt idx="47" formatCode="#,##0">
                  <c:v>3700</c:v>
                </c:pt>
                <c:pt idx="48" formatCode="#,##0">
                  <c:v>3522</c:v>
                </c:pt>
                <c:pt idx="49" formatCode="#,##0">
                  <c:v>3600</c:v>
                </c:pt>
                <c:pt idx="50" formatCode="_(* #,##0_);_(* \(#,##0\);_(* &quot;-&quot;??_);_(@_)">
                  <c:v>3750</c:v>
                </c:pt>
                <c:pt idx="51" formatCode="_(* #,##0_);_(* \(#,##0\);_(* &quot;-&quot;??_);_(@_)">
                  <c:v>1711.4880000000001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Aus!$C$25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Aus!$D$25:$BD$25</c:f>
              <c:numCache>
                <c:formatCode>#,##0</c:formatCode>
                <c:ptCount val="53"/>
                <c:pt idx="0">
                  <c:v>8928.2960000000003</c:v>
                </c:pt>
                <c:pt idx="1">
                  <c:v>11993.300999999999</c:v>
                </c:pt>
                <c:pt idx="2">
                  <c:v>11462.569</c:v>
                </c:pt>
                <c:pt idx="3">
                  <c:v>14157.357</c:v>
                </c:pt>
                <c:pt idx="4">
                  <c:v>13188.227000000001</c:v>
                </c:pt>
                <c:pt idx="5">
                  <c:v>15632.687999999998</c:v>
                </c:pt>
                <c:pt idx="6">
                  <c:v>15160.232</c:v>
                </c:pt>
                <c:pt idx="7">
                  <c:v>16984.304</c:v>
                </c:pt>
                <c:pt idx="8">
                  <c:v>13614.353999999999</c:v>
                </c:pt>
                <c:pt idx="9">
                  <c:v>16121.815999999999</c:v>
                </c:pt>
                <c:pt idx="10">
                  <c:v>17573.511999999999</c:v>
                </c:pt>
                <c:pt idx="11">
                  <c:v>16758.304</c:v>
                </c:pt>
                <c:pt idx="12">
                  <c:v>17340</c:v>
                </c:pt>
                <c:pt idx="13">
                  <c:v>18477.808000000001</c:v>
                </c:pt>
                <c:pt idx="14">
                  <c:v>20009.008000000002</c:v>
                </c:pt>
                <c:pt idx="15">
                  <c:v>21229.552</c:v>
                </c:pt>
                <c:pt idx="16">
                  <c:v>20874.151999999998</c:v>
                </c:pt>
                <c:pt idx="17">
                  <c:v>18877.008000000002</c:v>
                </c:pt>
                <c:pt idx="18">
                  <c:v>19115.072</c:v>
                </c:pt>
                <c:pt idx="19">
                  <c:v>21657.648000000001</c:v>
                </c:pt>
                <c:pt idx="20">
                  <c:v>22444.808000000001</c:v>
                </c:pt>
                <c:pt idx="21">
                  <c:v>22349.103999999999</c:v>
                </c:pt>
                <c:pt idx="22">
                  <c:v>21495.168000000001</c:v>
                </c:pt>
                <c:pt idx="23">
                  <c:v>22845.304</c:v>
                </c:pt>
                <c:pt idx="24">
                  <c:v>21720.6</c:v>
                </c:pt>
                <c:pt idx="25">
                  <c:v>21884</c:v>
                </c:pt>
                <c:pt idx="26">
                  <c:v>22173.68</c:v>
                </c:pt>
                <c:pt idx="27">
                  <c:v>24348.968000000001</c:v>
                </c:pt>
                <c:pt idx="28">
                  <c:v>24080.335999999999</c:v>
                </c:pt>
                <c:pt idx="29">
                  <c:v>21442.936000000002</c:v>
                </c:pt>
                <c:pt idx="30">
                  <c:v>18561</c:v>
                </c:pt>
                <c:pt idx="31">
                  <c:v>18308</c:v>
                </c:pt>
                <c:pt idx="32">
                  <c:v>24492</c:v>
                </c:pt>
                <c:pt idx="33">
                  <c:v>27651</c:v>
                </c:pt>
                <c:pt idx="34">
                  <c:v>30624</c:v>
                </c:pt>
                <c:pt idx="35">
                  <c:v>33196</c:v>
                </c:pt>
                <c:pt idx="36">
                  <c:v>35376</c:v>
                </c:pt>
                <c:pt idx="37">
                  <c:v>36512</c:v>
                </c:pt>
                <c:pt idx="38">
                  <c:v>35627</c:v>
                </c:pt>
                <c:pt idx="39">
                  <c:v>-303.3119999999999</c:v>
                </c:pt>
                <c:pt idx="40">
                  <c:v>278109</c:v>
                </c:pt>
                <c:pt idx="41">
                  <c:v>27835</c:v>
                </c:pt>
                <c:pt idx="42">
                  <c:v>32889</c:v>
                </c:pt>
                <c:pt idx="43">
                  <c:v>32846.453999999998</c:v>
                </c:pt>
                <c:pt idx="44">
                  <c:v>33384.192000000003</c:v>
                </c:pt>
                <c:pt idx="45">
                  <c:v>32929</c:v>
                </c:pt>
                <c:pt idx="46">
                  <c:v>32546</c:v>
                </c:pt>
                <c:pt idx="47">
                  <c:v>28930.113000000001</c:v>
                </c:pt>
                <c:pt idx="48">
                  <c:v>26807</c:v>
                </c:pt>
                <c:pt idx="49">
                  <c:v>27933</c:v>
                </c:pt>
                <c:pt idx="50" formatCode="_(* #,##0_);_(* \(#,##0\);_(* &quot;-&quot;??_);_(@_)">
                  <c:v>21511.813999999998</c:v>
                </c:pt>
                <c:pt idx="51" formatCode="_(* #,##0_);_(* \(#,##0\);_(* &quot;-&quot;??_);_(@_)">
                  <c:v>24347.971999999998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607480"/>
        <c:axId val="308600816"/>
      </c:lineChart>
      <c:catAx>
        <c:axId val="308607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0816"/>
        <c:crosses val="autoZero"/>
        <c:auto val="1"/>
        <c:lblAlgn val="ctr"/>
        <c:lblOffset val="100"/>
        <c:noMultiLvlLbl val="0"/>
      </c:catAx>
      <c:valAx>
        <c:axId val="30860081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748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3.8485277183954079E-2"/>
          <c:y val="0.8790878067757677"/>
          <c:w val="0.9395748277631869"/>
          <c:h val="8.4872522240372547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588464106834263E-2"/>
          <c:y val="0.1581728789737797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Aus!$C$26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Aus!$D$26:$BD$26</c:f>
              <c:numCache>
                <c:formatCode>#,##0</c:formatCode>
                <c:ptCount val="53"/>
                <c:pt idx="0">
                  <c:v>7450</c:v>
                </c:pt>
                <c:pt idx="1">
                  <c:v>6727</c:v>
                </c:pt>
                <c:pt idx="2">
                  <c:v>8353</c:v>
                </c:pt>
                <c:pt idx="3">
                  <c:v>8925</c:v>
                </c:pt>
                <c:pt idx="4">
                  <c:v>10037</c:v>
                </c:pt>
                <c:pt idx="5">
                  <c:v>7067</c:v>
                </c:pt>
                <c:pt idx="6">
                  <c:v>12699</c:v>
                </c:pt>
                <c:pt idx="7">
                  <c:v>7547</c:v>
                </c:pt>
                <c:pt idx="8">
                  <c:v>14804</c:v>
                </c:pt>
                <c:pt idx="9">
                  <c:v>10546</c:v>
                </c:pt>
                <c:pt idx="10">
                  <c:v>7890</c:v>
                </c:pt>
                <c:pt idx="11">
                  <c:v>8606</c:v>
                </c:pt>
                <c:pt idx="12">
                  <c:v>6590</c:v>
                </c:pt>
                <c:pt idx="13">
                  <c:v>11987</c:v>
                </c:pt>
                <c:pt idx="14">
                  <c:v>11357</c:v>
                </c:pt>
                <c:pt idx="15">
                  <c:v>11982</c:v>
                </c:pt>
                <c:pt idx="16">
                  <c:v>11800</c:v>
                </c:pt>
                <c:pt idx="17">
                  <c:v>9370</c:v>
                </c:pt>
                <c:pt idx="18">
                  <c:v>18090</c:v>
                </c:pt>
                <c:pt idx="19">
                  <c:v>16188</c:v>
                </c:pt>
                <c:pt idx="20">
                  <c:v>10856</c:v>
                </c:pt>
                <c:pt idx="21">
                  <c:v>16360</c:v>
                </c:pt>
                <c:pt idx="22">
                  <c:v>8876</c:v>
                </c:pt>
                <c:pt idx="23">
                  <c:v>22016</c:v>
                </c:pt>
                <c:pt idx="24">
                  <c:v>18666</c:v>
                </c:pt>
                <c:pt idx="25">
                  <c:v>16167</c:v>
                </c:pt>
                <c:pt idx="26">
                  <c:v>16119</c:v>
                </c:pt>
                <c:pt idx="27">
                  <c:v>12369</c:v>
                </c:pt>
                <c:pt idx="28">
                  <c:v>14060</c:v>
                </c:pt>
                <c:pt idx="29">
                  <c:v>14214</c:v>
                </c:pt>
                <c:pt idx="30">
                  <c:v>15066</c:v>
                </c:pt>
                <c:pt idx="31">
                  <c:v>10557</c:v>
                </c:pt>
                <c:pt idx="32">
                  <c:v>16184</c:v>
                </c:pt>
                <c:pt idx="33">
                  <c:v>16479</c:v>
                </c:pt>
                <c:pt idx="34">
                  <c:v>8903</c:v>
                </c:pt>
                <c:pt idx="35">
                  <c:v>16504</c:v>
                </c:pt>
                <c:pt idx="36">
                  <c:v>22925</c:v>
                </c:pt>
                <c:pt idx="37">
                  <c:v>19224</c:v>
                </c:pt>
                <c:pt idx="38">
                  <c:v>21465</c:v>
                </c:pt>
                <c:pt idx="39">
                  <c:v>24757</c:v>
                </c:pt>
                <c:pt idx="40">
                  <c:v>22108</c:v>
                </c:pt>
                <c:pt idx="41">
                  <c:v>24299</c:v>
                </c:pt>
                <c:pt idx="42">
                  <c:v>10132</c:v>
                </c:pt>
                <c:pt idx="43">
                  <c:v>26132</c:v>
                </c:pt>
                <c:pt idx="44">
                  <c:v>21905</c:v>
                </c:pt>
                <c:pt idx="45">
                  <c:v>25173</c:v>
                </c:pt>
                <c:pt idx="46">
                  <c:v>10822</c:v>
                </c:pt>
                <c:pt idx="47">
                  <c:v>13569</c:v>
                </c:pt>
                <c:pt idx="48">
                  <c:v>21420</c:v>
                </c:pt>
                <c:pt idx="49">
                  <c:v>21923</c:v>
                </c:pt>
                <c:pt idx="50" formatCode="_(* #,##0_);_(* \(#,##0\);_(* &quot;-&quot;??_);_(@_)">
                  <c:v>26000</c:v>
                </c:pt>
                <c:pt idx="51" formatCode="_(* #,##0_);_(* \(#,##0\);_(* &quot;-&quot;??_);_(@_)">
                  <c:v>27410.076000000001</c:v>
                </c:pt>
                <c:pt idx="52" formatCode="_(* #,##0_);_(* \(#,##0\);_(* &quot;-&quot;??_);_(@_)">
                  <c:v>29905.008999999998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Aus!$C$27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Aus!$D$27:$BD$27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7</c:v>
                </c:pt>
                <c:pt idx="27">
                  <c:v>11</c:v>
                </c:pt>
                <c:pt idx="28">
                  <c:v>14</c:v>
                </c:pt>
                <c:pt idx="29">
                  <c:v>11</c:v>
                </c:pt>
                <c:pt idx="30">
                  <c:v>18</c:v>
                </c:pt>
                <c:pt idx="31">
                  <c:v>22</c:v>
                </c:pt>
                <c:pt idx="32">
                  <c:v>28</c:v>
                </c:pt>
                <c:pt idx="33">
                  <c:v>29</c:v>
                </c:pt>
                <c:pt idx="34">
                  <c:v>53</c:v>
                </c:pt>
                <c:pt idx="35">
                  <c:v>46</c:v>
                </c:pt>
                <c:pt idx="36">
                  <c:v>52</c:v>
                </c:pt>
                <c:pt idx="37">
                  <c:v>45</c:v>
                </c:pt>
                <c:pt idx="38">
                  <c:v>56</c:v>
                </c:pt>
                <c:pt idx="39">
                  <c:v>61</c:v>
                </c:pt>
                <c:pt idx="40">
                  <c:v>72</c:v>
                </c:pt>
                <c:pt idx="41">
                  <c:v>72</c:v>
                </c:pt>
                <c:pt idx="42">
                  <c:v>282</c:v>
                </c:pt>
                <c:pt idx="43">
                  <c:v>75</c:v>
                </c:pt>
                <c:pt idx="44">
                  <c:v>78</c:v>
                </c:pt>
                <c:pt idx="45">
                  <c:v>82</c:v>
                </c:pt>
                <c:pt idx="46">
                  <c:v>94</c:v>
                </c:pt>
                <c:pt idx="47">
                  <c:v>116</c:v>
                </c:pt>
                <c:pt idx="48">
                  <c:v>114</c:v>
                </c:pt>
                <c:pt idx="49">
                  <c:v>110</c:v>
                </c:pt>
                <c:pt idx="50" formatCode="_(* #,##0_);_(* \(#,##0\);_(* &quot;-&quot;??_);_(@_)">
                  <c:v>100</c:v>
                </c:pt>
                <c:pt idx="51" formatCode="_(* #,##0_);_(* \(#,##0\);_(* &quot;-&quot;??_);_(@_)">
                  <c:v>113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Aus!$C$28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Aus!$D$28:$BD$28</c:f>
              <c:numCache>
                <c:formatCode>#,##0</c:formatCode>
                <c:ptCount val="53"/>
                <c:pt idx="0">
                  <c:v>6456</c:v>
                </c:pt>
                <c:pt idx="1">
                  <c:v>4950</c:v>
                </c:pt>
                <c:pt idx="2">
                  <c:v>6148</c:v>
                </c:pt>
                <c:pt idx="3">
                  <c:v>6986</c:v>
                </c:pt>
                <c:pt idx="4">
                  <c:v>7321</c:v>
                </c:pt>
                <c:pt idx="5">
                  <c:v>4691</c:v>
                </c:pt>
                <c:pt idx="6">
                  <c:v>8497</c:v>
                </c:pt>
                <c:pt idx="7">
                  <c:v>5654</c:v>
                </c:pt>
                <c:pt idx="8">
                  <c:v>6371</c:v>
                </c:pt>
                <c:pt idx="9">
                  <c:v>8047</c:v>
                </c:pt>
                <c:pt idx="10">
                  <c:v>9145</c:v>
                </c:pt>
                <c:pt idx="11">
                  <c:v>7788</c:v>
                </c:pt>
                <c:pt idx="12">
                  <c:v>4281</c:v>
                </c:pt>
                <c:pt idx="13">
                  <c:v>7031</c:v>
                </c:pt>
                <c:pt idx="14">
                  <c:v>8562</c:v>
                </c:pt>
                <c:pt idx="15">
                  <c:v>8663</c:v>
                </c:pt>
                <c:pt idx="16">
                  <c:v>9485</c:v>
                </c:pt>
                <c:pt idx="17">
                  <c:v>8098</c:v>
                </c:pt>
                <c:pt idx="18">
                  <c:v>11693</c:v>
                </c:pt>
                <c:pt idx="19">
                  <c:v>13197</c:v>
                </c:pt>
                <c:pt idx="20">
                  <c:v>9577</c:v>
                </c:pt>
                <c:pt idx="21">
                  <c:v>11008</c:v>
                </c:pt>
                <c:pt idx="22">
                  <c:v>8041</c:v>
                </c:pt>
                <c:pt idx="23">
                  <c:v>13640</c:v>
                </c:pt>
                <c:pt idx="24">
                  <c:v>14032</c:v>
                </c:pt>
                <c:pt idx="25">
                  <c:v>16022</c:v>
                </c:pt>
                <c:pt idx="26">
                  <c:v>15562</c:v>
                </c:pt>
                <c:pt idx="27">
                  <c:v>9850</c:v>
                </c:pt>
                <c:pt idx="28">
                  <c:v>11295</c:v>
                </c:pt>
                <c:pt idx="29">
                  <c:v>10767</c:v>
                </c:pt>
                <c:pt idx="30">
                  <c:v>11760</c:v>
                </c:pt>
                <c:pt idx="31">
                  <c:v>7103</c:v>
                </c:pt>
                <c:pt idx="32">
                  <c:v>9853</c:v>
                </c:pt>
                <c:pt idx="33">
                  <c:v>13707</c:v>
                </c:pt>
                <c:pt idx="34">
                  <c:v>6354</c:v>
                </c:pt>
                <c:pt idx="35">
                  <c:v>13311</c:v>
                </c:pt>
                <c:pt idx="36">
                  <c:v>19225</c:v>
                </c:pt>
                <c:pt idx="37">
                  <c:v>15343</c:v>
                </c:pt>
                <c:pt idx="38">
                  <c:v>16473</c:v>
                </c:pt>
                <c:pt idx="39">
                  <c:v>17844</c:v>
                </c:pt>
                <c:pt idx="40">
                  <c:v>15930</c:v>
                </c:pt>
                <c:pt idx="41">
                  <c:v>16409</c:v>
                </c:pt>
                <c:pt idx="42">
                  <c:v>9146</c:v>
                </c:pt>
                <c:pt idx="43">
                  <c:v>18031</c:v>
                </c:pt>
                <c:pt idx="44">
                  <c:v>14722</c:v>
                </c:pt>
                <c:pt idx="45">
                  <c:v>16012</c:v>
                </c:pt>
                <c:pt idx="46">
                  <c:v>8728</c:v>
                </c:pt>
                <c:pt idx="47">
                  <c:v>7487</c:v>
                </c:pt>
                <c:pt idx="48">
                  <c:v>14747</c:v>
                </c:pt>
                <c:pt idx="49">
                  <c:v>14790</c:v>
                </c:pt>
                <c:pt idx="50" formatCode="_(* #,##0_);_(* \(#,##0\);_(* &quot;-&quot;??_);_(@_)">
                  <c:v>14500</c:v>
                </c:pt>
                <c:pt idx="51" formatCode="_(* #,##0_);_(* \(#,##0\);_(* &quot;-&quot;??_);_(@_)">
                  <c:v>17657.181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Aus!$C$29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Aus!$D$1:$BD$1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Aus!$D$29:$BD$29</c:f>
              <c:numCache>
                <c:formatCode>#,##0</c:formatCode>
                <c:ptCount val="53"/>
                <c:pt idx="0">
                  <c:v>1982</c:v>
                </c:pt>
                <c:pt idx="1">
                  <c:v>1959</c:v>
                </c:pt>
                <c:pt idx="2">
                  <c:v>2053</c:v>
                </c:pt>
                <c:pt idx="3">
                  <c:v>2018</c:v>
                </c:pt>
                <c:pt idx="4">
                  <c:v>2607</c:v>
                </c:pt>
                <c:pt idx="5">
                  <c:v>2591</c:v>
                </c:pt>
                <c:pt idx="6">
                  <c:v>2460</c:v>
                </c:pt>
                <c:pt idx="7">
                  <c:v>2672</c:v>
                </c:pt>
                <c:pt idx="8">
                  <c:v>2584</c:v>
                </c:pt>
                <c:pt idx="9">
                  <c:v>2540</c:v>
                </c:pt>
                <c:pt idx="10">
                  <c:v>2625</c:v>
                </c:pt>
                <c:pt idx="11">
                  <c:v>2899</c:v>
                </c:pt>
                <c:pt idx="12">
                  <c:v>3328</c:v>
                </c:pt>
                <c:pt idx="13">
                  <c:v>3539</c:v>
                </c:pt>
                <c:pt idx="14">
                  <c:v>3119</c:v>
                </c:pt>
                <c:pt idx="15">
                  <c:v>2312</c:v>
                </c:pt>
                <c:pt idx="16">
                  <c:v>2843</c:v>
                </c:pt>
                <c:pt idx="17">
                  <c:v>2629</c:v>
                </c:pt>
                <c:pt idx="18">
                  <c:v>2531</c:v>
                </c:pt>
                <c:pt idx="19">
                  <c:v>3369</c:v>
                </c:pt>
                <c:pt idx="20">
                  <c:v>3503</c:v>
                </c:pt>
                <c:pt idx="21">
                  <c:v>2620</c:v>
                </c:pt>
                <c:pt idx="22">
                  <c:v>3326</c:v>
                </c:pt>
                <c:pt idx="23">
                  <c:v>3143</c:v>
                </c:pt>
                <c:pt idx="24">
                  <c:v>3568</c:v>
                </c:pt>
                <c:pt idx="25">
                  <c:v>2864</c:v>
                </c:pt>
                <c:pt idx="26">
                  <c:v>2657</c:v>
                </c:pt>
                <c:pt idx="27">
                  <c:v>3552</c:v>
                </c:pt>
                <c:pt idx="28">
                  <c:v>2929</c:v>
                </c:pt>
                <c:pt idx="29">
                  <c:v>3023</c:v>
                </c:pt>
                <c:pt idx="30">
                  <c:v>3536</c:v>
                </c:pt>
                <c:pt idx="31">
                  <c:v>3429</c:v>
                </c:pt>
                <c:pt idx="32">
                  <c:v>4212</c:v>
                </c:pt>
                <c:pt idx="33">
                  <c:v>4108</c:v>
                </c:pt>
                <c:pt idx="34">
                  <c:v>3907</c:v>
                </c:pt>
                <c:pt idx="35">
                  <c:v>3669</c:v>
                </c:pt>
                <c:pt idx="36">
                  <c:v>3332</c:v>
                </c:pt>
                <c:pt idx="37">
                  <c:v>4001</c:v>
                </c:pt>
                <c:pt idx="38">
                  <c:v>4530</c:v>
                </c:pt>
                <c:pt idx="39">
                  <c:v>5227</c:v>
                </c:pt>
                <c:pt idx="40">
                  <c:v>5328</c:v>
                </c:pt>
                <c:pt idx="41">
                  <c:v>5427</c:v>
                </c:pt>
                <c:pt idx="42">
                  <c:v>6125</c:v>
                </c:pt>
                <c:pt idx="43">
                  <c:v>5950</c:v>
                </c:pt>
                <c:pt idx="44">
                  <c:v>6000</c:v>
                </c:pt>
                <c:pt idx="45">
                  <c:v>6550</c:v>
                </c:pt>
                <c:pt idx="46">
                  <c:v>7600</c:v>
                </c:pt>
                <c:pt idx="47">
                  <c:v>6500</c:v>
                </c:pt>
                <c:pt idx="48">
                  <c:v>6850</c:v>
                </c:pt>
                <c:pt idx="49">
                  <c:v>6725</c:v>
                </c:pt>
                <c:pt idx="50" formatCode="_(* #,##0_);_(* \(#,##0\);_(* &quot;-&quot;??_);_(@_)">
                  <c:v>9025</c:v>
                </c:pt>
                <c:pt idx="51" formatCode="_(* #,##0_);_(* \(#,##0\);_(* &quot;-&quot;??_);_(@_)">
                  <c:v>9865.8950000000004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606304"/>
        <c:axId val="308608264"/>
      </c:lineChart>
      <c:catAx>
        <c:axId val="3086063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8264"/>
        <c:crosses val="autoZero"/>
        <c:auto val="1"/>
        <c:lblAlgn val="ctr"/>
        <c:lblOffset val="100"/>
        <c:noMultiLvlLbl val="0"/>
      </c:catAx>
      <c:valAx>
        <c:axId val="30860826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630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3.8485277183954107E-2"/>
          <c:y val="0.8790878067757677"/>
          <c:w val="0.93957482776318713"/>
          <c:h val="8.4872522240372547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Bra!$C$2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Bra!$D$2:$BD$2</c:f>
              <c:numCache>
                <c:formatCode>#,##0</c:formatCode>
                <c:ptCount val="53"/>
                <c:pt idx="0">
                  <c:v>9036</c:v>
                </c:pt>
                <c:pt idx="1">
                  <c:v>9587</c:v>
                </c:pt>
                <c:pt idx="2">
                  <c:v>10478</c:v>
                </c:pt>
                <c:pt idx="3">
                  <c:v>9408</c:v>
                </c:pt>
                <c:pt idx="4">
                  <c:v>12112</c:v>
                </c:pt>
                <c:pt idx="5">
                  <c:v>11371</c:v>
                </c:pt>
                <c:pt idx="6">
                  <c:v>12824</c:v>
                </c:pt>
                <c:pt idx="7">
                  <c:v>12814</c:v>
                </c:pt>
                <c:pt idx="8">
                  <c:v>12693</c:v>
                </c:pt>
                <c:pt idx="9">
                  <c:v>14216</c:v>
                </c:pt>
                <c:pt idx="10">
                  <c:v>14130</c:v>
                </c:pt>
                <c:pt idx="11">
                  <c:v>14891</c:v>
                </c:pt>
                <c:pt idx="12">
                  <c:v>14109</c:v>
                </c:pt>
                <c:pt idx="13">
                  <c:v>16284</c:v>
                </c:pt>
                <c:pt idx="14">
                  <c:v>16354</c:v>
                </c:pt>
                <c:pt idx="15">
                  <c:v>17751</c:v>
                </c:pt>
                <c:pt idx="16">
                  <c:v>19256</c:v>
                </c:pt>
                <c:pt idx="17">
                  <c:v>13569</c:v>
                </c:pt>
                <c:pt idx="18">
                  <c:v>16310</c:v>
                </c:pt>
                <c:pt idx="19">
                  <c:v>20214</c:v>
                </c:pt>
                <c:pt idx="20">
                  <c:v>22555</c:v>
                </c:pt>
                <c:pt idx="21">
                  <c:v>22932</c:v>
                </c:pt>
                <c:pt idx="22">
                  <c:v>19500</c:v>
                </c:pt>
                <c:pt idx="23">
                  <c:v>21180</c:v>
                </c:pt>
                <c:pt idx="24">
                  <c:v>21170</c:v>
                </c:pt>
                <c:pt idx="25">
                  <c:v>20264</c:v>
                </c:pt>
                <c:pt idx="26">
                  <c:v>26760</c:v>
                </c:pt>
                <c:pt idx="27">
                  <c:v>25220</c:v>
                </c:pt>
                <c:pt idx="28">
                  <c:v>26270</c:v>
                </c:pt>
                <c:pt idx="29">
                  <c:v>22300</c:v>
                </c:pt>
                <c:pt idx="30">
                  <c:v>24330</c:v>
                </c:pt>
                <c:pt idx="31">
                  <c:v>30800</c:v>
                </c:pt>
                <c:pt idx="32">
                  <c:v>29200</c:v>
                </c:pt>
                <c:pt idx="33">
                  <c:v>32934</c:v>
                </c:pt>
                <c:pt idx="34">
                  <c:v>37440</c:v>
                </c:pt>
                <c:pt idx="35">
                  <c:v>32480</c:v>
                </c:pt>
                <c:pt idx="36">
                  <c:v>35700</c:v>
                </c:pt>
                <c:pt idx="37">
                  <c:v>30100</c:v>
                </c:pt>
                <c:pt idx="38">
                  <c:v>32393</c:v>
                </c:pt>
                <c:pt idx="39">
                  <c:v>31641</c:v>
                </c:pt>
                <c:pt idx="40">
                  <c:v>41536</c:v>
                </c:pt>
                <c:pt idx="41">
                  <c:v>35501</c:v>
                </c:pt>
                <c:pt idx="42">
                  <c:v>44500</c:v>
                </c:pt>
                <c:pt idx="43">
                  <c:v>42000</c:v>
                </c:pt>
                <c:pt idx="44">
                  <c:v>35000</c:v>
                </c:pt>
                <c:pt idx="45">
                  <c:v>41700</c:v>
                </c:pt>
                <c:pt idx="46">
                  <c:v>51000</c:v>
                </c:pt>
                <c:pt idx="47">
                  <c:v>58600</c:v>
                </c:pt>
                <c:pt idx="48">
                  <c:v>51000</c:v>
                </c:pt>
                <c:pt idx="49">
                  <c:v>56100</c:v>
                </c:pt>
                <c:pt idx="50">
                  <c:v>55660.235000000001</c:v>
                </c:pt>
                <c:pt idx="51" formatCode="_(* #,##0_);_(* \(#,##0\);_(* &quot;-&quot;??_);_(@_)">
                  <c:v>71072.81</c:v>
                </c:pt>
                <c:pt idx="52" formatCode="_(* #,##0_);_(* \(#,##0\);_(* &quot;-&quot;??_);_(@_)">
                  <c:v>80273.172000000006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Bra!$C$3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Bra!$D$3:$BD$3</c:f>
              <c:numCache>
                <c:formatCode>General</c:formatCode>
                <c:ptCount val="53"/>
                <c:pt idx="0">
                  <c:v>5</c:v>
                </c:pt>
                <c:pt idx="1">
                  <c:v>6</c:v>
                </c:pt>
                <c:pt idx="2">
                  <c:v>1</c:v>
                </c:pt>
                <c:pt idx="3">
                  <c:v>1</c:v>
                </c:pt>
                <c:pt idx="4">
                  <c:v>7</c:v>
                </c:pt>
                <c:pt idx="5">
                  <c:v>5</c:v>
                </c:pt>
                <c:pt idx="6">
                  <c:v>9</c:v>
                </c:pt>
                <c:pt idx="7">
                  <c:v>3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3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 formatCode="#,##0">
                  <c:v>1750</c:v>
                </c:pt>
                <c:pt idx="18" formatCode="#,##0">
                  <c:v>1476</c:v>
                </c:pt>
                <c:pt idx="19" formatCode="#,##0">
                  <c:v>2000</c:v>
                </c:pt>
                <c:pt idx="20">
                  <c:v>0</c:v>
                </c:pt>
                <c:pt idx="21">
                  <c:v>0</c:v>
                </c:pt>
                <c:pt idx="22">
                  <c:v>500</c:v>
                </c:pt>
                <c:pt idx="23">
                  <c:v>440</c:v>
                </c:pt>
                <c:pt idx="24" formatCode="#,##0">
                  <c:v>1100</c:v>
                </c:pt>
                <c:pt idx="25" formatCode="#,##0">
                  <c:v>2000</c:v>
                </c:pt>
                <c:pt idx="26">
                  <c:v>400</c:v>
                </c:pt>
                <c:pt idx="27">
                  <c:v>50</c:v>
                </c:pt>
                <c:pt idx="28">
                  <c:v>100</c:v>
                </c:pt>
                <c:pt idx="29">
                  <c:v>900</c:v>
                </c:pt>
                <c:pt idx="30">
                  <c:v>700</c:v>
                </c:pt>
                <c:pt idx="31">
                  <c:v>497</c:v>
                </c:pt>
                <c:pt idx="32" formatCode="#,##0">
                  <c:v>1220</c:v>
                </c:pt>
                <c:pt idx="33" formatCode="#,##0">
                  <c:v>1304</c:v>
                </c:pt>
                <c:pt idx="34" formatCode="#,##0">
                  <c:v>1407</c:v>
                </c:pt>
                <c:pt idx="35">
                  <c:v>280</c:v>
                </c:pt>
                <c:pt idx="36">
                  <c:v>470</c:v>
                </c:pt>
                <c:pt idx="37" formatCode="#,##0">
                  <c:v>1722</c:v>
                </c:pt>
                <c:pt idx="38" formatCode="#,##0">
                  <c:v>1180</c:v>
                </c:pt>
                <c:pt idx="39" formatCode="#,##0">
                  <c:v>1632</c:v>
                </c:pt>
                <c:pt idx="40">
                  <c:v>244</c:v>
                </c:pt>
                <c:pt idx="41">
                  <c:v>367</c:v>
                </c:pt>
                <c:pt idx="42">
                  <c:v>683</c:v>
                </c:pt>
                <c:pt idx="43">
                  <c:v>361</c:v>
                </c:pt>
                <c:pt idx="44">
                  <c:v>496</c:v>
                </c:pt>
                <c:pt idx="45" formatCode="#,##0">
                  <c:v>1147</c:v>
                </c:pt>
                <c:pt idx="46" formatCode="#,##0">
                  <c:v>1413</c:v>
                </c:pt>
                <c:pt idx="47">
                  <c:v>678</c:v>
                </c:pt>
                <c:pt idx="48" formatCode="#,##0">
                  <c:v>1141</c:v>
                </c:pt>
                <c:pt idx="49">
                  <c:v>550</c:v>
                </c:pt>
                <c:pt idx="50" formatCode="#,##0">
                  <c:v>656.33600000000001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Bra!$C$4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Bra!$D$4:$BD$4</c:f>
              <c:numCache>
                <c:formatCode>General</c:formatCode>
                <c:ptCount val="53"/>
                <c:pt idx="0">
                  <c:v>4</c:v>
                </c:pt>
                <c:pt idx="1">
                  <c:v>6</c:v>
                </c:pt>
                <c:pt idx="2">
                  <c:v>700</c:v>
                </c:pt>
                <c:pt idx="3">
                  <c:v>62</c:v>
                </c:pt>
                <c:pt idx="4">
                  <c:v>560</c:v>
                </c:pt>
                <c:pt idx="5">
                  <c:v>621</c:v>
                </c:pt>
                <c:pt idx="6">
                  <c:v>483</c:v>
                </c:pt>
                <c:pt idx="7" formatCode="#,##0">
                  <c:v>1181</c:v>
                </c:pt>
                <c:pt idx="8">
                  <c:v>610</c:v>
                </c:pt>
                <c:pt idx="9" formatCode="#,##0">
                  <c:v>1788</c:v>
                </c:pt>
                <c:pt idx="10">
                  <c:v>948</c:v>
                </c:pt>
                <c:pt idx="11">
                  <c:v>172</c:v>
                </c:pt>
                <c:pt idx="12">
                  <c:v>42</c:v>
                </c:pt>
                <c:pt idx="13" formatCode="#,##0">
                  <c:v>1311</c:v>
                </c:pt>
                <c:pt idx="14">
                  <c:v>968</c:v>
                </c:pt>
                <c:pt idx="15" formatCode="#,##0">
                  <c:v>1511</c:v>
                </c:pt>
                <c:pt idx="16" formatCode="#,##0">
                  <c:v>1262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7</c:v>
                </c:pt>
                <c:pt idx="21">
                  <c:v>700</c:v>
                </c:pt>
                <c:pt idx="22">
                  <c:v>450</c:v>
                </c:pt>
                <c:pt idx="23">
                  <c:v>385</c:v>
                </c:pt>
                <c:pt idx="24">
                  <c:v>56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9</c:v>
                </c:pt>
                <c:pt idx="33">
                  <c:v>4</c:v>
                </c:pt>
                <c:pt idx="34">
                  <c:v>56</c:v>
                </c:pt>
                <c:pt idx="35">
                  <c:v>267</c:v>
                </c:pt>
                <c:pt idx="36">
                  <c:v>92</c:v>
                </c:pt>
                <c:pt idx="37">
                  <c:v>6</c:v>
                </c:pt>
                <c:pt idx="38">
                  <c:v>8</c:v>
                </c:pt>
                <c:pt idx="39">
                  <c:v>222</c:v>
                </c:pt>
                <c:pt idx="40" formatCode="#,##0">
                  <c:v>6261</c:v>
                </c:pt>
                <c:pt idx="41" formatCode="#,##0">
                  <c:v>2054</c:v>
                </c:pt>
                <c:pt idx="42" formatCode="#,##0">
                  <c:v>4625</c:v>
                </c:pt>
                <c:pt idx="43" formatCode="#,##0">
                  <c:v>4441</c:v>
                </c:pt>
                <c:pt idx="44">
                  <c:v>682</c:v>
                </c:pt>
                <c:pt idx="45" formatCode="#,##0">
                  <c:v>4524</c:v>
                </c:pt>
                <c:pt idx="46" formatCode="#,##0">
                  <c:v>10836</c:v>
                </c:pt>
                <c:pt idx="47" formatCode="#,##0">
                  <c:v>7791</c:v>
                </c:pt>
                <c:pt idx="48" formatCode="#,##0">
                  <c:v>7136</c:v>
                </c:pt>
                <c:pt idx="49" formatCode="#,##0">
                  <c:v>11599</c:v>
                </c:pt>
                <c:pt idx="50" formatCode="#,##0">
                  <c:v>9486.9140000000007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Bra!$C$5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Bra!$D$5:$BD$5</c:f>
              <c:numCache>
                <c:formatCode>#,##0</c:formatCode>
                <c:ptCount val="53"/>
                <c:pt idx="0">
                  <c:v>8937</c:v>
                </c:pt>
                <c:pt idx="1">
                  <c:v>9587</c:v>
                </c:pt>
                <c:pt idx="2">
                  <c:v>9919</c:v>
                </c:pt>
                <c:pt idx="3">
                  <c:v>9301</c:v>
                </c:pt>
                <c:pt idx="4">
                  <c:v>10007</c:v>
                </c:pt>
                <c:pt idx="5">
                  <c:v>11703</c:v>
                </c:pt>
                <c:pt idx="6">
                  <c:v>10950</c:v>
                </c:pt>
                <c:pt idx="7">
                  <c:v>11484</c:v>
                </c:pt>
                <c:pt idx="8">
                  <c:v>13926</c:v>
                </c:pt>
                <c:pt idx="9">
                  <c:v>12700</c:v>
                </c:pt>
                <c:pt idx="10">
                  <c:v>13239</c:v>
                </c:pt>
                <c:pt idx="11">
                  <c:v>16415</c:v>
                </c:pt>
                <c:pt idx="12">
                  <c:v>13567</c:v>
                </c:pt>
                <c:pt idx="13">
                  <c:v>15273</c:v>
                </c:pt>
                <c:pt idx="14">
                  <c:v>15586</c:v>
                </c:pt>
                <c:pt idx="15">
                  <c:v>16040</c:v>
                </c:pt>
                <c:pt idx="16">
                  <c:v>17494</c:v>
                </c:pt>
                <c:pt idx="17">
                  <c:v>16219</c:v>
                </c:pt>
                <c:pt idx="18">
                  <c:v>17800</c:v>
                </c:pt>
                <c:pt idx="19">
                  <c:v>21200</c:v>
                </c:pt>
                <c:pt idx="20">
                  <c:v>22300</c:v>
                </c:pt>
                <c:pt idx="21">
                  <c:v>22035</c:v>
                </c:pt>
                <c:pt idx="22">
                  <c:v>20795</c:v>
                </c:pt>
                <c:pt idx="23">
                  <c:v>20980</c:v>
                </c:pt>
                <c:pt idx="24">
                  <c:v>21614</c:v>
                </c:pt>
                <c:pt idx="25">
                  <c:v>22264</c:v>
                </c:pt>
                <c:pt idx="26">
                  <c:v>26426</c:v>
                </c:pt>
                <c:pt idx="27">
                  <c:v>24470</c:v>
                </c:pt>
                <c:pt idx="28">
                  <c:v>25108</c:v>
                </c:pt>
                <c:pt idx="29">
                  <c:v>25800</c:v>
                </c:pt>
                <c:pt idx="30">
                  <c:v>25630</c:v>
                </c:pt>
                <c:pt idx="31">
                  <c:v>28670</c:v>
                </c:pt>
                <c:pt idx="32">
                  <c:v>30200</c:v>
                </c:pt>
                <c:pt idx="33">
                  <c:v>33000</c:v>
                </c:pt>
                <c:pt idx="34">
                  <c:v>36000</c:v>
                </c:pt>
                <c:pt idx="35">
                  <c:v>36600</c:v>
                </c:pt>
                <c:pt idx="36">
                  <c:v>36250</c:v>
                </c:pt>
                <c:pt idx="37">
                  <c:v>33400</c:v>
                </c:pt>
                <c:pt idx="38">
                  <c:v>33200</c:v>
                </c:pt>
                <c:pt idx="39">
                  <c:v>33500</c:v>
                </c:pt>
                <c:pt idx="40">
                  <c:v>34500</c:v>
                </c:pt>
                <c:pt idx="41">
                  <c:v>35000</c:v>
                </c:pt>
                <c:pt idx="42">
                  <c:v>35800</c:v>
                </c:pt>
                <c:pt idx="43">
                  <c:v>36300</c:v>
                </c:pt>
                <c:pt idx="44">
                  <c:v>38500</c:v>
                </c:pt>
                <c:pt idx="45">
                  <c:v>39500</c:v>
                </c:pt>
                <c:pt idx="46">
                  <c:v>41000</c:v>
                </c:pt>
                <c:pt idx="47">
                  <c:v>42500</c:v>
                </c:pt>
                <c:pt idx="48">
                  <c:v>45500</c:v>
                </c:pt>
                <c:pt idx="49">
                  <c:v>47000</c:v>
                </c:pt>
                <c:pt idx="50">
                  <c:v>46829.657000000007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601992"/>
        <c:axId val="308601208"/>
      </c:lineChart>
      <c:catAx>
        <c:axId val="3086019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1208"/>
        <c:crosses val="autoZero"/>
        <c:auto val="1"/>
        <c:lblAlgn val="ctr"/>
        <c:lblOffset val="100"/>
        <c:noMultiLvlLbl val="0"/>
      </c:catAx>
      <c:valAx>
        <c:axId val="30860120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199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"/>
          <c:w val="0.91165128933230188"/>
          <c:h val="0.10780685832101058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Bra!$C$6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Bra!$D$6:$BD$6</c:f>
              <c:numCache>
                <c:formatCode>#,##0</c:formatCode>
                <c:ptCount val="53"/>
                <c:pt idx="0">
                  <c:v>1950</c:v>
                </c:pt>
                <c:pt idx="1">
                  <c:v>2525</c:v>
                </c:pt>
                <c:pt idx="2">
                  <c:v>2300</c:v>
                </c:pt>
                <c:pt idx="3">
                  <c:v>2300</c:v>
                </c:pt>
                <c:pt idx="4">
                  <c:v>2100</c:v>
                </c:pt>
                <c:pt idx="5">
                  <c:v>2499</c:v>
                </c:pt>
                <c:pt idx="6">
                  <c:v>1961</c:v>
                </c:pt>
                <c:pt idx="7">
                  <c:v>2641</c:v>
                </c:pt>
                <c:pt idx="8">
                  <c:v>3298</c:v>
                </c:pt>
                <c:pt idx="9">
                  <c:v>2664</c:v>
                </c:pt>
                <c:pt idx="10">
                  <c:v>2733</c:v>
                </c:pt>
                <c:pt idx="11">
                  <c:v>3123</c:v>
                </c:pt>
                <c:pt idx="12">
                  <c:v>2990</c:v>
                </c:pt>
                <c:pt idx="13">
                  <c:v>2459</c:v>
                </c:pt>
                <c:pt idx="14">
                  <c:v>2448</c:v>
                </c:pt>
                <c:pt idx="15">
                  <c:v>1837</c:v>
                </c:pt>
                <c:pt idx="16">
                  <c:v>2710</c:v>
                </c:pt>
                <c:pt idx="17">
                  <c:v>2246</c:v>
                </c:pt>
                <c:pt idx="18">
                  <c:v>2499</c:v>
                </c:pt>
                <c:pt idx="19">
                  <c:v>2627</c:v>
                </c:pt>
                <c:pt idx="20">
                  <c:v>2728</c:v>
                </c:pt>
                <c:pt idx="21">
                  <c:v>3123</c:v>
                </c:pt>
                <c:pt idx="22">
                  <c:v>2691</c:v>
                </c:pt>
                <c:pt idx="23">
                  <c:v>3096</c:v>
                </c:pt>
                <c:pt idx="24">
                  <c:v>4446</c:v>
                </c:pt>
                <c:pt idx="25">
                  <c:v>3642</c:v>
                </c:pt>
                <c:pt idx="26">
                  <c:v>2907</c:v>
                </c:pt>
                <c:pt idx="27">
                  <c:v>3968</c:v>
                </c:pt>
                <c:pt idx="28">
                  <c:v>3258</c:v>
                </c:pt>
                <c:pt idx="29">
                  <c:v>3058</c:v>
                </c:pt>
                <c:pt idx="30">
                  <c:v>3293</c:v>
                </c:pt>
                <c:pt idx="31">
                  <c:v>3064</c:v>
                </c:pt>
                <c:pt idx="32">
                  <c:v>1929</c:v>
                </c:pt>
                <c:pt idx="33">
                  <c:v>2219</c:v>
                </c:pt>
                <c:pt idx="34">
                  <c:v>2467</c:v>
                </c:pt>
                <c:pt idx="35">
                  <c:v>1884</c:v>
                </c:pt>
                <c:pt idx="36">
                  <c:v>1405</c:v>
                </c:pt>
                <c:pt idx="37">
                  <c:v>1890</c:v>
                </c:pt>
                <c:pt idx="38">
                  <c:v>2391</c:v>
                </c:pt>
                <c:pt idx="39">
                  <c:v>3216</c:v>
                </c:pt>
                <c:pt idx="40">
                  <c:v>4312</c:v>
                </c:pt>
                <c:pt idx="41">
                  <c:v>3519</c:v>
                </c:pt>
                <c:pt idx="42">
                  <c:v>3890</c:v>
                </c:pt>
                <c:pt idx="43">
                  <c:v>6015</c:v>
                </c:pt>
                <c:pt idx="44">
                  <c:v>5900</c:v>
                </c:pt>
                <c:pt idx="45">
                  <c:v>4700</c:v>
                </c:pt>
                <c:pt idx="46">
                  <c:v>7000</c:v>
                </c:pt>
                <c:pt idx="47">
                  <c:v>7360</c:v>
                </c:pt>
                <c:pt idx="48">
                  <c:v>5480</c:v>
                </c:pt>
                <c:pt idx="49">
                  <c:v>5450</c:v>
                </c:pt>
                <c:pt idx="50">
                  <c:v>9000</c:v>
                </c:pt>
                <c:pt idx="51" formatCode="_(* #,##0_);_(* \(#,##0\);_(* &quot;-&quot;??_);_(@_)">
                  <c:v>1673.337</c:v>
                </c:pt>
                <c:pt idx="52" formatCode="_(* #,##0_);_(* \(#,##0\);_(* &quot;-&quot;??_);_(@_)">
                  <c:v>1639.7909999999999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Bra!$C$7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Bra!$D$7:$BD$7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18</c:v>
                </c:pt>
                <c:pt idx="11">
                  <c:v>4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5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14</c:v>
                </c:pt>
                <c:pt idx="21">
                  <c:v>0</c:v>
                </c:pt>
                <c:pt idx="22">
                  <c:v>0</c:v>
                </c:pt>
                <c:pt idx="23">
                  <c:v>41</c:v>
                </c:pt>
                <c:pt idx="24">
                  <c:v>18</c:v>
                </c:pt>
                <c:pt idx="25">
                  <c:v>248</c:v>
                </c:pt>
                <c:pt idx="26">
                  <c:v>243</c:v>
                </c:pt>
                <c:pt idx="27">
                  <c:v>197</c:v>
                </c:pt>
                <c:pt idx="28">
                  <c:v>473</c:v>
                </c:pt>
                <c:pt idx="29">
                  <c:v>519</c:v>
                </c:pt>
                <c:pt idx="30">
                  <c:v>409</c:v>
                </c:pt>
                <c:pt idx="31">
                  <c:v>657</c:v>
                </c:pt>
                <c:pt idx="32" formatCode="#,##0">
                  <c:v>1823</c:v>
                </c:pt>
                <c:pt idx="33" formatCode="#,##0">
                  <c:v>1869</c:v>
                </c:pt>
                <c:pt idx="34" formatCode="#,##0">
                  <c:v>1612</c:v>
                </c:pt>
                <c:pt idx="35" formatCode="#,##0">
                  <c:v>1768</c:v>
                </c:pt>
                <c:pt idx="36" formatCode="#,##0">
                  <c:v>2386</c:v>
                </c:pt>
                <c:pt idx="37" formatCode="#,##0">
                  <c:v>1884</c:v>
                </c:pt>
                <c:pt idx="38" formatCode="#,##0">
                  <c:v>1334</c:v>
                </c:pt>
                <c:pt idx="39" formatCode="#,##0">
                  <c:v>1559</c:v>
                </c:pt>
                <c:pt idx="40">
                  <c:v>603</c:v>
                </c:pt>
                <c:pt idx="41">
                  <c:v>253</c:v>
                </c:pt>
                <c:pt idx="42">
                  <c:v>563</c:v>
                </c:pt>
                <c:pt idx="43">
                  <c:v>545</c:v>
                </c:pt>
                <c:pt idx="44">
                  <c:v>212</c:v>
                </c:pt>
                <c:pt idx="45">
                  <c:v>308</c:v>
                </c:pt>
                <c:pt idx="46">
                  <c:v>515</c:v>
                </c:pt>
                <c:pt idx="47">
                  <c:v>164</c:v>
                </c:pt>
                <c:pt idx="48">
                  <c:v>50</c:v>
                </c:pt>
                <c:pt idx="49">
                  <c:v>151</c:v>
                </c:pt>
                <c:pt idx="50">
                  <c:v>650</c:v>
                </c:pt>
                <c:pt idx="51" formatCode="_(* #,##0_);_(* \(#,##0\);_(* &quot;-&quot;??_);_(@_)">
                  <c:v>144.16900000000001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Bra!$C$8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Bra!$D$8:$BD$8</c:f>
              <c:numCache>
                <c:formatCode>General</c:formatCode>
                <c:ptCount val="53"/>
                <c:pt idx="0">
                  <c:v>695</c:v>
                </c:pt>
                <c:pt idx="1">
                  <c:v>847</c:v>
                </c:pt>
                <c:pt idx="2" formatCode="#,##0">
                  <c:v>1145</c:v>
                </c:pt>
                <c:pt idx="3" formatCode="#,##0">
                  <c:v>1023</c:v>
                </c:pt>
                <c:pt idx="4" formatCode="#,##0">
                  <c:v>1040</c:v>
                </c:pt>
                <c:pt idx="5">
                  <c:v>937</c:v>
                </c:pt>
                <c:pt idx="6" formatCode="#,##0">
                  <c:v>1014</c:v>
                </c:pt>
                <c:pt idx="7">
                  <c:v>836</c:v>
                </c:pt>
                <c:pt idx="8" formatCode="#,##0">
                  <c:v>1765</c:v>
                </c:pt>
                <c:pt idx="9" formatCode="#,##0">
                  <c:v>1933</c:v>
                </c:pt>
                <c:pt idx="10" formatCode="#,##0">
                  <c:v>1011</c:v>
                </c:pt>
                <c:pt idx="11" formatCode="#,##0">
                  <c:v>1409</c:v>
                </c:pt>
                <c:pt idx="12" formatCode="#,##0">
                  <c:v>1333</c:v>
                </c:pt>
                <c:pt idx="13">
                  <c:v>661</c:v>
                </c:pt>
                <c:pt idx="14">
                  <c:v>269</c:v>
                </c:pt>
                <c:pt idx="15">
                  <c:v>356</c:v>
                </c:pt>
                <c:pt idx="16">
                  <c:v>54</c:v>
                </c:pt>
                <c:pt idx="17">
                  <c:v>192</c:v>
                </c:pt>
                <c:pt idx="18">
                  <c:v>141</c:v>
                </c:pt>
                <c:pt idx="19">
                  <c:v>0</c:v>
                </c:pt>
                <c:pt idx="20">
                  <c:v>42</c:v>
                </c:pt>
                <c:pt idx="21">
                  <c:v>138</c:v>
                </c:pt>
                <c:pt idx="22" formatCode="#,##0">
                  <c:v>1021</c:v>
                </c:pt>
                <c:pt idx="23">
                  <c:v>80</c:v>
                </c:pt>
                <c:pt idx="24">
                  <c:v>354</c:v>
                </c:pt>
                <c:pt idx="25">
                  <c:v>358</c:v>
                </c:pt>
                <c:pt idx="26">
                  <c:v>303</c:v>
                </c:pt>
                <c:pt idx="27">
                  <c:v>597</c:v>
                </c:pt>
                <c:pt idx="28">
                  <c:v>464</c:v>
                </c:pt>
                <c:pt idx="29">
                  <c:v>661</c:v>
                </c:pt>
                <c:pt idx="30">
                  <c:v>716</c:v>
                </c:pt>
                <c:pt idx="31">
                  <c:v>133</c:v>
                </c:pt>
                <c:pt idx="32">
                  <c:v>110</c:v>
                </c:pt>
                <c:pt idx="33">
                  <c:v>5</c:v>
                </c:pt>
                <c:pt idx="34">
                  <c:v>152</c:v>
                </c:pt>
                <c:pt idx="35">
                  <c:v>101</c:v>
                </c:pt>
                <c:pt idx="36">
                  <c:v>0</c:v>
                </c:pt>
                <c:pt idx="37">
                  <c:v>0</c:v>
                </c:pt>
                <c:pt idx="38">
                  <c:v>23</c:v>
                </c:pt>
                <c:pt idx="39">
                  <c:v>12</c:v>
                </c:pt>
                <c:pt idx="40">
                  <c:v>315</c:v>
                </c:pt>
                <c:pt idx="41">
                  <c:v>674</c:v>
                </c:pt>
                <c:pt idx="42">
                  <c:v>489</c:v>
                </c:pt>
                <c:pt idx="43">
                  <c:v>964</c:v>
                </c:pt>
                <c:pt idx="44" formatCode="#,##0">
                  <c:v>1557</c:v>
                </c:pt>
                <c:pt idx="45" formatCode="#,##0">
                  <c:v>1972</c:v>
                </c:pt>
                <c:pt idx="46" formatCode="#,##0">
                  <c:v>1300</c:v>
                </c:pt>
                <c:pt idx="47" formatCode="#,##0">
                  <c:v>2231</c:v>
                </c:pt>
                <c:pt idx="48" formatCode="#,##0">
                  <c:v>2739</c:v>
                </c:pt>
                <c:pt idx="49" formatCode="#,##0">
                  <c:v>1990</c:v>
                </c:pt>
                <c:pt idx="50" formatCode="#,##0">
                  <c:v>2350</c:v>
                </c:pt>
                <c:pt idx="51" formatCode="_(* #,##0_);_(* \(#,##0\);_(* &quot;-&quot;??_);_(@_)">
                  <c:v>758.32799999999997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Bra!$C$9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Bra!$D$9:$BD$9</c:f>
              <c:numCache>
                <c:formatCode>#,##0</c:formatCode>
                <c:ptCount val="53"/>
                <c:pt idx="0">
                  <c:v>1255</c:v>
                </c:pt>
                <c:pt idx="1">
                  <c:v>1363</c:v>
                </c:pt>
                <c:pt idx="2">
                  <c:v>1255</c:v>
                </c:pt>
                <c:pt idx="3">
                  <c:v>1302</c:v>
                </c:pt>
                <c:pt idx="4">
                  <c:v>1148</c:v>
                </c:pt>
                <c:pt idx="5">
                  <c:v>1277</c:v>
                </c:pt>
                <c:pt idx="6">
                  <c:v>1278</c:v>
                </c:pt>
                <c:pt idx="7">
                  <c:v>1290</c:v>
                </c:pt>
                <c:pt idx="8">
                  <c:v>1349</c:v>
                </c:pt>
                <c:pt idx="9">
                  <c:v>1374</c:v>
                </c:pt>
                <c:pt idx="10">
                  <c:v>1391</c:v>
                </c:pt>
                <c:pt idx="11">
                  <c:v>1437</c:v>
                </c:pt>
                <c:pt idx="12">
                  <c:v>1638</c:v>
                </c:pt>
                <c:pt idx="13">
                  <c:v>1790</c:v>
                </c:pt>
                <c:pt idx="14">
                  <c:v>1885</c:v>
                </c:pt>
                <c:pt idx="15">
                  <c:v>2056</c:v>
                </c:pt>
                <c:pt idx="16">
                  <c:v>2107</c:v>
                </c:pt>
                <c:pt idx="17">
                  <c:v>2233</c:v>
                </c:pt>
                <c:pt idx="18">
                  <c:v>2456</c:v>
                </c:pt>
                <c:pt idx="19">
                  <c:v>2591</c:v>
                </c:pt>
                <c:pt idx="20">
                  <c:v>2601</c:v>
                </c:pt>
                <c:pt idx="21">
                  <c:v>2631</c:v>
                </c:pt>
                <c:pt idx="22">
                  <c:v>2603</c:v>
                </c:pt>
                <c:pt idx="23">
                  <c:v>2553</c:v>
                </c:pt>
                <c:pt idx="24">
                  <c:v>2754</c:v>
                </c:pt>
                <c:pt idx="25">
                  <c:v>3182</c:v>
                </c:pt>
                <c:pt idx="26">
                  <c:v>3485</c:v>
                </c:pt>
                <c:pt idx="27">
                  <c:v>3728</c:v>
                </c:pt>
                <c:pt idx="28">
                  <c:v>3774</c:v>
                </c:pt>
                <c:pt idx="29">
                  <c:v>3506</c:v>
                </c:pt>
                <c:pt idx="30">
                  <c:v>3321</c:v>
                </c:pt>
                <c:pt idx="31">
                  <c:v>3361</c:v>
                </c:pt>
                <c:pt idx="32">
                  <c:v>3642</c:v>
                </c:pt>
                <c:pt idx="33">
                  <c:v>3829</c:v>
                </c:pt>
                <c:pt idx="34">
                  <c:v>3754</c:v>
                </c:pt>
                <c:pt idx="35">
                  <c:v>3759</c:v>
                </c:pt>
                <c:pt idx="36">
                  <c:v>3677</c:v>
                </c:pt>
                <c:pt idx="37">
                  <c:v>3551</c:v>
                </c:pt>
                <c:pt idx="38">
                  <c:v>3674</c:v>
                </c:pt>
                <c:pt idx="39">
                  <c:v>4111</c:v>
                </c:pt>
                <c:pt idx="40">
                  <c:v>4025</c:v>
                </c:pt>
                <c:pt idx="41">
                  <c:v>3689</c:v>
                </c:pt>
                <c:pt idx="42">
                  <c:v>3585</c:v>
                </c:pt>
                <c:pt idx="43">
                  <c:v>3865</c:v>
                </c:pt>
                <c:pt idx="44">
                  <c:v>4160</c:v>
                </c:pt>
                <c:pt idx="45">
                  <c:v>4302</c:v>
                </c:pt>
                <c:pt idx="46">
                  <c:v>4423</c:v>
                </c:pt>
                <c:pt idx="47">
                  <c:v>4450</c:v>
                </c:pt>
                <c:pt idx="48">
                  <c:v>4050</c:v>
                </c:pt>
                <c:pt idx="49">
                  <c:v>4250</c:v>
                </c:pt>
                <c:pt idx="50">
                  <c:v>4250</c:v>
                </c:pt>
                <c:pt idx="51" formatCode="_(* #,##0_);_(* \(#,##0\);_(* &quot;-&quot;??_);_(@_)">
                  <c:v>1059.1780000000001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601600"/>
        <c:axId val="308602384"/>
      </c:lineChart>
      <c:catAx>
        <c:axId val="3086016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2384"/>
        <c:crosses val="autoZero"/>
        <c:auto val="1"/>
        <c:lblAlgn val="ctr"/>
        <c:lblOffset val="100"/>
        <c:noMultiLvlLbl val="0"/>
      </c:catAx>
      <c:valAx>
        <c:axId val="3086023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160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91165128933230188"/>
          <c:h val="0.10780685832101061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Bra!$AD$1:$BD$1</c:f>
              <c:numCache>
                <c:formatCode>General</c:formatCode>
                <c:ptCount val="27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</c:numCache>
            </c:numRef>
          </c:cat>
          <c:val>
            <c:numRef>
              <c:f>Bra!$AD$10:$BD$10</c:f>
              <c:numCache>
                <c:formatCode>#,##0</c:formatCode>
                <c:ptCount val="27"/>
                <c:pt idx="0">
                  <c:v>17300</c:v>
                </c:pt>
                <c:pt idx="1">
                  <c:v>18020</c:v>
                </c:pt>
                <c:pt idx="2">
                  <c:v>23600</c:v>
                </c:pt>
                <c:pt idx="3">
                  <c:v>20340</c:v>
                </c:pt>
                <c:pt idx="4">
                  <c:v>15750</c:v>
                </c:pt>
                <c:pt idx="5">
                  <c:v>19300</c:v>
                </c:pt>
                <c:pt idx="6">
                  <c:v>22500</c:v>
                </c:pt>
                <c:pt idx="7">
                  <c:v>24700</c:v>
                </c:pt>
                <c:pt idx="8">
                  <c:v>25900</c:v>
                </c:pt>
                <c:pt idx="9">
                  <c:v>24150</c:v>
                </c:pt>
                <c:pt idx="10">
                  <c:v>27300</c:v>
                </c:pt>
                <c:pt idx="11">
                  <c:v>32500</c:v>
                </c:pt>
                <c:pt idx="12">
                  <c:v>31300</c:v>
                </c:pt>
                <c:pt idx="13">
                  <c:v>34700</c:v>
                </c:pt>
                <c:pt idx="14">
                  <c:v>39500</c:v>
                </c:pt>
                <c:pt idx="15">
                  <c:v>43500</c:v>
                </c:pt>
                <c:pt idx="16">
                  <c:v>52000</c:v>
                </c:pt>
                <c:pt idx="17">
                  <c:v>51000</c:v>
                </c:pt>
                <c:pt idx="18">
                  <c:v>53000</c:v>
                </c:pt>
                <c:pt idx="19">
                  <c:v>57000</c:v>
                </c:pt>
                <c:pt idx="20">
                  <c:v>59000</c:v>
                </c:pt>
                <c:pt idx="21">
                  <c:v>61000</c:v>
                </c:pt>
                <c:pt idx="22">
                  <c:v>57800</c:v>
                </c:pt>
                <c:pt idx="23">
                  <c:v>69000</c:v>
                </c:pt>
                <c:pt idx="24">
                  <c:v>72000</c:v>
                </c:pt>
                <c:pt idx="25" formatCode="_(* #,##0_);_(* \(#,##0\);_(* &quot;-&quot;??_);_(@_)">
                  <c:v>47815.447</c:v>
                </c:pt>
                <c:pt idx="26" formatCode="_(* #,##0_);_(* \(#,##0\);_(* &quot;-&quot;??_);_(@_)">
                  <c:v>65848.857000000004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Bra!$AD$1:$BD$1</c:f>
              <c:numCache>
                <c:formatCode>General</c:formatCode>
                <c:ptCount val="27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</c:numCache>
            </c:numRef>
          </c:cat>
          <c:val>
            <c:numRef>
              <c:f>Bra!$AD$11:$BD$11</c:f>
              <c:numCache>
                <c:formatCode>General</c:formatCode>
                <c:ptCount val="27"/>
                <c:pt idx="0">
                  <c:v>0</c:v>
                </c:pt>
                <c:pt idx="1">
                  <c:v>441</c:v>
                </c:pt>
                <c:pt idx="2">
                  <c:v>62</c:v>
                </c:pt>
                <c:pt idx="3">
                  <c:v>63</c:v>
                </c:pt>
                <c:pt idx="4">
                  <c:v>126</c:v>
                </c:pt>
                <c:pt idx="5">
                  <c:v>279</c:v>
                </c:pt>
                <c:pt idx="6">
                  <c:v>375</c:v>
                </c:pt>
                <c:pt idx="7">
                  <c:v>190</c:v>
                </c:pt>
                <c:pt idx="8" formatCode="#,##0">
                  <c:v>1200</c:v>
                </c:pt>
                <c:pt idx="9" formatCode="#,##0">
                  <c:v>1050</c:v>
                </c:pt>
                <c:pt idx="10">
                  <c:v>940</c:v>
                </c:pt>
                <c:pt idx="11" formatCode="#,##0">
                  <c:v>1591</c:v>
                </c:pt>
                <c:pt idx="12">
                  <c:v>730</c:v>
                </c:pt>
                <c:pt idx="13">
                  <c:v>674</c:v>
                </c:pt>
                <c:pt idx="14">
                  <c:v>733</c:v>
                </c:pt>
                <c:pt idx="15" formatCode="#,##0">
                  <c:v>1112</c:v>
                </c:pt>
                <c:pt idx="16" formatCode="#,##0">
                  <c:v>1321</c:v>
                </c:pt>
                <c:pt idx="17">
                  <c:v>328</c:v>
                </c:pt>
                <c:pt idx="18">
                  <c:v>475</c:v>
                </c:pt>
                <c:pt idx="19">
                  <c:v>63</c:v>
                </c:pt>
                <c:pt idx="20">
                  <c:v>53</c:v>
                </c:pt>
                <c:pt idx="21">
                  <c:v>150</c:v>
                </c:pt>
                <c:pt idx="22">
                  <c:v>44</c:v>
                </c:pt>
                <c:pt idx="23">
                  <c:v>174</c:v>
                </c:pt>
                <c:pt idx="24">
                  <c:v>175</c:v>
                </c:pt>
                <c:pt idx="25" formatCode="_(* #,##0_);_(* \(#,##0\);_(* &quot;-&quot;??_);_(@_)">
                  <c:v>40.981000000000002</c:v>
                </c:pt>
              </c:numCache>
            </c:numRef>
          </c:val>
          <c:smooth val="0"/>
        </c:ser>
        <c:ser>
          <c:idx val="2"/>
          <c:order val="2"/>
          <c:marker>
            <c:symbol val="none"/>
          </c:marker>
          <c:cat>
            <c:numRef>
              <c:f>Bra!$AD$1:$BD$1</c:f>
              <c:numCache>
                <c:formatCode>General</c:formatCode>
                <c:ptCount val="27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</c:numCache>
            </c:numRef>
          </c:cat>
          <c:val>
            <c:numRef>
              <c:f>Bra!$AD$12:$BD$12</c:f>
              <c:numCache>
                <c:formatCode>#,##0</c:formatCode>
                <c:ptCount val="27"/>
                <c:pt idx="0" formatCode="General">
                  <c:v>0</c:v>
                </c:pt>
                <c:pt idx="1">
                  <c:v>2711</c:v>
                </c:pt>
                <c:pt idx="2">
                  <c:v>4838</c:v>
                </c:pt>
                <c:pt idx="3">
                  <c:v>3933</c:v>
                </c:pt>
                <c:pt idx="4">
                  <c:v>2478</c:v>
                </c:pt>
                <c:pt idx="5">
                  <c:v>3872</c:v>
                </c:pt>
                <c:pt idx="6">
                  <c:v>4056</c:v>
                </c:pt>
                <c:pt idx="7">
                  <c:v>5434</c:v>
                </c:pt>
                <c:pt idx="8">
                  <c:v>3566</c:v>
                </c:pt>
                <c:pt idx="9">
                  <c:v>3458</c:v>
                </c:pt>
                <c:pt idx="10">
                  <c:v>8424</c:v>
                </c:pt>
                <c:pt idx="11">
                  <c:v>8760</c:v>
                </c:pt>
                <c:pt idx="12">
                  <c:v>8931</c:v>
                </c:pt>
                <c:pt idx="13">
                  <c:v>11101</c:v>
                </c:pt>
                <c:pt idx="14">
                  <c:v>15469</c:v>
                </c:pt>
                <c:pt idx="15">
                  <c:v>14504</c:v>
                </c:pt>
                <c:pt idx="16">
                  <c:v>19629</c:v>
                </c:pt>
                <c:pt idx="17">
                  <c:v>20417</c:v>
                </c:pt>
                <c:pt idx="18">
                  <c:v>20137</c:v>
                </c:pt>
                <c:pt idx="19">
                  <c:v>25911</c:v>
                </c:pt>
                <c:pt idx="20">
                  <c:v>23485</c:v>
                </c:pt>
                <c:pt idx="21">
                  <c:v>25364</c:v>
                </c:pt>
                <c:pt idx="22">
                  <c:v>29987</c:v>
                </c:pt>
                <c:pt idx="23">
                  <c:v>28578</c:v>
                </c:pt>
                <c:pt idx="24">
                  <c:v>32750</c:v>
                </c:pt>
                <c:pt idx="25" formatCode="_(* #,##0_);_(* \(#,##0\);_(* &quot;-&quot;??_);_(@_)">
                  <c:v>32985.561999999998</c:v>
                </c:pt>
              </c:numCache>
            </c:numRef>
          </c:val>
          <c:smooth val="0"/>
        </c:ser>
        <c:ser>
          <c:idx val="3"/>
          <c:order val="3"/>
          <c:marker>
            <c:symbol val="none"/>
          </c:marker>
          <c:cat>
            <c:numRef>
              <c:f>Bra!$AD$1:$BD$1</c:f>
              <c:numCache>
                <c:formatCode>General</c:formatCode>
                <c:ptCount val="27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</c:numCache>
            </c:numRef>
          </c:cat>
          <c:val>
            <c:numRef>
              <c:f>Bra!$AD$13:$BD$13</c:f>
              <c:numCache>
                <c:formatCode>#,##0</c:formatCode>
                <c:ptCount val="27"/>
                <c:pt idx="0">
                  <c:v>14016</c:v>
                </c:pt>
                <c:pt idx="1">
                  <c:v>14175</c:v>
                </c:pt>
                <c:pt idx="2">
                  <c:v>15942</c:v>
                </c:pt>
                <c:pt idx="3">
                  <c:v>17104</c:v>
                </c:pt>
                <c:pt idx="4">
                  <c:v>15406</c:v>
                </c:pt>
                <c:pt idx="5">
                  <c:v>16201</c:v>
                </c:pt>
                <c:pt idx="6">
                  <c:v>16977</c:v>
                </c:pt>
                <c:pt idx="7">
                  <c:v>20046</c:v>
                </c:pt>
                <c:pt idx="8">
                  <c:v>21838</c:v>
                </c:pt>
                <c:pt idx="9">
                  <c:v>23239</c:v>
                </c:pt>
                <c:pt idx="10">
                  <c:v>21617</c:v>
                </c:pt>
                <c:pt idx="11">
                  <c:v>21692</c:v>
                </c:pt>
                <c:pt idx="12">
                  <c:v>22907</c:v>
                </c:pt>
                <c:pt idx="13">
                  <c:v>22941</c:v>
                </c:pt>
                <c:pt idx="14">
                  <c:v>24734</c:v>
                </c:pt>
                <c:pt idx="15">
                  <c:v>26963</c:v>
                </c:pt>
                <c:pt idx="16">
                  <c:v>29649</c:v>
                </c:pt>
                <c:pt idx="17">
                  <c:v>32040</c:v>
                </c:pt>
                <c:pt idx="18">
                  <c:v>32187</c:v>
                </c:pt>
                <c:pt idx="19">
                  <c:v>31169</c:v>
                </c:pt>
                <c:pt idx="20">
                  <c:v>34020</c:v>
                </c:pt>
                <c:pt idx="21">
                  <c:v>35077</c:v>
                </c:pt>
                <c:pt idx="22">
                  <c:v>34718</c:v>
                </c:pt>
                <c:pt idx="23">
                  <c:v>36570</c:v>
                </c:pt>
                <c:pt idx="24">
                  <c:v>38600</c:v>
                </c:pt>
                <c:pt idx="25" formatCode="_(* #,##0_);_(* \(#,##0\);_(* &quot;-&quot;??_);_(@_)">
                  <c:v>14870.866000000002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603168"/>
        <c:axId val="308603560"/>
      </c:lineChart>
      <c:catAx>
        <c:axId val="308603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3560"/>
        <c:crosses val="autoZero"/>
        <c:auto val="1"/>
        <c:lblAlgn val="ctr"/>
        <c:lblOffset val="100"/>
        <c:noMultiLvlLbl val="0"/>
      </c:catAx>
      <c:valAx>
        <c:axId val="30860356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316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89185673389875553"/>
          <c:h val="0.1307411944016486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Bra!$C$14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Bra!$D$14:$BD$14</c:f>
              <c:numCache>
                <c:formatCode>#,##0</c:formatCode>
                <c:ptCount val="53"/>
                <c:pt idx="0">
                  <c:v>3667</c:v>
                </c:pt>
                <c:pt idx="1">
                  <c:v>3779</c:v>
                </c:pt>
                <c:pt idx="2">
                  <c:v>3903</c:v>
                </c:pt>
                <c:pt idx="3">
                  <c:v>4315</c:v>
                </c:pt>
                <c:pt idx="4">
                  <c:v>5154</c:v>
                </c:pt>
                <c:pt idx="5">
                  <c:v>3945</c:v>
                </c:pt>
                <c:pt idx="6">
                  <c:v>4619</c:v>
                </c:pt>
                <c:pt idx="7">
                  <c:v>4523</c:v>
                </c:pt>
                <c:pt idx="8">
                  <c:v>4348</c:v>
                </c:pt>
                <c:pt idx="9">
                  <c:v>4521</c:v>
                </c:pt>
                <c:pt idx="10">
                  <c:v>3668</c:v>
                </c:pt>
                <c:pt idx="11">
                  <c:v>4170</c:v>
                </c:pt>
                <c:pt idx="12">
                  <c:v>4510</c:v>
                </c:pt>
                <c:pt idx="13">
                  <c:v>4408</c:v>
                </c:pt>
                <c:pt idx="14">
                  <c:v>4760</c:v>
                </c:pt>
                <c:pt idx="15">
                  <c:v>5780</c:v>
                </c:pt>
                <c:pt idx="16">
                  <c:v>5440</c:v>
                </c:pt>
                <c:pt idx="17">
                  <c:v>5087</c:v>
                </c:pt>
                <c:pt idx="18">
                  <c:v>5163</c:v>
                </c:pt>
                <c:pt idx="19">
                  <c:v>6554</c:v>
                </c:pt>
                <c:pt idx="20">
                  <c:v>5874</c:v>
                </c:pt>
                <c:pt idx="21">
                  <c:v>6225</c:v>
                </c:pt>
                <c:pt idx="22">
                  <c:v>5304</c:v>
                </c:pt>
                <c:pt idx="23">
                  <c:v>6120</c:v>
                </c:pt>
                <c:pt idx="24">
                  <c:v>5960</c:v>
                </c:pt>
                <c:pt idx="25">
                  <c:v>6675</c:v>
                </c:pt>
                <c:pt idx="26">
                  <c:v>7193</c:v>
                </c:pt>
                <c:pt idx="27">
                  <c:v>8024</c:v>
                </c:pt>
                <c:pt idx="28">
                  <c:v>7540</c:v>
                </c:pt>
                <c:pt idx="29">
                  <c:v>5420</c:v>
                </c:pt>
                <c:pt idx="30">
                  <c:v>6800</c:v>
                </c:pt>
                <c:pt idx="31">
                  <c:v>6868</c:v>
                </c:pt>
                <c:pt idx="32">
                  <c:v>6733</c:v>
                </c:pt>
                <c:pt idx="33">
                  <c:v>7150</c:v>
                </c:pt>
                <c:pt idx="34">
                  <c:v>7640</c:v>
                </c:pt>
                <c:pt idx="35">
                  <c:v>6818</c:v>
                </c:pt>
                <c:pt idx="36">
                  <c:v>6476</c:v>
                </c:pt>
                <c:pt idx="37">
                  <c:v>5754</c:v>
                </c:pt>
                <c:pt idx="38">
                  <c:v>7876</c:v>
                </c:pt>
                <c:pt idx="39">
                  <c:v>7768</c:v>
                </c:pt>
                <c:pt idx="40">
                  <c:v>6933</c:v>
                </c:pt>
                <c:pt idx="41">
                  <c:v>7067</c:v>
                </c:pt>
                <c:pt idx="42">
                  <c:v>7050</c:v>
                </c:pt>
                <c:pt idx="43">
                  <c:v>8709</c:v>
                </c:pt>
                <c:pt idx="44">
                  <c:v>8996</c:v>
                </c:pt>
                <c:pt idx="45">
                  <c:v>7874</c:v>
                </c:pt>
                <c:pt idx="46">
                  <c:v>7695</c:v>
                </c:pt>
                <c:pt idx="47">
                  <c:v>8199</c:v>
                </c:pt>
                <c:pt idx="48">
                  <c:v>8570</c:v>
                </c:pt>
                <c:pt idx="49">
                  <c:v>7657</c:v>
                </c:pt>
                <c:pt idx="50">
                  <c:v>8908</c:v>
                </c:pt>
                <c:pt idx="51" formatCode="_(* #,##0_);_(* \(#,##0\);_(* &quot;-&quot;??_);_(@_)">
                  <c:v>13476.994000000001</c:v>
                </c:pt>
                <c:pt idx="52" formatCode="_(* #,##0_);_(* \(#,##0\);_(* &quot;-&quot;??_);_(@_)">
                  <c:v>11549.880999999999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Bra!$C$15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Bra!$D$15:$BD$15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9</c:v>
                </c:pt>
                <c:pt idx="12">
                  <c:v>11</c:v>
                </c:pt>
                <c:pt idx="13">
                  <c:v>20</c:v>
                </c:pt>
                <c:pt idx="14">
                  <c:v>40</c:v>
                </c:pt>
                <c:pt idx="15">
                  <c:v>0</c:v>
                </c:pt>
                <c:pt idx="16">
                  <c:v>0</c:v>
                </c:pt>
                <c:pt idx="17">
                  <c:v>78</c:v>
                </c:pt>
                <c:pt idx="18">
                  <c:v>736</c:v>
                </c:pt>
                <c:pt idx="19">
                  <c:v>242</c:v>
                </c:pt>
                <c:pt idx="20">
                  <c:v>0</c:v>
                </c:pt>
                <c:pt idx="21">
                  <c:v>180</c:v>
                </c:pt>
                <c:pt idx="22">
                  <c:v>340</c:v>
                </c:pt>
                <c:pt idx="23">
                  <c:v>41</c:v>
                </c:pt>
                <c:pt idx="24">
                  <c:v>700</c:v>
                </c:pt>
                <c:pt idx="25" formatCode="#,##0">
                  <c:v>1300</c:v>
                </c:pt>
                <c:pt idx="26">
                  <c:v>50</c:v>
                </c:pt>
                <c:pt idx="27">
                  <c:v>64</c:v>
                </c:pt>
                <c:pt idx="28">
                  <c:v>180</c:v>
                </c:pt>
                <c:pt idx="29">
                  <c:v>405</c:v>
                </c:pt>
                <c:pt idx="30">
                  <c:v>965</c:v>
                </c:pt>
                <c:pt idx="31">
                  <c:v>450</c:v>
                </c:pt>
                <c:pt idx="32">
                  <c:v>716</c:v>
                </c:pt>
                <c:pt idx="33">
                  <c:v>980</c:v>
                </c:pt>
                <c:pt idx="34">
                  <c:v>895</c:v>
                </c:pt>
                <c:pt idx="35">
                  <c:v>770</c:v>
                </c:pt>
                <c:pt idx="36">
                  <c:v>624</c:v>
                </c:pt>
                <c:pt idx="37" formatCode="#,##0">
                  <c:v>1372</c:v>
                </c:pt>
                <c:pt idx="38">
                  <c:v>854</c:v>
                </c:pt>
                <c:pt idx="39">
                  <c:v>538</c:v>
                </c:pt>
                <c:pt idx="40">
                  <c:v>663</c:v>
                </c:pt>
                <c:pt idx="41">
                  <c:v>579</c:v>
                </c:pt>
                <c:pt idx="42" formatCode="#,##0">
                  <c:v>1226</c:v>
                </c:pt>
                <c:pt idx="43">
                  <c:v>881</c:v>
                </c:pt>
                <c:pt idx="44">
                  <c:v>510</c:v>
                </c:pt>
                <c:pt idx="45">
                  <c:v>750</c:v>
                </c:pt>
                <c:pt idx="46">
                  <c:v>732</c:v>
                </c:pt>
                <c:pt idx="47">
                  <c:v>422</c:v>
                </c:pt>
                <c:pt idx="48">
                  <c:v>675</c:v>
                </c:pt>
                <c:pt idx="49">
                  <c:v>725</c:v>
                </c:pt>
                <c:pt idx="50">
                  <c:v>500</c:v>
                </c:pt>
                <c:pt idx="51" formatCode="_(* #,##0_);_(* \(#,##0\);_(* &quot;-&quot;??_);_(@_)">
                  <c:v>580.59400000000005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Bra!$C$16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Bra!$D$16:$BD$16</c:f>
              <c:numCache>
                <c:formatCode>General</c:formatCode>
                <c:ptCount val="53"/>
                <c:pt idx="0">
                  <c:v>151</c:v>
                </c:pt>
                <c:pt idx="1">
                  <c:v>44</c:v>
                </c:pt>
                <c:pt idx="2">
                  <c:v>0</c:v>
                </c:pt>
                <c:pt idx="3">
                  <c:v>12</c:v>
                </c:pt>
                <c:pt idx="4">
                  <c:v>237</c:v>
                </c:pt>
                <c:pt idx="5">
                  <c:v>289</c:v>
                </c:pt>
                <c:pt idx="6">
                  <c:v>32</c:v>
                </c:pt>
                <c:pt idx="7">
                  <c:v>158</c:v>
                </c:pt>
                <c:pt idx="8">
                  <c:v>70</c:v>
                </c:pt>
                <c:pt idx="9">
                  <c:v>95</c:v>
                </c:pt>
                <c:pt idx="10">
                  <c:v>143</c:v>
                </c:pt>
                <c:pt idx="11">
                  <c:v>20</c:v>
                </c:pt>
                <c:pt idx="12">
                  <c:v>49</c:v>
                </c:pt>
                <c:pt idx="13">
                  <c:v>30</c:v>
                </c:pt>
                <c:pt idx="14">
                  <c:v>3</c:v>
                </c:pt>
                <c:pt idx="15">
                  <c:v>182</c:v>
                </c:pt>
                <c:pt idx="16">
                  <c:v>388</c:v>
                </c:pt>
                <c:pt idx="17">
                  <c:v>65</c:v>
                </c:pt>
                <c:pt idx="18">
                  <c:v>0</c:v>
                </c:pt>
                <c:pt idx="19">
                  <c:v>0</c:v>
                </c:pt>
                <c:pt idx="20">
                  <c:v>50</c:v>
                </c:pt>
                <c:pt idx="21">
                  <c:v>14</c:v>
                </c:pt>
                <c:pt idx="22">
                  <c:v>7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20</c:v>
                </c:pt>
                <c:pt idx="28">
                  <c:v>5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11</c:v>
                </c:pt>
                <c:pt idx="35">
                  <c:v>8</c:v>
                </c:pt>
                <c:pt idx="36">
                  <c:v>10</c:v>
                </c:pt>
                <c:pt idx="37">
                  <c:v>5</c:v>
                </c:pt>
                <c:pt idx="38">
                  <c:v>46</c:v>
                </c:pt>
                <c:pt idx="39">
                  <c:v>58</c:v>
                </c:pt>
                <c:pt idx="40">
                  <c:v>22</c:v>
                </c:pt>
                <c:pt idx="41">
                  <c:v>25</c:v>
                </c:pt>
                <c:pt idx="42">
                  <c:v>19</c:v>
                </c:pt>
                <c:pt idx="43">
                  <c:v>79</c:v>
                </c:pt>
                <c:pt idx="44">
                  <c:v>282</c:v>
                </c:pt>
                <c:pt idx="45">
                  <c:v>274</c:v>
                </c:pt>
                <c:pt idx="46">
                  <c:v>242</c:v>
                </c:pt>
                <c:pt idx="47">
                  <c:v>550</c:v>
                </c:pt>
                <c:pt idx="48">
                  <c:v>569</c:v>
                </c:pt>
                <c:pt idx="49">
                  <c:v>445</c:v>
                </c:pt>
                <c:pt idx="50">
                  <c:v>600</c:v>
                </c:pt>
                <c:pt idx="51" formatCode="_(* #,##0_);_(* \(#,##0\);_(* &quot;-&quot;??_);_(@_)">
                  <c:v>1291.598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Bra!$C$17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Bra!$D$17:$BD$17</c:f>
              <c:numCache>
                <c:formatCode>#,##0</c:formatCode>
                <c:ptCount val="53"/>
                <c:pt idx="0">
                  <c:v>3516</c:v>
                </c:pt>
                <c:pt idx="1">
                  <c:v>3735</c:v>
                </c:pt>
                <c:pt idx="2">
                  <c:v>3903</c:v>
                </c:pt>
                <c:pt idx="3">
                  <c:v>4303</c:v>
                </c:pt>
                <c:pt idx="4">
                  <c:v>4917</c:v>
                </c:pt>
                <c:pt idx="5">
                  <c:v>3656</c:v>
                </c:pt>
                <c:pt idx="6">
                  <c:v>4587</c:v>
                </c:pt>
                <c:pt idx="7">
                  <c:v>4365</c:v>
                </c:pt>
                <c:pt idx="8">
                  <c:v>4278</c:v>
                </c:pt>
                <c:pt idx="9">
                  <c:v>3686</c:v>
                </c:pt>
                <c:pt idx="10">
                  <c:v>4546</c:v>
                </c:pt>
                <c:pt idx="11">
                  <c:v>3770</c:v>
                </c:pt>
                <c:pt idx="12">
                  <c:v>4701</c:v>
                </c:pt>
                <c:pt idx="13">
                  <c:v>4472</c:v>
                </c:pt>
                <c:pt idx="14">
                  <c:v>4455</c:v>
                </c:pt>
                <c:pt idx="15">
                  <c:v>4972</c:v>
                </c:pt>
                <c:pt idx="16">
                  <c:v>5325</c:v>
                </c:pt>
                <c:pt idx="17">
                  <c:v>5591</c:v>
                </c:pt>
                <c:pt idx="18">
                  <c:v>5768</c:v>
                </c:pt>
                <c:pt idx="19">
                  <c:v>6120</c:v>
                </c:pt>
                <c:pt idx="20">
                  <c:v>6256</c:v>
                </c:pt>
                <c:pt idx="21">
                  <c:v>6392</c:v>
                </c:pt>
                <c:pt idx="22">
                  <c:v>6181</c:v>
                </c:pt>
                <c:pt idx="23">
                  <c:v>6069</c:v>
                </c:pt>
                <c:pt idx="24">
                  <c:v>6212</c:v>
                </c:pt>
                <c:pt idx="25">
                  <c:v>6675</c:v>
                </c:pt>
                <c:pt idx="26">
                  <c:v>7058</c:v>
                </c:pt>
                <c:pt idx="27">
                  <c:v>7100</c:v>
                </c:pt>
                <c:pt idx="28">
                  <c:v>7475</c:v>
                </c:pt>
                <c:pt idx="29">
                  <c:v>7643</c:v>
                </c:pt>
                <c:pt idx="30">
                  <c:v>7675</c:v>
                </c:pt>
                <c:pt idx="31">
                  <c:v>7700</c:v>
                </c:pt>
                <c:pt idx="32">
                  <c:v>7750</c:v>
                </c:pt>
                <c:pt idx="33">
                  <c:v>7765</c:v>
                </c:pt>
                <c:pt idx="34">
                  <c:v>7780</c:v>
                </c:pt>
                <c:pt idx="35">
                  <c:v>7815</c:v>
                </c:pt>
                <c:pt idx="36">
                  <c:v>7850</c:v>
                </c:pt>
                <c:pt idx="37">
                  <c:v>7800</c:v>
                </c:pt>
                <c:pt idx="38">
                  <c:v>8000</c:v>
                </c:pt>
                <c:pt idx="39">
                  <c:v>8025</c:v>
                </c:pt>
                <c:pt idx="40">
                  <c:v>8025</c:v>
                </c:pt>
                <c:pt idx="41">
                  <c:v>8050</c:v>
                </c:pt>
                <c:pt idx="42">
                  <c:v>8150</c:v>
                </c:pt>
                <c:pt idx="43">
                  <c:v>8700</c:v>
                </c:pt>
                <c:pt idx="44">
                  <c:v>9000</c:v>
                </c:pt>
                <c:pt idx="45">
                  <c:v>8800</c:v>
                </c:pt>
                <c:pt idx="46">
                  <c:v>8400</c:v>
                </c:pt>
                <c:pt idx="47">
                  <c:v>8350</c:v>
                </c:pt>
                <c:pt idx="48">
                  <c:v>8400</c:v>
                </c:pt>
                <c:pt idx="49">
                  <c:v>8400</c:v>
                </c:pt>
                <c:pt idx="50">
                  <c:v>8400</c:v>
                </c:pt>
                <c:pt idx="51" formatCode="_(* #,##0_);_(* \(#,##0\);_(* &quot;-&quot;??_);_(@_)">
                  <c:v>12765.99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603952"/>
        <c:axId val="308604344"/>
      </c:lineChart>
      <c:catAx>
        <c:axId val="3086039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4344"/>
        <c:crosses val="autoZero"/>
        <c:auto val="1"/>
        <c:lblAlgn val="ctr"/>
        <c:lblOffset val="100"/>
        <c:noMultiLvlLbl val="0"/>
      </c:catAx>
      <c:valAx>
        <c:axId val="30860434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395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91165128933230188"/>
          <c:h val="0.10780685832101061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Bra!$C$18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Bra!$D$18:$BD$18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170</c:v>
                </c:pt>
                <c:pt idx="11">
                  <c:v>220</c:v>
                </c:pt>
                <c:pt idx="12">
                  <c:v>249</c:v>
                </c:pt>
                <c:pt idx="13">
                  <c:v>243</c:v>
                </c:pt>
                <c:pt idx="14">
                  <c:v>202</c:v>
                </c:pt>
                <c:pt idx="15">
                  <c:v>277</c:v>
                </c:pt>
                <c:pt idx="16">
                  <c:v>435</c:v>
                </c:pt>
                <c:pt idx="17">
                  <c:v>228</c:v>
                </c:pt>
                <c:pt idx="18">
                  <c:v>142</c:v>
                </c:pt>
                <c:pt idx="19">
                  <c:v>182</c:v>
                </c:pt>
                <c:pt idx="20">
                  <c:v>212</c:v>
                </c:pt>
                <c:pt idx="21">
                  <c:v>204</c:v>
                </c:pt>
                <c:pt idx="22">
                  <c:v>240</c:v>
                </c:pt>
                <c:pt idx="23">
                  <c:v>330</c:v>
                </c:pt>
                <c:pt idx="24">
                  <c:v>310</c:v>
                </c:pt>
                <c:pt idx="25">
                  <c:v>400</c:v>
                </c:pt>
                <c:pt idx="26">
                  <c:v>470</c:v>
                </c:pt>
                <c:pt idx="27">
                  <c:v>350</c:v>
                </c:pt>
                <c:pt idx="28">
                  <c:v>260</c:v>
                </c:pt>
                <c:pt idx="29">
                  <c:v>340</c:v>
                </c:pt>
                <c:pt idx="30">
                  <c:v>295</c:v>
                </c:pt>
                <c:pt idx="31">
                  <c:v>290</c:v>
                </c:pt>
                <c:pt idx="32">
                  <c:v>280</c:v>
                </c:pt>
                <c:pt idx="33">
                  <c:v>400</c:v>
                </c:pt>
                <c:pt idx="34">
                  <c:v>350</c:v>
                </c:pt>
                <c:pt idx="35">
                  <c:v>350</c:v>
                </c:pt>
                <c:pt idx="36">
                  <c:v>435</c:v>
                </c:pt>
                <c:pt idx="37">
                  <c:v>547</c:v>
                </c:pt>
                <c:pt idx="38">
                  <c:v>540</c:v>
                </c:pt>
                <c:pt idx="39">
                  <c:v>778</c:v>
                </c:pt>
                <c:pt idx="40">
                  <c:v>793</c:v>
                </c:pt>
                <c:pt idx="41">
                  <c:v>773</c:v>
                </c:pt>
                <c:pt idx="42">
                  <c:v>787</c:v>
                </c:pt>
                <c:pt idx="43" formatCode="#,##0">
                  <c:v>1805</c:v>
                </c:pt>
                <c:pt idx="44" formatCode="#,##0">
                  <c:v>2059</c:v>
                </c:pt>
                <c:pt idx="45" formatCode="#,##0">
                  <c:v>1523</c:v>
                </c:pt>
                <c:pt idx="46" formatCode="#,##0">
                  <c:v>1605</c:v>
                </c:pt>
                <c:pt idx="47" formatCode="#,##0">
                  <c:v>1441</c:v>
                </c:pt>
                <c:pt idx="48" formatCode="#,##0">
                  <c:v>2004</c:v>
                </c:pt>
                <c:pt idx="49" formatCode="#,##0">
                  <c:v>1854</c:v>
                </c:pt>
                <c:pt idx="50" formatCode="#,##0">
                  <c:v>1709</c:v>
                </c:pt>
                <c:pt idx="51" formatCode="_(* #,##0_);_(* \(#,##0\);_(* &quot;-&quot;??_);_(@_)">
                  <c:v>1931.135</c:v>
                </c:pt>
                <c:pt idx="52" formatCode="_(* #,##0_);_(* \(#,##0\);_(* &quot;-&quot;??_);_(@_)">
                  <c:v>2016.873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Bra!$C$19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Bra!$D$19:$BD$19</c:f>
              <c:numCache>
                <c:formatCode>General</c:formatCode>
                <c:ptCount val="53"/>
                <c:pt idx="0">
                  <c:v>6</c:v>
                </c:pt>
                <c:pt idx="1">
                  <c:v>10</c:v>
                </c:pt>
                <c:pt idx="2">
                  <c:v>17</c:v>
                </c:pt>
                <c:pt idx="3">
                  <c:v>13</c:v>
                </c:pt>
                <c:pt idx="4">
                  <c:v>11</c:v>
                </c:pt>
                <c:pt idx="5">
                  <c:v>14</c:v>
                </c:pt>
                <c:pt idx="6">
                  <c:v>11</c:v>
                </c:pt>
                <c:pt idx="7">
                  <c:v>23</c:v>
                </c:pt>
                <c:pt idx="8">
                  <c:v>18</c:v>
                </c:pt>
                <c:pt idx="9">
                  <c:v>12</c:v>
                </c:pt>
                <c:pt idx="10">
                  <c:v>10</c:v>
                </c:pt>
                <c:pt idx="11">
                  <c:v>16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14</c:v>
                </c:pt>
                <c:pt idx="33">
                  <c:v>5</c:v>
                </c:pt>
                <c:pt idx="34">
                  <c:v>3</c:v>
                </c:pt>
                <c:pt idx="35">
                  <c:v>0</c:v>
                </c:pt>
                <c:pt idx="36">
                  <c:v>0</c:v>
                </c:pt>
                <c:pt idx="37">
                  <c:v>6</c:v>
                </c:pt>
                <c:pt idx="38">
                  <c:v>20</c:v>
                </c:pt>
                <c:pt idx="39">
                  <c:v>258</c:v>
                </c:pt>
                <c:pt idx="40">
                  <c:v>141</c:v>
                </c:pt>
                <c:pt idx="41">
                  <c:v>4</c:v>
                </c:pt>
                <c:pt idx="42">
                  <c:v>0</c:v>
                </c:pt>
                <c:pt idx="43">
                  <c:v>9</c:v>
                </c:pt>
                <c:pt idx="44">
                  <c:v>82</c:v>
                </c:pt>
                <c:pt idx="45">
                  <c:v>12</c:v>
                </c:pt>
                <c:pt idx="46">
                  <c:v>1</c:v>
                </c:pt>
                <c:pt idx="47">
                  <c:v>12</c:v>
                </c:pt>
                <c:pt idx="48">
                  <c:v>2</c:v>
                </c:pt>
                <c:pt idx="49">
                  <c:v>4</c:v>
                </c:pt>
                <c:pt idx="50">
                  <c:v>5</c:v>
                </c:pt>
                <c:pt idx="51" formatCode="_(* #,##0_);_(* \(#,##0\);_(* &quot;-&quot;??_);_(@_)">
                  <c:v>0.22500000000000001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Bra!$C$20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Bra!$D$20:$BD$20</c:f>
              <c:numCache>
                <c:formatCode>General</c:formatCode>
                <c:ptCount val="53"/>
                <c:pt idx="0">
                  <c:v>0</c:v>
                </c:pt>
                <c:pt idx="1">
                  <c:v>1</c:v>
                </c:pt>
                <c:pt idx="2">
                  <c:v>10</c:v>
                </c:pt>
                <c:pt idx="3">
                  <c:v>8</c:v>
                </c:pt>
                <c:pt idx="4">
                  <c:v>6</c:v>
                </c:pt>
                <c:pt idx="5">
                  <c:v>3</c:v>
                </c:pt>
                <c:pt idx="6">
                  <c:v>2</c:v>
                </c:pt>
                <c:pt idx="7">
                  <c:v>18</c:v>
                </c:pt>
                <c:pt idx="8">
                  <c:v>12</c:v>
                </c:pt>
                <c:pt idx="9">
                  <c:v>0</c:v>
                </c:pt>
                <c:pt idx="10">
                  <c:v>8</c:v>
                </c:pt>
                <c:pt idx="11">
                  <c:v>23</c:v>
                </c:pt>
                <c:pt idx="12">
                  <c:v>10</c:v>
                </c:pt>
                <c:pt idx="13">
                  <c:v>44</c:v>
                </c:pt>
                <c:pt idx="14">
                  <c:v>0</c:v>
                </c:pt>
                <c:pt idx="15">
                  <c:v>0</c:v>
                </c:pt>
                <c:pt idx="16">
                  <c:v>50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11</c:v>
                </c:pt>
                <c:pt idx="21">
                  <c:v>27</c:v>
                </c:pt>
                <c:pt idx="22">
                  <c:v>40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2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11</c:v>
                </c:pt>
                <c:pt idx="42">
                  <c:v>64</c:v>
                </c:pt>
                <c:pt idx="43">
                  <c:v>371</c:v>
                </c:pt>
                <c:pt idx="44">
                  <c:v>24</c:v>
                </c:pt>
                <c:pt idx="45">
                  <c:v>0</c:v>
                </c:pt>
                <c:pt idx="46">
                  <c:v>115</c:v>
                </c:pt>
                <c:pt idx="47">
                  <c:v>116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 formatCode="_(* #,##0_);_(* \(#,##0\);_(* &quot;-&quot;??_);_(@_)">
                  <c:v>0.44400000000000001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Bra!$C$21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Bra!$D$21:$BD$21</c:f>
              <c:numCache>
                <c:formatCode>General</c:formatCode>
                <c:ptCount val="53"/>
                <c:pt idx="0">
                  <c:v>6</c:v>
                </c:pt>
                <c:pt idx="1">
                  <c:v>9</c:v>
                </c:pt>
                <c:pt idx="2">
                  <c:v>7</c:v>
                </c:pt>
                <c:pt idx="3">
                  <c:v>5</c:v>
                </c:pt>
                <c:pt idx="4">
                  <c:v>5</c:v>
                </c:pt>
                <c:pt idx="5">
                  <c:v>11</c:v>
                </c:pt>
                <c:pt idx="6">
                  <c:v>9</c:v>
                </c:pt>
                <c:pt idx="7">
                  <c:v>5</c:v>
                </c:pt>
                <c:pt idx="8">
                  <c:v>6</c:v>
                </c:pt>
                <c:pt idx="9">
                  <c:v>12</c:v>
                </c:pt>
                <c:pt idx="10">
                  <c:v>172</c:v>
                </c:pt>
                <c:pt idx="11">
                  <c:v>213</c:v>
                </c:pt>
                <c:pt idx="12">
                  <c:v>239</c:v>
                </c:pt>
                <c:pt idx="13">
                  <c:v>199</c:v>
                </c:pt>
                <c:pt idx="14">
                  <c:v>202</c:v>
                </c:pt>
                <c:pt idx="15">
                  <c:v>277</c:v>
                </c:pt>
                <c:pt idx="16">
                  <c:v>385</c:v>
                </c:pt>
                <c:pt idx="17">
                  <c:v>228</c:v>
                </c:pt>
                <c:pt idx="18">
                  <c:v>142</c:v>
                </c:pt>
                <c:pt idx="19">
                  <c:v>182</c:v>
                </c:pt>
                <c:pt idx="20">
                  <c:v>201</c:v>
                </c:pt>
                <c:pt idx="21">
                  <c:v>177</c:v>
                </c:pt>
                <c:pt idx="22">
                  <c:v>200</c:v>
                </c:pt>
                <c:pt idx="23">
                  <c:v>330</c:v>
                </c:pt>
                <c:pt idx="24">
                  <c:v>310</c:v>
                </c:pt>
                <c:pt idx="25">
                  <c:v>400</c:v>
                </c:pt>
                <c:pt idx="26">
                  <c:v>470</c:v>
                </c:pt>
                <c:pt idx="27">
                  <c:v>350</c:v>
                </c:pt>
                <c:pt idx="28">
                  <c:v>260</c:v>
                </c:pt>
                <c:pt idx="29">
                  <c:v>340</c:v>
                </c:pt>
                <c:pt idx="30">
                  <c:v>295</c:v>
                </c:pt>
                <c:pt idx="31">
                  <c:v>290</c:v>
                </c:pt>
                <c:pt idx="32">
                  <c:v>292</c:v>
                </c:pt>
                <c:pt idx="33">
                  <c:v>405</c:v>
                </c:pt>
                <c:pt idx="34">
                  <c:v>353</c:v>
                </c:pt>
                <c:pt idx="35">
                  <c:v>350</c:v>
                </c:pt>
                <c:pt idx="36">
                  <c:v>435</c:v>
                </c:pt>
                <c:pt idx="37">
                  <c:v>553</c:v>
                </c:pt>
                <c:pt idx="38">
                  <c:v>560</c:v>
                </c:pt>
                <c:pt idx="39" formatCode="#,##0">
                  <c:v>1000</c:v>
                </c:pt>
                <c:pt idx="40">
                  <c:v>950</c:v>
                </c:pt>
                <c:pt idx="41">
                  <c:v>750</c:v>
                </c:pt>
                <c:pt idx="42">
                  <c:v>750</c:v>
                </c:pt>
                <c:pt idx="43" formatCode="#,##0">
                  <c:v>1275</c:v>
                </c:pt>
                <c:pt idx="44" formatCode="#,##0">
                  <c:v>2075</c:v>
                </c:pt>
                <c:pt idx="45" formatCode="#,##0">
                  <c:v>1675</c:v>
                </c:pt>
                <c:pt idx="46" formatCode="#,##0">
                  <c:v>1475</c:v>
                </c:pt>
                <c:pt idx="47" formatCode="#,##0">
                  <c:v>1375</c:v>
                </c:pt>
                <c:pt idx="48" formatCode="#,##0">
                  <c:v>1875</c:v>
                </c:pt>
                <c:pt idx="49" formatCode="#,##0">
                  <c:v>1875</c:v>
                </c:pt>
                <c:pt idx="50" formatCode="#,##0">
                  <c:v>1775</c:v>
                </c:pt>
                <c:pt idx="51" formatCode="_(* #,##0_);_(* \(#,##0\);_(* &quot;-&quot;??_);_(@_)">
                  <c:v>1930.9159999999999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605128"/>
        <c:axId val="308605520"/>
      </c:lineChart>
      <c:catAx>
        <c:axId val="308605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5520"/>
        <c:crosses val="autoZero"/>
        <c:auto val="1"/>
        <c:lblAlgn val="ctr"/>
        <c:lblOffset val="100"/>
        <c:noMultiLvlLbl val="0"/>
      </c:catAx>
      <c:valAx>
        <c:axId val="30860552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860512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91165128933230188"/>
          <c:h val="0.1078068583210106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Bra!$C$22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Bra!$D$22:$BD$22</c:f>
              <c:numCache>
                <c:formatCode>#,##0</c:formatCode>
                <c:ptCount val="53"/>
                <c:pt idx="0">
                  <c:v>59377.392</c:v>
                </c:pt>
                <c:pt idx="1">
                  <c:v>62534.512000000002</c:v>
                </c:pt>
                <c:pt idx="2">
                  <c:v>63722.896000000001</c:v>
                </c:pt>
                <c:pt idx="3">
                  <c:v>66368.975999999995</c:v>
                </c:pt>
                <c:pt idx="4">
                  <c:v>75852.864000000001</c:v>
                </c:pt>
                <c:pt idx="5">
                  <c:v>75787.520000000004</c:v>
                </c:pt>
                <c:pt idx="6">
                  <c:v>77086.528000000006</c:v>
                </c:pt>
                <c:pt idx="7">
                  <c:v>76610.495999999999</c:v>
                </c:pt>
                <c:pt idx="8">
                  <c:v>75247.088000000003</c:v>
                </c:pt>
                <c:pt idx="9">
                  <c:v>79757.944000000003</c:v>
                </c:pt>
                <c:pt idx="10">
                  <c:v>80380.399999999994</c:v>
                </c:pt>
                <c:pt idx="11">
                  <c:v>85106.224000000002</c:v>
                </c:pt>
                <c:pt idx="12">
                  <c:v>91994.032000000007</c:v>
                </c:pt>
                <c:pt idx="13">
                  <c:v>95623.679999999993</c:v>
                </c:pt>
                <c:pt idx="14">
                  <c:v>91524.56</c:v>
                </c:pt>
                <c:pt idx="15">
                  <c:v>103173.45600000001</c:v>
                </c:pt>
                <c:pt idx="16">
                  <c:v>120081.696</c:v>
                </c:pt>
                <c:pt idx="17">
                  <c:v>129144.944</c:v>
                </c:pt>
                <c:pt idx="18">
                  <c:v>138898.88</c:v>
                </c:pt>
                <c:pt idx="19">
                  <c:v>148650.56</c:v>
                </c:pt>
                <c:pt idx="20">
                  <c:v>155924.11199999999</c:v>
                </c:pt>
                <c:pt idx="21">
                  <c:v>186646.60800000001</c:v>
                </c:pt>
                <c:pt idx="22">
                  <c:v>216036.96</c:v>
                </c:pt>
                <c:pt idx="23">
                  <c:v>222317.84</c:v>
                </c:pt>
                <c:pt idx="24">
                  <c:v>247199.47200000001</c:v>
                </c:pt>
                <c:pt idx="25">
                  <c:v>238443.008</c:v>
                </c:pt>
                <c:pt idx="26">
                  <c:v>26850.400000000001</c:v>
                </c:pt>
                <c:pt idx="27">
                  <c:v>258294</c:v>
                </c:pt>
                <c:pt idx="28">
                  <c:v>252290</c:v>
                </c:pt>
                <c:pt idx="29">
                  <c:v>262674.14399999997</c:v>
                </c:pt>
                <c:pt idx="30">
                  <c:v>260887.88800000001</c:v>
                </c:pt>
                <c:pt idx="31">
                  <c:v>271474.88</c:v>
                </c:pt>
                <c:pt idx="32">
                  <c:v>244530.704</c:v>
                </c:pt>
                <c:pt idx="33">
                  <c:v>292101.82400000002</c:v>
                </c:pt>
                <c:pt idx="34">
                  <c:v>303699.48800000001</c:v>
                </c:pt>
                <c:pt idx="35">
                  <c:v>317105.984</c:v>
                </c:pt>
                <c:pt idx="36">
                  <c:v>331612.67200000002</c:v>
                </c:pt>
                <c:pt idx="37">
                  <c:v>345254.97600000002</c:v>
                </c:pt>
                <c:pt idx="38">
                  <c:v>333848</c:v>
                </c:pt>
                <c:pt idx="39">
                  <c:v>327704.99200000003</c:v>
                </c:pt>
                <c:pt idx="40">
                  <c:v>345942.016</c:v>
                </c:pt>
                <c:pt idx="41">
                  <c:v>364391.00799999997</c:v>
                </c:pt>
                <c:pt idx="42">
                  <c:v>396012</c:v>
                </c:pt>
                <c:pt idx="43">
                  <c:v>415205.83500000002</c:v>
                </c:pt>
                <c:pt idx="44">
                  <c:v>422956.64600000001</c:v>
                </c:pt>
                <c:pt idx="45">
                  <c:v>477410.65600000002</c:v>
                </c:pt>
                <c:pt idx="46">
                  <c:v>549707.32799999998</c:v>
                </c:pt>
                <c:pt idx="47">
                  <c:v>645300.18200000003</c:v>
                </c:pt>
                <c:pt idx="48">
                  <c:v>691606.147</c:v>
                </c:pt>
                <c:pt idx="49">
                  <c:v>717463.79299999995</c:v>
                </c:pt>
                <c:pt idx="50">
                  <c:v>734006.05900000001</c:v>
                </c:pt>
                <c:pt idx="51" formatCode="_(* #,##0_);_(* \(#,##0\);_(* &quot;-&quot;??_);_(@_)">
                  <c:v>721077.28700000001</c:v>
                </c:pt>
                <c:pt idx="52" formatCode="_(* #,##0_);_(* \(#,##0\);_(* &quot;-&quot;??_);_(@_)">
                  <c:v>768090.44400000002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Bra!$C$23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Bra!$D$23:$BD$23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289</c:v>
                </c:pt>
                <c:pt idx="30">
                  <c:v>81</c:v>
                </c:pt>
                <c:pt idx="31">
                  <c:v>0</c:v>
                </c:pt>
                <c:pt idx="32">
                  <c:v>55</c:v>
                </c:pt>
                <c:pt idx="33">
                  <c:v>6</c:v>
                </c:pt>
                <c:pt idx="34">
                  <c:v>55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 formatCode="_(* #,##0_);_(* \(#,##0\);_(* &quot;-&quot;??_);_(@_)">
                  <c:v>5.0000000000000001E-3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Bra!$C$24</c:f>
              <c:strCache>
                <c:ptCount val="1"/>
                <c:pt idx="0">
                  <c:v>Total 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Bra!$D$24:$BD$24</c:f>
              <c:numCache>
                <c:formatCode>General</c:formatCode>
                <c:ptCount val="53"/>
                <c:pt idx="0">
                  <c:v>783</c:v>
                </c:pt>
                <c:pt idx="1">
                  <c:v>645</c:v>
                </c:pt>
                <c:pt idx="2">
                  <c:v>600</c:v>
                </c:pt>
                <c:pt idx="3">
                  <c:v>453</c:v>
                </c:pt>
                <c:pt idx="4">
                  <c:v>710</c:v>
                </c:pt>
                <c:pt idx="5" formatCode="#,##0">
                  <c:v>1005</c:v>
                </c:pt>
                <c:pt idx="6" formatCode="#,##0">
                  <c:v>1001</c:v>
                </c:pt>
                <c:pt idx="7" formatCode="#,##0">
                  <c:v>1026</c:v>
                </c:pt>
                <c:pt idx="8" formatCode="#,##0">
                  <c:v>1099</c:v>
                </c:pt>
                <c:pt idx="9" formatCode="#,##0">
                  <c:v>1075</c:v>
                </c:pt>
                <c:pt idx="10" formatCode="#,##0">
                  <c:v>1191</c:v>
                </c:pt>
                <c:pt idx="11" formatCode="#,##0">
                  <c:v>1854</c:v>
                </c:pt>
                <c:pt idx="12" formatCode="#,##0">
                  <c:v>2430</c:v>
                </c:pt>
                <c:pt idx="13" formatCode="#,##0">
                  <c:v>2650</c:v>
                </c:pt>
                <c:pt idx="14" formatCode="#,##0">
                  <c:v>2418</c:v>
                </c:pt>
                <c:pt idx="15" formatCode="#,##0">
                  <c:v>1244</c:v>
                </c:pt>
                <c:pt idx="16" formatCode="#,##0">
                  <c:v>1798</c:v>
                </c:pt>
                <c:pt idx="17" formatCode="#,##0">
                  <c:v>2391</c:v>
                </c:pt>
                <c:pt idx="18" formatCode="#,##0">
                  <c:v>1877</c:v>
                </c:pt>
                <c:pt idx="19" formatCode="#,##0">
                  <c:v>2333</c:v>
                </c:pt>
                <c:pt idx="20" formatCode="#,##0">
                  <c:v>2305</c:v>
                </c:pt>
                <c:pt idx="21" formatCode="#,##0">
                  <c:v>2615</c:v>
                </c:pt>
                <c:pt idx="22" formatCode="#,##0">
                  <c:v>2984</c:v>
                </c:pt>
                <c:pt idx="23" formatCode="#,##0">
                  <c:v>2700</c:v>
                </c:pt>
                <c:pt idx="24" formatCode="#,##0">
                  <c:v>3439</c:v>
                </c:pt>
                <c:pt idx="25" formatCode="#,##0">
                  <c:v>2560</c:v>
                </c:pt>
                <c:pt idx="26" formatCode="#,##0">
                  <c:v>2086</c:v>
                </c:pt>
                <c:pt idx="27" formatCode="#,##0">
                  <c:v>2131</c:v>
                </c:pt>
                <c:pt idx="28" formatCode="#,##0">
                  <c:v>1371</c:v>
                </c:pt>
                <c:pt idx="29" formatCode="#,##0">
                  <c:v>1500</c:v>
                </c:pt>
                <c:pt idx="30" formatCode="#,##0">
                  <c:v>1300</c:v>
                </c:pt>
                <c:pt idx="31" formatCode="#,##0">
                  <c:v>1607</c:v>
                </c:pt>
                <c:pt idx="32" formatCode="#,##0">
                  <c:v>2425</c:v>
                </c:pt>
                <c:pt idx="33" formatCode="#,##0">
                  <c:v>2861</c:v>
                </c:pt>
                <c:pt idx="34" formatCode="#,##0">
                  <c:v>4300</c:v>
                </c:pt>
                <c:pt idx="35" formatCode="#,##0">
                  <c:v>5800</c:v>
                </c:pt>
                <c:pt idx="36" formatCode="#,##0">
                  <c:v>5800</c:v>
                </c:pt>
                <c:pt idx="37" formatCode="#,##0">
                  <c:v>7200</c:v>
                </c:pt>
                <c:pt idx="38" formatCode="#,##0">
                  <c:v>8750</c:v>
                </c:pt>
                <c:pt idx="39" formatCode="#,##0">
                  <c:v>11300</c:v>
                </c:pt>
                <c:pt idx="40" formatCode="#,##0">
                  <c:v>7700</c:v>
                </c:pt>
                <c:pt idx="41" formatCode="#,##0">
                  <c:v>11600</c:v>
                </c:pt>
                <c:pt idx="42" formatCode="#,##0">
                  <c:v>14000</c:v>
                </c:pt>
                <c:pt idx="43" formatCode="#,##0">
                  <c:v>15240</c:v>
                </c:pt>
                <c:pt idx="44" formatCode="#,##0">
                  <c:v>18020</c:v>
                </c:pt>
                <c:pt idx="45" formatCode="#,##0">
                  <c:v>17090</c:v>
                </c:pt>
                <c:pt idx="46" formatCode="#,##0">
                  <c:v>20850</c:v>
                </c:pt>
                <c:pt idx="47" formatCode="#,##0">
                  <c:v>19500</c:v>
                </c:pt>
                <c:pt idx="48" formatCode="#,##0">
                  <c:v>21550</c:v>
                </c:pt>
                <c:pt idx="49" formatCode="#,##0">
                  <c:v>24300</c:v>
                </c:pt>
                <c:pt idx="50" formatCode="#,##0">
                  <c:v>26850</c:v>
                </c:pt>
                <c:pt idx="51" formatCode="_(* #,##0_);_(* \(#,##0\);_(* &quot;-&quot;??_);_(@_)">
                  <c:v>20152.914000000001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Bra!$C$25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Bra!$D$25:$BD$25</c:f>
              <c:numCache>
                <c:formatCode>#,##0</c:formatCode>
                <c:ptCount val="53"/>
                <c:pt idx="0">
                  <c:v>2667</c:v>
                </c:pt>
                <c:pt idx="1">
                  <c:v>2731</c:v>
                </c:pt>
                <c:pt idx="2">
                  <c:v>2800</c:v>
                </c:pt>
                <c:pt idx="3">
                  <c:v>2891</c:v>
                </c:pt>
                <c:pt idx="4">
                  <c:v>2897</c:v>
                </c:pt>
                <c:pt idx="5">
                  <c:v>2946</c:v>
                </c:pt>
                <c:pt idx="6">
                  <c:v>3116</c:v>
                </c:pt>
                <c:pt idx="7">
                  <c:v>3317</c:v>
                </c:pt>
                <c:pt idx="8">
                  <c:v>3516</c:v>
                </c:pt>
                <c:pt idx="9">
                  <c:v>3540</c:v>
                </c:pt>
                <c:pt idx="10">
                  <c:v>3743</c:v>
                </c:pt>
                <c:pt idx="11">
                  <c:v>3900</c:v>
                </c:pt>
                <c:pt idx="12">
                  <c:v>4564</c:v>
                </c:pt>
                <c:pt idx="13">
                  <c:v>4596</c:v>
                </c:pt>
                <c:pt idx="14">
                  <c:v>4507</c:v>
                </c:pt>
                <c:pt idx="15">
                  <c:v>5177</c:v>
                </c:pt>
                <c:pt idx="16">
                  <c:v>5148</c:v>
                </c:pt>
                <c:pt idx="17">
                  <c:v>5165</c:v>
                </c:pt>
                <c:pt idx="18">
                  <c:v>5508</c:v>
                </c:pt>
                <c:pt idx="19">
                  <c:v>6098</c:v>
                </c:pt>
                <c:pt idx="20">
                  <c:v>6107</c:v>
                </c:pt>
                <c:pt idx="21">
                  <c:v>5832</c:v>
                </c:pt>
                <c:pt idx="22">
                  <c:v>6178</c:v>
                </c:pt>
                <c:pt idx="23">
                  <c:v>6300</c:v>
                </c:pt>
                <c:pt idx="24">
                  <c:v>6300</c:v>
                </c:pt>
                <c:pt idx="25">
                  <c:v>6300</c:v>
                </c:pt>
                <c:pt idx="26">
                  <c:v>6700</c:v>
                </c:pt>
                <c:pt idx="27">
                  <c:v>6400</c:v>
                </c:pt>
                <c:pt idx="28">
                  <c:v>6600</c:v>
                </c:pt>
                <c:pt idx="29">
                  <c:v>6800</c:v>
                </c:pt>
                <c:pt idx="30">
                  <c:v>7088</c:v>
                </c:pt>
                <c:pt idx="31">
                  <c:v>7400</c:v>
                </c:pt>
                <c:pt idx="32">
                  <c:v>7500</c:v>
                </c:pt>
                <c:pt idx="33">
                  <c:v>7500</c:v>
                </c:pt>
                <c:pt idx="34">
                  <c:v>8000</c:v>
                </c:pt>
                <c:pt idx="35">
                  <c:v>8100</c:v>
                </c:pt>
                <c:pt idx="36">
                  <c:v>8500</c:v>
                </c:pt>
                <c:pt idx="37">
                  <c:v>8800</c:v>
                </c:pt>
                <c:pt idx="38">
                  <c:v>9100</c:v>
                </c:pt>
                <c:pt idx="39">
                  <c:v>9100</c:v>
                </c:pt>
                <c:pt idx="40">
                  <c:v>9250</c:v>
                </c:pt>
                <c:pt idx="41">
                  <c:v>9450</c:v>
                </c:pt>
                <c:pt idx="42">
                  <c:v>9750</c:v>
                </c:pt>
                <c:pt idx="43">
                  <c:v>10400</c:v>
                </c:pt>
                <c:pt idx="44">
                  <c:v>10600</c:v>
                </c:pt>
                <c:pt idx="45">
                  <c:v>10630</c:v>
                </c:pt>
                <c:pt idx="46">
                  <c:v>10800</c:v>
                </c:pt>
                <c:pt idx="47">
                  <c:v>11400</c:v>
                </c:pt>
                <c:pt idx="48">
                  <c:v>11650</c:v>
                </c:pt>
                <c:pt idx="49">
                  <c:v>11800</c:v>
                </c:pt>
                <c:pt idx="50">
                  <c:v>12000</c:v>
                </c:pt>
                <c:pt idx="51" formatCode="_(* #,##0_);_(* \(#,##0\);_(* &quot;-&quot;??_);_(@_)">
                  <c:v>700924.37800000003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515328"/>
        <c:axId val="309510232"/>
      </c:lineChart>
      <c:catAx>
        <c:axId val="309515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0232"/>
        <c:crosses val="autoZero"/>
        <c:auto val="1"/>
        <c:lblAlgn val="ctr"/>
        <c:lblOffset val="100"/>
        <c:noMultiLvlLbl val="0"/>
      </c:catAx>
      <c:valAx>
        <c:axId val="30951023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532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78"/>
          <c:w val="0.91165128933230188"/>
          <c:h val="0.1078068583210106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19"/>
          <c:w val="0.8452459084856948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Bra!$C$26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Bra!$D$26:$BD$26</c:f>
              <c:numCache>
                <c:formatCode>General</c:formatCode>
                <c:ptCount val="53"/>
                <c:pt idx="0">
                  <c:v>350</c:v>
                </c:pt>
                <c:pt idx="1">
                  <c:v>250</c:v>
                </c:pt>
                <c:pt idx="2">
                  <c:v>256</c:v>
                </c:pt>
                <c:pt idx="3">
                  <c:v>100</c:v>
                </c:pt>
                <c:pt idx="4">
                  <c:v>226</c:v>
                </c:pt>
                <c:pt idx="5">
                  <c:v>222</c:v>
                </c:pt>
                <c:pt idx="6">
                  <c:v>299</c:v>
                </c:pt>
                <c:pt idx="7">
                  <c:v>365</c:v>
                </c:pt>
                <c:pt idx="8">
                  <c:v>694</c:v>
                </c:pt>
                <c:pt idx="9" formatCode="#,##0">
                  <c:v>1146</c:v>
                </c:pt>
                <c:pt idx="10" formatCode="#,##0">
                  <c:v>1735</c:v>
                </c:pt>
                <c:pt idx="11" formatCode="#,##0">
                  <c:v>2034</c:v>
                </c:pt>
                <c:pt idx="12">
                  <c:v>694</c:v>
                </c:pt>
                <c:pt idx="13" formatCode="#,##0">
                  <c:v>2031</c:v>
                </c:pt>
                <c:pt idx="14" formatCode="#,##0">
                  <c:v>2858</c:v>
                </c:pt>
                <c:pt idx="15" formatCode="#,##0">
                  <c:v>1788</c:v>
                </c:pt>
                <c:pt idx="16" formatCode="#,##0">
                  <c:v>3216</c:v>
                </c:pt>
                <c:pt idx="17" formatCode="#,##0">
                  <c:v>2066</c:v>
                </c:pt>
                <c:pt idx="18" formatCode="#,##0">
                  <c:v>2691</c:v>
                </c:pt>
                <c:pt idx="19" formatCode="#,##0">
                  <c:v>2879</c:v>
                </c:pt>
                <c:pt idx="20" formatCode="#,##0">
                  <c:v>2676</c:v>
                </c:pt>
                <c:pt idx="21" formatCode="#,##0">
                  <c:v>2217</c:v>
                </c:pt>
                <c:pt idx="22" formatCode="#,##0">
                  <c:v>1849</c:v>
                </c:pt>
                <c:pt idx="23" formatCode="#,##0">
                  <c:v>2100</c:v>
                </c:pt>
                <c:pt idx="24" formatCode="#,##0">
                  <c:v>2030</c:v>
                </c:pt>
                <c:pt idx="25" formatCode="#,##0">
                  <c:v>4300</c:v>
                </c:pt>
                <c:pt idx="26" formatCode="#,##0">
                  <c:v>5600</c:v>
                </c:pt>
                <c:pt idx="27" formatCode="#,##0">
                  <c:v>6100</c:v>
                </c:pt>
                <c:pt idx="28" formatCode="#,##0">
                  <c:v>5800</c:v>
                </c:pt>
                <c:pt idx="29" formatCode="#,##0">
                  <c:v>5550</c:v>
                </c:pt>
                <c:pt idx="30" formatCode="#,##0">
                  <c:v>3300</c:v>
                </c:pt>
                <c:pt idx="31" formatCode="#,##0">
                  <c:v>3078</c:v>
                </c:pt>
                <c:pt idx="32" formatCode="#,##0">
                  <c:v>2739</c:v>
                </c:pt>
                <c:pt idx="33" formatCode="#,##0">
                  <c:v>2107</c:v>
                </c:pt>
                <c:pt idx="34" formatCode="#,##0">
                  <c:v>2138</c:v>
                </c:pt>
                <c:pt idx="35" formatCode="#,##0">
                  <c:v>1526</c:v>
                </c:pt>
                <c:pt idx="36" formatCode="#,##0">
                  <c:v>3195</c:v>
                </c:pt>
                <c:pt idx="37" formatCode="#,##0">
                  <c:v>2380</c:v>
                </c:pt>
                <c:pt idx="38" formatCode="#,##0">
                  <c:v>2188</c:v>
                </c:pt>
                <c:pt idx="39" formatCode="#,##0">
                  <c:v>2403</c:v>
                </c:pt>
                <c:pt idx="40" formatCode="#,##0">
                  <c:v>1660</c:v>
                </c:pt>
                <c:pt idx="41" formatCode="#,##0">
                  <c:v>3250</c:v>
                </c:pt>
                <c:pt idx="42" formatCode="#,##0">
                  <c:v>2925</c:v>
                </c:pt>
                <c:pt idx="43" formatCode="#,##0">
                  <c:v>5851</c:v>
                </c:pt>
                <c:pt idx="44" formatCode="#,##0">
                  <c:v>5845</c:v>
                </c:pt>
                <c:pt idx="45" formatCode="#,##0">
                  <c:v>4873</c:v>
                </c:pt>
                <c:pt idx="46" formatCode="#,##0">
                  <c:v>2234</c:v>
                </c:pt>
                <c:pt idx="47" formatCode="#,##0">
                  <c:v>3825</c:v>
                </c:pt>
                <c:pt idx="48" formatCode="#,##0">
                  <c:v>5880</c:v>
                </c:pt>
                <c:pt idx="49" formatCode="#,##0">
                  <c:v>5026</c:v>
                </c:pt>
                <c:pt idx="50" formatCode="#,##0">
                  <c:v>5900</c:v>
                </c:pt>
                <c:pt idx="51" formatCode="_(* #,##0_);_(* \(#,##0\);_(* &quot;-&quot;??_);_(@_)">
                  <c:v>5960.0429999999997</c:v>
                </c:pt>
                <c:pt idx="52" formatCode="_(* #,##0_);_(* \(#,##0\);_(* &quot;-&quot;??_);_(@_)">
                  <c:v>4418.3879999999999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Bra!$C$27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Bra!$D$27:$BD$27</c:f>
              <c:numCache>
                <c:formatCode>#,##0</c:formatCode>
                <c:ptCount val="53"/>
                <c:pt idx="0">
                  <c:v>1885</c:v>
                </c:pt>
                <c:pt idx="1">
                  <c:v>2192</c:v>
                </c:pt>
                <c:pt idx="2">
                  <c:v>2176</c:v>
                </c:pt>
                <c:pt idx="3">
                  <c:v>2609</c:v>
                </c:pt>
                <c:pt idx="4">
                  <c:v>1876</c:v>
                </c:pt>
                <c:pt idx="5">
                  <c:v>2381</c:v>
                </c:pt>
                <c:pt idx="6">
                  <c:v>2429</c:v>
                </c:pt>
                <c:pt idx="7">
                  <c:v>2614</c:v>
                </c:pt>
                <c:pt idx="8">
                  <c:v>2346</c:v>
                </c:pt>
                <c:pt idx="9">
                  <c:v>1958</c:v>
                </c:pt>
                <c:pt idx="10">
                  <c:v>1710</c:v>
                </c:pt>
                <c:pt idx="11">
                  <c:v>1797</c:v>
                </c:pt>
                <c:pt idx="12">
                  <c:v>3011</c:v>
                </c:pt>
                <c:pt idx="13">
                  <c:v>2510</c:v>
                </c:pt>
                <c:pt idx="14">
                  <c:v>1946</c:v>
                </c:pt>
                <c:pt idx="15">
                  <c:v>3752</c:v>
                </c:pt>
                <c:pt idx="16">
                  <c:v>2729</c:v>
                </c:pt>
                <c:pt idx="17">
                  <c:v>3621</c:v>
                </c:pt>
                <c:pt idx="18">
                  <c:v>3931</c:v>
                </c:pt>
                <c:pt idx="19">
                  <c:v>4780</c:v>
                </c:pt>
                <c:pt idx="20">
                  <c:v>3910</c:v>
                </c:pt>
                <c:pt idx="21">
                  <c:v>4382</c:v>
                </c:pt>
                <c:pt idx="22">
                  <c:v>4000</c:v>
                </c:pt>
                <c:pt idx="23">
                  <c:v>4196</c:v>
                </c:pt>
                <c:pt idx="24">
                  <c:v>4690</c:v>
                </c:pt>
                <c:pt idx="25">
                  <c:v>2200</c:v>
                </c:pt>
                <c:pt idx="26">
                  <c:v>2800</c:v>
                </c:pt>
                <c:pt idx="27">
                  <c:v>1270</c:v>
                </c:pt>
                <c:pt idx="28">
                  <c:v>1100</c:v>
                </c:pt>
                <c:pt idx="29">
                  <c:v>1900</c:v>
                </c:pt>
                <c:pt idx="30">
                  <c:v>4444</c:v>
                </c:pt>
                <c:pt idx="31">
                  <c:v>4165</c:v>
                </c:pt>
                <c:pt idx="32">
                  <c:v>5825</c:v>
                </c:pt>
                <c:pt idx="33">
                  <c:v>5775</c:v>
                </c:pt>
                <c:pt idx="34">
                  <c:v>6575</c:v>
                </c:pt>
                <c:pt idx="35">
                  <c:v>5809</c:v>
                </c:pt>
                <c:pt idx="36">
                  <c:v>5111</c:v>
                </c:pt>
                <c:pt idx="37">
                  <c:v>6183</c:v>
                </c:pt>
                <c:pt idx="38">
                  <c:v>7074</c:v>
                </c:pt>
                <c:pt idx="39">
                  <c:v>7698</c:v>
                </c:pt>
                <c:pt idx="40">
                  <c:v>7177</c:v>
                </c:pt>
                <c:pt idx="41">
                  <c:v>6675</c:v>
                </c:pt>
                <c:pt idx="42">
                  <c:v>6563</c:v>
                </c:pt>
                <c:pt idx="43">
                  <c:v>4898</c:v>
                </c:pt>
                <c:pt idx="44">
                  <c:v>4904</c:v>
                </c:pt>
                <c:pt idx="45">
                  <c:v>6235</c:v>
                </c:pt>
                <c:pt idx="46">
                  <c:v>7997</c:v>
                </c:pt>
                <c:pt idx="47">
                  <c:v>6772</c:v>
                </c:pt>
                <c:pt idx="48">
                  <c:v>6403</c:v>
                </c:pt>
                <c:pt idx="49">
                  <c:v>7126</c:v>
                </c:pt>
                <c:pt idx="50">
                  <c:v>6500</c:v>
                </c:pt>
                <c:pt idx="51" formatCode="_(* #,##0_);_(* \(#,##0\);_(* &quot;-&quot;??_);_(@_)">
                  <c:v>5740.4530000000004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Bra!$C$28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Bra!$D$28:$BD$28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3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1</c:v>
                </c:pt>
                <c:pt idx="32">
                  <c:v>0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54</c:v>
                </c:pt>
                <c:pt idx="37">
                  <c:v>3</c:v>
                </c:pt>
                <c:pt idx="38">
                  <c:v>7</c:v>
                </c:pt>
                <c:pt idx="39">
                  <c:v>4</c:v>
                </c:pt>
                <c:pt idx="40">
                  <c:v>3</c:v>
                </c:pt>
                <c:pt idx="41">
                  <c:v>5</c:v>
                </c:pt>
                <c:pt idx="42">
                  <c:v>5</c:v>
                </c:pt>
                <c:pt idx="43" formatCode="#,##0">
                  <c:v>1378</c:v>
                </c:pt>
                <c:pt idx="44">
                  <c:v>15</c:v>
                </c:pt>
                <c:pt idx="45">
                  <c:v>807</c:v>
                </c:pt>
                <c:pt idx="46">
                  <c:v>4</c:v>
                </c:pt>
                <c:pt idx="47">
                  <c:v>770</c:v>
                </c:pt>
                <c:pt idx="48">
                  <c:v>400</c:v>
                </c:pt>
                <c:pt idx="49" formatCode="#,##0">
                  <c:v>1162</c:v>
                </c:pt>
                <c:pt idx="50" formatCode="#,##0">
                  <c:v>1700</c:v>
                </c:pt>
                <c:pt idx="51" formatCode="_(* #,##0_);_(* \(#,##0\);_(* &quot;-&quot;??_);_(@_)">
                  <c:v>2350.7199999999998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Bra!$C$29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Bra!$D$1:$BD$1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Bra!$D$29:$BD$29</c:f>
              <c:numCache>
                <c:formatCode>#,##0</c:formatCode>
                <c:ptCount val="53"/>
                <c:pt idx="0">
                  <c:v>2235</c:v>
                </c:pt>
                <c:pt idx="1">
                  <c:v>2442</c:v>
                </c:pt>
                <c:pt idx="2">
                  <c:v>2432</c:v>
                </c:pt>
                <c:pt idx="3">
                  <c:v>2559</c:v>
                </c:pt>
                <c:pt idx="4">
                  <c:v>2109</c:v>
                </c:pt>
                <c:pt idx="5">
                  <c:v>2476</c:v>
                </c:pt>
                <c:pt idx="6">
                  <c:v>2676</c:v>
                </c:pt>
                <c:pt idx="7">
                  <c:v>2820</c:v>
                </c:pt>
                <c:pt idx="8">
                  <c:v>3037</c:v>
                </c:pt>
                <c:pt idx="9">
                  <c:v>3219</c:v>
                </c:pt>
                <c:pt idx="10">
                  <c:v>3689</c:v>
                </c:pt>
                <c:pt idx="11">
                  <c:v>3973</c:v>
                </c:pt>
                <c:pt idx="12">
                  <c:v>3764</c:v>
                </c:pt>
                <c:pt idx="13">
                  <c:v>4322</c:v>
                </c:pt>
                <c:pt idx="14">
                  <c:v>4695</c:v>
                </c:pt>
                <c:pt idx="15">
                  <c:v>5598</c:v>
                </c:pt>
                <c:pt idx="16">
                  <c:v>5823</c:v>
                </c:pt>
                <c:pt idx="17">
                  <c:v>5955</c:v>
                </c:pt>
                <c:pt idx="18">
                  <c:v>6789</c:v>
                </c:pt>
                <c:pt idx="19">
                  <c:v>7100</c:v>
                </c:pt>
                <c:pt idx="20">
                  <c:v>6600</c:v>
                </c:pt>
                <c:pt idx="21">
                  <c:v>6300</c:v>
                </c:pt>
                <c:pt idx="22">
                  <c:v>6300</c:v>
                </c:pt>
                <c:pt idx="23">
                  <c:v>6400</c:v>
                </c:pt>
                <c:pt idx="24">
                  <c:v>6430</c:v>
                </c:pt>
                <c:pt idx="25">
                  <c:v>6800</c:v>
                </c:pt>
                <c:pt idx="26">
                  <c:v>8000</c:v>
                </c:pt>
                <c:pt idx="27">
                  <c:v>7100</c:v>
                </c:pt>
                <c:pt idx="28">
                  <c:v>7800</c:v>
                </c:pt>
                <c:pt idx="29">
                  <c:v>7400</c:v>
                </c:pt>
                <c:pt idx="30">
                  <c:v>7844</c:v>
                </c:pt>
                <c:pt idx="31">
                  <c:v>7175</c:v>
                </c:pt>
                <c:pt idx="32">
                  <c:v>7839</c:v>
                </c:pt>
                <c:pt idx="33">
                  <c:v>8075</c:v>
                </c:pt>
                <c:pt idx="34">
                  <c:v>8029</c:v>
                </c:pt>
                <c:pt idx="35">
                  <c:v>8214</c:v>
                </c:pt>
                <c:pt idx="36">
                  <c:v>8281</c:v>
                </c:pt>
                <c:pt idx="37">
                  <c:v>8560</c:v>
                </c:pt>
                <c:pt idx="38">
                  <c:v>8955</c:v>
                </c:pt>
                <c:pt idx="39">
                  <c:v>9547</c:v>
                </c:pt>
                <c:pt idx="40">
                  <c:v>9511</c:v>
                </c:pt>
                <c:pt idx="41">
                  <c:v>9802</c:v>
                </c:pt>
                <c:pt idx="42">
                  <c:v>9690</c:v>
                </c:pt>
                <c:pt idx="43">
                  <c:v>9700</c:v>
                </c:pt>
                <c:pt idx="44">
                  <c:v>9900</c:v>
                </c:pt>
                <c:pt idx="45">
                  <c:v>10450</c:v>
                </c:pt>
                <c:pt idx="46">
                  <c:v>10300</c:v>
                </c:pt>
                <c:pt idx="47">
                  <c:v>10300</c:v>
                </c:pt>
                <c:pt idx="48">
                  <c:v>10700</c:v>
                </c:pt>
                <c:pt idx="49">
                  <c:v>11000</c:v>
                </c:pt>
                <c:pt idx="50">
                  <c:v>10800</c:v>
                </c:pt>
                <c:pt idx="51" formatCode="_(* #,##0_);_(* \(#,##0\);_(* &quot;-&quot;??_);_(@_)">
                  <c:v>9349.7759999999998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516504"/>
        <c:axId val="309513760"/>
      </c:lineChart>
      <c:catAx>
        <c:axId val="309516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3760"/>
        <c:crosses val="autoZero"/>
        <c:auto val="1"/>
        <c:lblAlgn val="ctr"/>
        <c:lblOffset val="100"/>
        <c:noMultiLvlLbl val="0"/>
      </c:catAx>
      <c:valAx>
        <c:axId val="30951376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650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"/>
          <c:w val="0.91165128933230188"/>
          <c:h val="0.107806858321010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Can!$C$2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Can!$D$2:$BD$2</c:f>
              <c:numCache>
                <c:formatCode>General</c:formatCode>
                <c:ptCount val="53"/>
                <c:pt idx="0">
                  <c:v>663</c:v>
                </c:pt>
                <c:pt idx="1">
                  <c:v>742</c:v>
                </c:pt>
                <c:pt idx="2">
                  <c:v>848</c:v>
                </c:pt>
                <c:pt idx="3">
                  <c:v>919</c:v>
                </c:pt>
                <c:pt idx="4" formatCode="#,##0">
                  <c:v>1342</c:v>
                </c:pt>
                <c:pt idx="5" formatCode="#,##0">
                  <c:v>1511</c:v>
                </c:pt>
                <c:pt idx="6" formatCode="#,##0">
                  <c:v>1685</c:v>
                </c:pt>
                <c:pt idx="7" formatCode="#,##0">
                  <c:v>1883</c:v>
                </c:pt>
                <c:pt idx="8" formatCode="#,##0">
                  <c:v>2076</c:v>
                </c:pt>
                <c:pt idx="9" formatCode="#,##0">
                  <c:v>1883</c:v>
                </c:pt>
                <c:pt idx="10" formatCode="#,##0">
                  <c:v>2634</c:v>
                </c:pt>
                <c:pt idx="11" formatCode="#,##0">
                  <c:v>2946</c:v>
                </c:pt>
                <c:pt idx="12" formatCode="#,##0">
                  <c:v>2528</c:v>
                </c:pt>
                <c:pt idx="13" formatCode="#,##0">
                  <c:v>2879</c:v>
                </c:pt>
                <c:pt idx="14" formatCode="#,##0">
                  <c:v>2620</c:v>
                </c:pt>
                <c:pt idx="15" formatCode="#,##0">
                  <c:v>3645</c:v>
                </c:pt>
                <c:pt idx="16" formatCode="#,##0">
                  <c:v>3759</c:v>
                </c:pt>
                <c:pt idx="17" formatCode="#,##0">
                  <c:v>4250</c:v>
                </c:pt>
                <c:pt idx="18" formatCode="#,##0">
                  <c:v>4033</c:v>
                </c:pt>
                <c:pt idx="19" formatCode="#,##0">
                  <c:v>5276</c:v>
                </c:pt>
                <c:pt idx="20" formatCode="#,##0">
                  <c:v>5753</c:v>
                </c:pt>
                <c:pt idx="21" formatCode="#,##0">
                  <c:v>6673</c:v>
                </c:pt>
                <c:pt idx="22" formatCode="#,##0">
                  <c:v>6513</c:v>
                </c:pt>
                <c:pt idx="23" formatCode="#,##0">
                  <c:v>5931</c:v>
                </c:pt>
                <c:pt idx="24" formatCode="#,##0">
                  <c:v>6778</c:v>
                </c:pt>
                <c:pt idx="25" formatCode="#,##0">
                  <c:v>6970</c:v>
                </c:pt>
                <c:pt idx="26" formatCode="#,##0">
                  <c:v>5912</c:v>
                </c:pt>
                <c:pt idx="27" formatCode="#,##0">
                  <c:v>7065</c:v>
                </c:pt>
                <c:pt idx="28" formatCode="#,##0">
                  <c:v>5450</c:v>
                </c:pt>
                <c:pt idx="29" formatCode="#,##0">
                  <c:v>6571</c:v>
                </c:pt>
                <c:pt idx="30" formatCode="#,##0">
                  <c:v>7067</c:v>
                </c:pt>
                <c:pt idx="31" formatCode="#,##0">
                  <c:v>7413</c:v>
                </c:pt>
                <c:pt idx="32" formatCode="#,##0">
                  <c:v>4883</c:v>
                </c:pt>
                <c:pt idx="33" formatCode="#,##0">
                  <c:v>6755</c:v>
                </c:pt>
                <c:pt idx="34" formatCode="#,##0">
                  <c:v>7190</c:v>
                </c:pt>
                <c:pt idx="35" formatCode="#,##0">
                  <c:v>7281</c:v>
                </c:pt>
                <c:pt idx="36" formatCode="#,##0">
                  <c:v>7542</c:v>
                </c:pt>
                <c:pt idx="37" formatCode="#,##0">
                  <c:v>7180</c:v>
                </c:pt>
                <c:pt idx="38" formatCode="#,##0">
                  <c:v>8952</c:v>
                </c:pt>
                <c:pt idx="39" formatCode="#,##0">
                  <c:v>9161</c:v>
                </c:pt>
                <c:pt idx="40" formatCode="#,##0">
                  <c:v>6827</c:v>
                </c:pt>
                <c:pt idx="41" formatCode="#,##0">
                  <c:v>8389</c:v>
                </c:pt>
                <c:pt idx="42" formatCode="#,##0">
                  <c:v>8999</c:v>
                </c:pt>
                <c:pt idx="43" formatCode="#,##0">
                  <c:v>9587</c:v>
                </c:pt>
                <c:pt idx="44" formatCode="#,##0">
                  <c:v>8837</c:v>
                </c:pt>
                <c:pt idx="45" formatCode="#,##0">
                  <c:v>9332</c:v>
                </c:pt>
                <c:pt idx="46" formatCode="#,##0">
                  <c:v>8990</c:v>
                </c:pt>
                <c:pt idx="47" formatCode="#,##0">
                  <c:v>11649</c:v>
                </c:pt>
                <c:pt idx="48" formatCode="#,##0">
                  <c:v>10592</c:v>
                </c:pt>
                <c:pt idx="49" formatCode="#,##0">
                  <c:v>9561</c:v>
                </c:pt>
                <c:pt idx="50" formatCode="#,##0">
                  <c:v>10688.7</c:v>
                </c:pt>
                <c:pt idx="51" formatCode="_(* #,##0_);_(* \(#,##0\);_(* &quot;-&quot;??_);_(@_)">
                  <c:v>13060.1</c:v>
                </c:pt>
                <c:pt idx="52" formatCode="_(* #,##0_);_(* \(#,##0\);_(* &quot;-&quot;??_);_(@_)">
                  <c:v>14193.8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Can!$C$3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Can!$D$3:$BD$3</c:f>
              <c:numCache>
                <c:formatCode>General</c:formatCode>
                <c:ptCount val="53"/>
                <c:pt idx="0">
                  <c:v>504</c:v>
                </c:pt>
                <c:pt idx="1">
                  <c:v>696</c:v>
                </c:pt>
                <c:pt idx="2">
                  <c:v>734</c:v>
                </c:pt>
                <c:pt idx="3">
                  <c:v>552</c:v>
                </c:pt>
                <c:pt idx="4">
                  <c:v>420</c:v>
                </c:pt>
                <c:pt idx="5">
                  <c:v>565</c:v>
                </c:pt>
                <c:pt idx="6">
                  <c:v>531</c:v>
                </c:pt>
                <c:pt idx="7">
                  <c:v>747</c:v>
                </c:pt>
                <c:pt idx="8">
                  <c:v>803</c:v>
                </c:pt>
                <c:pt idx="9">
                  <c:v>644</c:v>
                </c:pt>
                <c:pt idx="10">
                  <c:v>267</c:v>
                </c:pt>
                <c:pt idx="11">
                  <c:v>234</c:v>
                </c:pt>
                <c:pt idx="12">
                  <c:v>868</c:v>
                </c:pt>
                <c:pt idx="13" formatCode="#,##0">
                  <c:v>1273</c:v>
                </c:pt>
                <c:pt idx="14" formatCode="#,##0">
                  <c:v>1032</c:v>
                </c:pt>
                <c:pt idx="15">
                  <c:v>697</c:v>
                </c:pt>
                <c:pt idx="16">
                  <c:v>660</c:v>
                </c:pt>
                <c:pt idx="17">
                  <c:v>386</c:v>
                </c:pt>
                <c:pt idx="18">
                  <c:v>677</c:v>
                </c:pt>
                <c:pt idx="19">
                  <c:v>994</c:v>
                </c:pt>
                <c:pt idx="20" formatCode="#,##0">
                  <c:v>1363</c:v>
                </c:pt>
                <c:pt idx="21">
                  <c:v>822</c:v>
                </c:pt>
                <c:pt idx="22">
                  <c:v>759</c:v>
                </c:pt>
                <c:pt idx="23">
                  <c:v>226</c:v>
                </c:pt>
                <c:pt idx="24">
                  <c:v>612</c:v>
                </c:pt>
                <c:pt idx="25">
                  <c:v>415</c:v>
                </c:pt>
                <c:pt idx="26">
                  <c:v>642</c:v>
                </c:pt>
                <c:pt idx="27">
                  <c:v>235</c:v>
                </c:pt>
                <c:pt idx="28">
                  <c:v>975</c:v>
                </c:pt>
                <c:pt idx="29">
                  <c:v>568</c:v>
                </c:pt>
                <c:pt idx="30">
                  <c:v>522</c:v>
                </c:pt>
                <c:pt idx="31">
                  <c:v>213</c:v>
                </c:pt>
                <c:pt idx="32" formatCode="#,##0">
                  <c:v>1255</c:v>
                </c:pt>
                <c:pt idx="33">
                  <c:v>552</c:v>
                </c:pt>
                <c:pt idx="34" formatCode="#,##0">
                  <c:v>1078</c:v>
                </c:pt>
                <c:pt idx="35">
                  <c:v>823</c:v>
                </c:pt>
                <c:pt idx="36">
                  <c:v>857</c:v>
                </c:pt>
                <c:pt idx="37" formatCode="#,##0">
                  <c:v>1475</c:v>
                </c:pt>
                <c:pt idx="38">
                  <c:v>899</c:v>
                </c:pt>
                <c:pt idx="39" formatCode="#,##0">
                  <c:v>1017</c:v>
                </c:pt>
                <c:pt idx="40" formatCode="#,##0">
                  <c:v>2746</c:v>
                </c:pt>
                <c:pt idx="41" formatCode="#,##0">
                  <c:v>3951</c:v>
                </c:pt>
                <c:pt idx="42" formatCode="#,##0">
                  <c:v>3946</c:v>
                </c:pt>
                <c:pt idx="43" formatCode="#,##0">
                  <c:v>2029</c:v>
                </c:pt>
                <c:pt idx="44" formatCode="#,##0">
                  <c:v>2371</c:v>
                </c:pt>
                <c:pt idx="45" formatCode="#,##0">
                  <c:v>1928</c:v>
                </c:pt>
                <c:pt idx="46" formatCode="#,##0">
                  <c:v>2102</c:v>
                </c:pt>
                <c:pt idx="47" formatCode="#,##0">
                  <c:v>3182</c:v>
                </c:pt>
                <c:pt idx="48" formatCode="#,##0">
                  <c:v>1843</c:v>
                </c:pt>
                <c:pt idx="49" formatCode="#,##0">
                  <c:v>2099</c:v>
                </c:pt>
                <c:pt idx="50" formatCode="#,##0">
                  <c:v>1076.3420000000001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Can!$C$4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Can!$D$4:$BD$4</c:f>
              <c:numCache>
                <c:formatCode>General</c:formatCode>
                <c:ptCount val="53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3</c:v>
                </c:pt>
                <c:pt idx="4">
                  <c:v>3</c:v>
                </c:pt>
                <c:pt idx="5">
                  <c:v>16</c:v>
                </c:pt>
                <c:pt idx="6">
                  <c:v>2</c:v>
                </c:pt>
                <c:pt idx="7">
                  <c:v>5</c:v>
                </c:pt>
                <c:pt idx="8">
                  <c:v>6</c:v>
                </c:pt>
                <c:pt idx="9">
                  <c:v>2</c:v>
                </c:pt>
                <c:pt idx="10">
                  <c:v>5</c:v>
                </c:pt>
                <c:pt idx="11">
                  <c:v>29</c:v>
                </c:pt>
                <c:pt idx="12">
                  <c:v>12</c:v>
                </c:pt>
                <c:pt idx="13">
                  <c:v>5</c:v>
                </c:pt>
                <c:pt idx="14">
                  <c:v>4</c:v>
                </c:pt>
                <c:pt idx="15">
                  <c:v>233</c:v>
                </c:pt>
                <c:pt idx="16">
                  <c:v>180</c:v>
                </c:pt>
                <c:pt idx="17">
                  <c:v>323</c:v>
                </c:pt>
                <c:pt idx="18">
                  <c:v>192</c:v>
                </c:pt>
                <c:pt idx="19">
                  <c:v>344</c:v>
                </c:pt>
                <c:pt idx="20" formatCode="#,##0">
                  <c:v>1056</c:v>
                </c:pt>
                <c:pt idx="21" formatCode="#,##0">
                  <c:v>1135</c:v>
                </c:pt>
                <c:pt idx="22">
                  <c:v>489</c:v>
                </c:pt>
                <c:pt idx="23">
                  <c:v>429</c:v>
                </c:pt>
                <c:pt idx="24">
                  <c:v>570</c:v>
                </c:pt>
                <c:pt idx="25">
                  <c:v>653</c:v>
                </c:pt>
                <c:pt idx="26">
                  <c:v>143</c:v>
                </c:pt>
                <c:pt idx="27">
                  <c:v>369</c:v>
                </c:pt>
                <c:pt idx="28">
                  <c:v>11</c:v>
                </c:pt>
                <c:pt idx="29">
                  <c:v>25</c:v>
                </c:pt>
                <c:pt idx="30">
                  <c:v>142</c:v>
                </c:pt>
                <c:pt idx="31">
                  <c:v>964</c:v>
                </c:pt>
                <c:pt idx="32">
                  <c:v>200</c:v>
                </c:pt>
                <c:pt idx="33">
                  <c:v>523</c:v>
                </c:pt>
                <c:pt idx="34">
                  <c:v>360</c:v>
                </c:pt>
                <c:pt idx="35">
                  <c:v>604</c:v>
                </c:pt>
                <c:pt idx="36">
                  <c:v>340</c:v>
                </c:pt>
                <c:pt idx="37">
                  <c:v>134</c:v>
                </c:pt>
                <c:pt idx="38">
                  <c:v>829</c:v>
                </c:pt>
                <c:pt idx="39">
                  <c:v>456</c:v>
                </c:pt>
                <c:pt idx="40">
                  <c:v>122</c:v>
                </c:pt>
                <c:pt idx="41">
                  <c:v>199</c:v>
                </c:pt>
                <c:pt idx="42">
                  <c:v>314</c:v>
                </c:pt>
                <c:pt idx="43">
                  <c:v>369</c:v>
                </c:pt>
                <c:pt idx="44">
                  <c:v>238</c:v>
                </c:pt>
                <c:pt idx="45">
                  <c:v>253</c:v>
                </c:pt>
                <c:pt idx="46">
                  <c:v>314</c:v>
                </c:pt>
                <c:pt idx="47">
                  <c:v>942</c:v>
                </c:pt>
                <c:pt idx="48">
                  <c:v>372</c:v>
                </c:pt>
                <c:pt idx="49">
                  <c:v>129</c:v>
                </c:pt>
                <c:pt idx="50" formatCode="#,##0">
                  <c:v>1069.7919999999999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Can!$C$5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Can!$D$5:$BD$5</c:f>
              <c:numCache>
                <c:formatCode>#,##0</c:formatCode>
                <c:ptCount val="53"/>
                <c:pt idx="0">
                  <c:v>1114</c:v>
                </c:pt>
                <c:pt idx="1">
                  <c:v>1332</c:v>
                </c:pt>
                <c:pt idx="2">
                  <c:v>1690</c:v>
                </c:pt>
                <c:pt idx="3">
                  <c:v>1471</c:v>
                </c:pt>
                <c:pt idx="4">
                  <c:v>1701</c:v>
                </c:pt>
                <c:pt idx="5">
                  <c:v>2073</c:v>
                </c:pt>
                <c:pt idx="6">
                  <c:v>2211</c:v>
                </c:pt>
                <c:pt idx="7">
                  <c:v>2663</c:v>
                </c:pt>
                <c:pt idx="8">
                  <c:v>2828</c:v>
                </c:pt>
                <c:pt idx="9">
                  <c:v>2580</c:v>
                </c:pt>
                <c:pt idx="10">
                  <c:v>2942</c:v>
                </c:pt>
                <c:pt idx="11">
                  <c:v>3049</c:v>
                </c:pt>
                <c:pt idx="12">
                  <c:v>3352</c:v>
                </c:pt>
                <c:pt idx="13">
                  <c:v>4031</c:v>
                </c:pt>
                <c:pt idx="14">
                  <c:v>3766</c:v>
                </c:pt>
                <c:pt idx="15">
                  <c:v>3609</c:v>
                </c:pt>
                <c:pt idx="16">
                  <c:v>3936</c:v>
                </c:pt>
                <c:pt idx="17">
                  <c:v>4341</c:v>
                </c:pt>
                <c:pt idx="18">
                  <c:v>4459</c:v>
                </c:pt>
                <c:pt idx="19">
                  <c:v>5561</c:v>
                </c:pt>
                <c:pt idx="20">
                  <c:v>6172</c:v>
                </c:pt>
                <c:pt idx="21">
                  <c:v>6449</c:v>
                </c:pt>
                <c:pt idx="22">
                  <c:v>6351</c:v>
                </c:pt>
                <c:pt idx="23">
                  <c:v>6340</c:v>
                </c:pt>
                <c:pt idx="24">
                  <c:v>6444</c:v>
                </c:pt>
                <c:pt idx="25">
                  <c:v>6688</c:v>
                </c:pt>
                <c:pt idx="26">
                  <c:v>6642</c:v>
                </c:pt>
                <c:pt idx="27">
                  <c:v>6883</c:v>
                </c:pt>
                <c:pt idx="28">
                  <c:v>6654</c:v>
                </c:pt>
                <c:pt idx="29">
                  <c:v>6972</c:v>
                </c:pt>
                <c:pt idx="30">
                  <c:v>7057</c:v>
                </c:pt>
                <c:pt idx="31">
                  <c:v>6675</c:v>
                </c:pt>
                <c:pt idx="32">
                  <c:v>6209</c:v>
                </c:pt>
                <c:pt idx="33">
                  <c:v>7454</c:v>
                </c:pt>
                <c:pt idx="34">
                  <c:v>7785</c:v>
                </c:pt>
                <c:pt idx="35">
                  <c:v>7482</c:v>
                </c:pt>
                <c:pt idx="36">
                  <c:v>7810</c:v>
                </c:pt>
                <c:pt idx="37">
                  <c:v>8599</c:v>
                </c:pt>
                <c:pt idx="38">
                  <c:v>9029</c:v>
                </c:pt>
                <c:pt idx="39">
                  <c:v>9055</c:v>
                </c:pt>
                <c:pt idx="40">
                  <c:v>10123</c:v>
                </c:pt>
                <c:pt idx="41">
                  <c:v>11965</c:v>
                </c:pt>
                <c:pt idx="42">
                  <c:v>12576</c:v>
                </c:pt>
                <c:pt idx="43">
                  <c:v>11215</c:v>
                </c:pt>
                <c:pt idx="44">
                  <c:v>10311</c:v>
                </c:pt>
                <c:pt idx="45">
                  <c:v>10808</c:v>
                </c:pt>
                <c:pt idx="46">
                  <c:v>11442</c:v>
                </c:pt>
                <c:pt idx="47">
                  <c:v>13769</c:v>
                </c:pt>
                <c:pt idx="48">
                  <c:v>11687</c:v>
                </c:pt>
                <c:pt idx="49">
                  <c:v>11606</c:v>
                </c:pt>
                <c:pt idx="50">
                  <c:v>10695.250000000002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512192"/>
        <c:axId val="309512584"/>
      </c:lineChart>
      <c:catAx>
        <c:axId val="309512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2584"/>
        <c:crosses val="autoZero"/>
        <c:auto val="1"/>
        <c:lblAlgn val="ctr"/>
        <c:lblOffset val="100"/>
        <c:noMultiLvlLbl val="0"/>
      </c:catAx>
      <c:valAx>
        <c:axId val="3095125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219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91165128933230188"/>
          <c:h val="0.10780685832101061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Can!$C$6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Can!$D$6:$BD$6</c:f>
              <c:numCache>
                <c:formatCode>General</c:formatCode>
                <c:ptCount val="53"/>
                <c:pt idx="0">
                  <c:v>292</c:v>
                </c:pt>
                <c:pt idx="1">
                  <c:v>433</c:v>
                </c:pt>
                <c:pt idx="2">
                  <c:v>331</c:v>
                </c:pt>
                <c:pt idx="3">
                  <c:v>466</c:v>
                </c:pt>
                <c:pt idx="4">
                  <c:v>404</c:v>
                </c:pt>
                <c:pt idx="5">
                  <c:v>434</c:v>
                </c:pt>
                <c:pt idx="6">
                  <c:v>404</c:v>
                </c:pt>
                <c:pt idx="7">
                  <c:v>361</c:v>
                </c:pt>
                <c:pt idx="8">
                  <c:v>347</c:v>
                </c:pt>
                <c:pt idx="9">
                  <c:v>333</c:v>
                </c:pt>
                <c:pt idx="10">
                  <c:v>340</c:v>
                </c:pt>
                <c:pt idx="11">
                  <c:v>354</c:v>
                </c:pt>
                <c:pt idx="12">
                  <c:v>327</c:v>
                </c:pt>
                <c:pt idx="13">
                  <c:v>320</c:v>
                </c:pt>
                <c:pt idx="14">
                  <c:v>225</c:v>
                </c:pt>
                <c:pt idx="15">
                  <c:v>254</c:v>
                </c:pt>
                <c:pt idx="16">
                  <c:v>215</c:v>
                </c:pt>
                <c:pt idx="17">
                  <c:v>239</c:v>
                </c:pt>
                <c:pt idx="18">
                  <c:v>255</c:v>
                </c:pt>
                <c:pt idx="19">
                  <c:v>289</c:v>
                </c:pt>
                <c:pt idx="20">
                  <c:v>276</c:v>
                </c:pt>
                <c:pt idx="21">
                  <c:v>190</c:v>
                </c:pt>
                <c:pt idx="22">
                  <c:v>248</c:v>
                </c:pt>
                <c:pt idx="23">
                  <c:v>243</c:v>
                </c:pt>
                <c:pt idx="24">
                  <c:v>216</c:v>
                </c:pt>
                <c:pt idx="25">
                  <c:v>287</c:v>
                </c:pt>
                <c:pt idx="26">
                  <c:v>151</c:v>
                </c:pt>
                <c:pt idx="27">
                  <c:v>210</c:v>
                </c:pt>
                <c:pt idx="28">
                  <c:v>187</c:v>
                </c:pt>
                <c:pt idx="29">
                  <c:v>204</c:v>
                </c:pt>
                <c:pt idx="30">
                  <c:v>187</c:v>
                </c:pt>
                <c:pt idx="31">
                  <c:v>200</c:v>
                </c:pt>
                <c:pt idx="32">
                  <c:v>210</c:v>
                </c:pt>
                <c:pt idx="33">
                  <c:v>210</c:v>
                </c:pt>
                <c:pt idx="34">
                  <c:v>265</c:v>
                </c:pt>
                <c:pt idx="35">
                  <c:v>300</c:v>
                </c:pt>
                <c:pt idx="36">
                  <c:v>260</c:v>
                </c:pt>
                <c:pt idx="37">
                  <c:v>325</c:v>
                </c:pt>
                <c:pt idx="38">
                  <c:v>329</c:v>
                </c:pt>
                <c:pt idx="39">
                  <c:v>286</c:v>
                </c:pt>
                <c:pt idx="40">
                  <c:v>352</c:v>
                </c:pt>
                <c:pt idx="41">
                  <c:v>400</c:v>
                </c:pt>
                <c:pt idx="42">
                  <c:v>460</c:v>
                </c:pt>
                <c:pt idx="43">
                  <c:v>375</c:v>
                </c:pt>
                <c:pt idx="44">
                  <c:v>365</c:v>
                </c:pt>
                <c:pt idx="45">
                  <c:v>152</c:v>
                </c:pt>
                <c:pt idx="46">
                  <c:v>105</c:v>
                </c:pt>
                <c:pt idx="47">
                  <c:v>40</c:v>
                </c:pt>
                <c:pt idx="48">
                  <c:v>20</c:v>
                </c:pt>
                <c:pt idx="49">
                  <c:v>10</c:v>
                </c:pt>
                <c:pt idx="50">
                  <c:v>12</c:v>
                </c:pt>
                <c:pt idx="51" formatCode="_(* #,##0_);_(* \(#,##0\);_(* &quot;-&quot;??_);_(@_)">
                  <c:v>1.8069999999999999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Can!$C$7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Can!$D$7:$BD$7</c:f>
              <c:numCache>
                <c:formatCode>General</c:formatCode>
                <c:ptCount val="53"/>
                <c:pt idx="0">
                  <c:v>12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8</c:v>
                </c:pt>
                <c:pt idx="44">
                  <c:v>2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 formatCode="_(* #,##0_);_(* \(#,##0\);_(* &quot;-&quot;??_);_(@_)">
                  <c:v>0.129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Can!$C$8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Can!$D$8:$BD$8</c:f>
              <c:numCache>
                <c:formatCode>General</c:formatCode>
                <c:ptCount val="53"/>
                <c:pt idx="0">
                  <c:v>326</c:v>
                </c:pt>
                <c:pt idx="1">
                  <c:v>375</c:v>
                </c:pt>
                <c:pt idx="2">
                  <c:v>360</c:v>
                </c:pt>
                <c:pt idx="3">
                  <c:v>430</c:v>
                </c:pt>
                <c:pt idx="4">
                  <c:v>415</c:v>
                </c:pt>
                <c:pt idx="5">
                  <c:v>400</c:v>
                </c:pt>
                <c:pt idx="6">
                  <c:v>410</c:v>
                </c:pt>
                <c:pt idx="7">
                  <c:v>390</c:v>
                </c:pt>
                <c:pt idx="8">
                  <c:v>375</c:v>
                </c:pt>
                <c:pt idx="9">
                  <c:v>350</c:v>
                </c:pt>
                <c:pt idx="10">
                  <c:v>345</c:v>
                </c:pt>
                <c:pt idx="11">
                  <c:v>350</c:v>
                </c:pt>
                <c:pt idx="12">
                  <c:v>335</c:v>
                </c:pt>
                <c:pt idx="13">
                  <c:v>320</c:v>
                </c:pt>
                <c:pt idx="14">
                  <c:v>245</c:v>
                </c:pt>
                <c:pt idx="15">
                  <c:v>244</c:v>
                </c:pt>
                <c:pt idx="16">
                  <c:v>215</c:v>
                </c:pt>
                <c:pt idx="17">
                  <c:v>240</c:v>
                </c:pt>
                <c:pt idx="18">
                  <c:v>255</c:v>
                </c:pt>
                <c:pt idx="19">
                  <c:v>280</c:v>
                </c:pt>
                <c:pt idx="20">
                  <c:v>270</c:v>
                </c:pt>
                <c:pt idx="21">
                  <c:v>185</c:v>
                </c:pt>
                <c:pt idx="22">
                  <c:v>253</c:v>
                </c:pt>
                <c:pt idx="23">
                  <c:v>253</c:v>
                </c:pt>
                <c:pt idx="24">
                  <c:v>221</c:v>
                </c:pt>
                <c:pt idx="25">
                  <c:v>248</c:v>
                </c:pt>
                <c:pt idx="26">
                  <c:v>198</c:v>
                </c:pt>
                <c:pt idx="27">
                  <c:v>210</c:v>
                </c:pt>
                <c:pt idx="28">
                  <c:v>187</c:v>
                </c:pt>
                <c:pt idx="29">
                  <c:v>208</c:v>
                </c:pt>
                <c:pt idx="30">
                  <c:v>187</c:v>
                </c:pt>
                <c:pt idx="31">
                  <c:v>200</c:v>
                </c:pt>
                <c:pt idx="32">
                  <c:v>200</c:v>
                </c:pt>
                <c:pt idx="33">
                  <c:v>220</c:v>
                </c:pt>
                <c:pt idx="34">
                  <c:v>260</c:v>
                </c:pt>
                <c:pt idx="35">
                  <c:v>295</c:v>
                </c:pt>
                <c:pt idx="36">
                  <c:v>260</c:v>
                </c:pt>
                <c:pt idx="37">
                  <c:v>325</c:v>
                </c:pt>
                <c:pt idx="38">
                  <c:v>330</c:v>
                </c:pt>
                <c:pt idx="39">
                  <c:v>286</c:v>
                </c:pt>
                <c:pt idx="40">
                  <c:v>350</c:v>
                </c:pt>
                <c:pt idx="41">
                  <c:v>400</c:v>
                </c:pt>
                <c:pt idx="42">
                  <c:v>390</c:v>
                </c:pt>
                <c:pt idx="43">
                  <c:v>375</c:v>
                </c:pt>
                <c:pt idx="44">
                  <c:v>350</c:v>
                </c:pt>
                <c:pt idx="45">
                  <c:v>200</c:v>
                </c:pt>
                <c:pt idx="46">
                  <c:v>135</c:v>
                </c:pt>
                <c:pt idx="47">
                  <c:v>50</c:v>
                </c:pt>
                <c:pt idx="48">
                  <c:v>25</c:v>
                </c:pt>
                <c:pt idx="49">
                  <c:v>12</c:v>
                </c:pt>
                <c:pt idx="50">
                  <c:v>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514544"/>
        <c:axId val="309514936"/>
      </c:lineChart>
      <c:catAx>
        <c:axId val="309514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4936"/>
        <c:crosses val="autoZero"/>
        <c:auto val="1"/>
        <c:lblAlgn val="ctr"/>
        <c:lblOffset val="100"/>
        <c:noMultiLvlLbl val="0"/>
      </c:catAx>
      <c:valAx>
        <c:axId val="3095149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45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259502574676143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Can!$C$9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val>
            <c:numRef>
              <c:f>Can!$D$9:$BD$9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190</c:v>
                </c:pt>
                <c:pt idx="5">
                  <c:v>219</c:v>
                </c:pt>
                <c:pt idx="6">
                  <c:v>245</c:v>
                </c:pt>
                <c:pt idx="7">
                  <c:v>220</c:v>
                </c:pt>
                <c:pt idx="8">
                  <c:v>246</c:v>
                </c:pt>
                <c:pt idx="9">
                  <c:v>210</c:v>
                </c:pt>
                <c:pt idx="10">
                  <c:v>283</c:v>
                </c:pt>
                <c:pt idx="11">
                  <c:v>280</c:v>
                </c:pt>
                <c:pt idx="12">
                  <c:v>375</c:v>
                </c:pt>
                <c:pt idx="13">
                  <c:v>397</c:v>
                </c:pt>
                <c:pt idx="14">
                  <c:v>301</c:v>
                </c:pt>
                <c:pt idx="15">
                  <c:v>367</c:v>
                </c:pt>
                <c:pt idx="16">
                  <c:v>250</c:v>
                </c:pt>
                <c:pt idx="17">
                  <c:v>580</c:v>
                </c:pt>
                <c:pt idx="18">
                  <c:v>516</c:v>
                </c:pt>
                <c:pt idx="19">
                  <c:v>657</c:v>
                </c:pt>
                <c:pt idx="20">
                  <c:v>690</c:v>
                </c:pt>
                <c:pt idx="21">
                  <c:v>607</c:v>
                </c:pt>
                <c:pt idx="22">
                  <c:v>848</c:v>
                </c:pt>
                <c:pt idx="23">
                  <c:v>735</c:v>
                </c:pt>
                <c:pt idx="24">
                  <c:v>917</c:v>
                </c:pt>
                <c:pt idx="25" formatCode="#,##0">
                  <c:v>1012</c:v>
                </c:pt>
                <c:pt idx="26">
                  <c:v>960</c:v>
                </c:pt>
                <c:pt idx="27" formatCode="#,##0">
                  <c:v>1270</c:v>
                </c:pt>
                <c:pt idx="28" formatCode="#,##0">
                  <c:v>1153</c:v>
                </c:pt>
                <c:pt idx="29" formatCode="#,##0">
                  <c:v>1219</c:v>
                </c:pt>
                <c:pt idx="30" formatCode="#,##0">
                  <c:v>1262</c:v>
                </c:pt>
                <c:pt idx="31" formatCode="#,##0">
                  <c:v>1460</c:v>
                </c:pt>
                <c:pt idx="32" formatCode="#,##0">
                  <c:v>1455</c:v>
                </c:pt>
                <c:pt idx="33" formatCode="#,##0">
                  <c:v>1851</c:v>
                </c:pt>
                <c:pt idx="34" formatCode="#,##0">
                  <c:v>2251</c:v>
                </c:pt>
                <c:pt idx="35" formatCode="#,##0">
                  <c:v>2293</c:v>
                </c:pt>
                <c:pt idx="36" formatCode="#,##0">
                  <c:v>2165</c:v>
                </c:pt>
                <c:pt idx="37" formatCode="#,##0">
                  <c:v>2738</c:v>
                </c:pt>
                <c:pt idx="38" formatCode="#,##0">
                  <c:v>2737</c:v>
                </c:pt>
                <c:pt idx="39" formatCode="#,##0">
                  <c:v>2776</c:v>
                </c:pt>
                <c:pt idx="40" formatCode="#,##0">
                  <c:v>2703</c:v>
                </c:pt>
                <c:pt idx="41" formatCode="#,##0">
                  <c:v>1635</c:v>
                </c:pt>
                <c:pt idx="42" formatCode="#,##0">
                  <c:v>2336</c:v>
                </c:pt>
                <c:pt idx="43" formatCode="#,##0">
                  <c:v>2263</c:v>
                </c:pt>
                <c:pt idx="44" formatCode="#,##0">
                  <c:v>3042</c:v>
                </c:pt>
                <c:pt idx="45" formatCode="#,##0">
                  <c:v>3156</c:v>
                </c:pt>
                <c:pt idx="46" formatCode="#,##0">
                  <c:v>3466</c:v>
                </c:pt>
                <c:pt idx="47" formatCode="#,##0">
                  <c:v>2696</c:v>
                </c:pt>
                <c:pt idx="48" formatCode="#,##0">
                  <c:v>3336</c:v>
                </c:pt>
                <c:pt idx="49" formatCode="#,##0">
                  <c:v>3507</c:v>
                </c:pt>
                <c:pt idx="50" formatCode="#,##0">
                  <c:v>4345</c:v>
                </c:pt>
                <c:pt idx="51" formatCode="_(* #,##0_);_(* \(#,##0\);_(* &quot;-&quot;??_);_(@_)">
                  <c:v>4246.3</c:v>
                </c:pt>
                <c:pt idx="52" formatCode="_(* #,##0_);_(* \(#,##0\);_(* &quot;-&quot;??_);_(@_)">
                  <c:v>5086.3999999999996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Can!$C$10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val>
            <c:numRef>
              <c:f>Can!$D$10:$BD$10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448</c:v>
                </c:pt>
                <c:pt idx="5">
                  <c:v>464</c:v>
                </c:pt>
                <c:pt idx="6">
                  <c:v>443</c:v>
                </c:pt>
                <c:pt idx="7">
                  <c:v>363</c:v>
                </c:pt>
                <c:pt idx="8">
                  <c:v>339</c:v>
                </c:pt>
                <c:pt idx="9">
                  <c:v>473</c:v>
                </c:pt>
                <c:pt idx="10">
                  <c:v>428</c:v>
                </c:pt>
                <c:pt idx="11">
                  <c:v>403</c:v>
                </c:pt>
                <c:pt idx="12">
                  <c:v>299</c:v>
                </c:pt>
                <c:pt idx="13">
                  <c:v>340</c:v>
                </c:pt>
                <c:pt idx="14">
                  <c:v>346</c:v>
                </c:pt>
                <c:pt idx="15">
                  <c:v>370</c:v>
                </c:pt>
                <c:pt idx="16">
                  <c:v>392</c:v>
                </c:pt>
                <c:pt idx="17">
                  <c:v>263</c:v>
                </c:pt>
                <c:pt idx="18">
                  <c:v>350</c:v>
                </c:pt>
                <c:pt idx="19">
                  <c:v>422</c:v>
                </c:pt>
                <c:pt idx="20">
                  <c:v>401</c:v>
                </c:pt>
                <c:pt idx="21">
                  <c:v>424</c:v>
                </c:pt>
                <c:pt idx="22">
                  <c:v>419</c:v>
                </c:pt>
                <c:pt idx="23">
                  <c:v>280</c:v>
                </c:pt>
                <c:pt idx="24">
                  <c:v>229</c:v>
                </c:pt>
                <c:pt idx="25">
                  <c:v>175</c:v>
                </c:pt>
                <c:pt idx="26">
                  <c:v>217</c:v>
                </c:pt>
                <c:pt idx="27">
                  <c:v>151</c:v>
                </c:pt>
                <c:pt idx="28">
                  <c:v>159</c:v>
                </c:pt>
                <c:pt idx="29">
                  <c:v>287</c:v>
                </c:pt>
                <c:pt idx="30">
                  <c:v>151</c:v>
                </c:pt>
                <c:pt idx="31">
                  <c:v>72</c:v>
                </c:pt>
                <c:pt idx="32">
                  <c:v>226</c:v>
                </c:pt>
                <c:pt idx="33">
                  <c:v>57</c:v>
                </c:pt>
                <c:pt idx="34">
                  <c:v>67</c:v>
                </c:pt>
                <c:pt idx="35">
                  <c:v>70</c:v>
                </c:pt>
                <c:pt idx="36">
                  <c:v>231</c:v>
                </c:pt>
                <c:pt idx="37">
                  <c:v>149</c:v>
                </c:pt>
                <c:pt idx="38">
                  <c:v>254</c:v>
                </c:pt>
                <c:pt idx="39">
                  <c:v>455</c:v>
                </c:pt>
                <c:pt idx="40">
                  <c:v>431</c:v>
                </c:pt>
                <c:pt idx="41">
                  <c:v>982</c:v>
                </c:pt>
                <c:pt idx="42">
                  <c:v>651</c:v>
                </c:pt>
                <c:pt idx="43">
                  <c:v>613</c:v>
                </c:pt>
                <c:pt idx="44">
                  <c:v>386</c:v>
                </c:pt>
                <c:pt idx="45">
                  <c:v>349</c:v>
                </c:pt>
                <c:pt idx="46">
                  <c:v>234</c:v>
                </c:pt>
                <c:pt idx="47">
                  <c:v>309</c:v>
                </c:pt>
                <c:pt idx="48">
                  <c:v>387</c:v>
                </c:pt>
                <c:pt idx="49">
                  <c:v>375</c:v>
                </c:pt>
                <c:pt idx="50">
                  <c:v>350</c:v>
                </c:pt>
                <c:pt idx="51" formatCode="_(* #,##0_);_(* \(#,##0\);_(* &quot;-&quot;??_);_(@_)">
                  <c:v>290.36599999999999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Can!$C$11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val>
            <c:numRef>
              <c:f>Can!$D$11:$BD$11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87</c:v>
                </c:pt>
                <c:pt idx="5">
                  <c:v>59</c:v>
                </c:pt>
                <c:pt idx="6">
                  <c:v>98</c:v>
                </c:pt>
                <c:pt idx="7">
                  <c:v>43</c:v>
                </c:pt>
                <c:pt idx="8">
                  <c:v>31</c:v>
                </c:pt>
                <c:pt idx="9">
                  <c:v>30</c:v>
                </c:pt>
                <c:pt idx="10">
                  <c:v>22</c:v>
                </c:pt>
                <c:pt idx="11">
                  <c:v>38</c:v>
                </c:pt>
                <c:pt idx="12">
                  <c:v>30</c:v>
                </c:pt>
                <c:pt idx="13">
                  <c:v>30</c:v>
                </c:pt>
                <c:pt idx="14">
                  <c:v>8</c:v>
                </c:pt>
                <c:pt idx="15">
                  <c:v>22</c:v>
                </c:pt>
                <c:pt idx="16">
                  <c:v>25</c:v>
                </c:pt>
                <c:pt idx="17">
                  <c:v>64</c:v>
                </c:pt>
                <c:pt idx="18">
                  <c:v>91</c:v>
                </c:pt>
                <c:pt idx="19">
                  <c:v>54</c:v>
                </c:pt>
                <c:pt idx="20">
                  <c:v>142</c:v>
                </c:pt>
                <c:pt idx="21">
                  <c:v>83</c:v>
                </c:pt>
                <c:pt idx="22">
                  <c:v>117</c:v>
                </c:pt>
                <c:pt idx="23">
                  <c:v>61</c:v>
                </c:pt>
                <c:pt idx="24">
                  <c:v>124</c:v>
                </c:pt>
                <c:pt idx="25">
                  <c:v>173</c:v>
                </c:pt>
                <c:pt idx="26">
                  <c:v>147</c:v>
                </c:pt>
                <c:pt idx="27">
                  <c:v>186</c:v>
                </c:pt>
                <c:pt idx="28">
                  <c:v>273</c:v>
                </c:pt>
                <c:pt idx="29">
                  <c:v>192</c:v>
                </c:pt>
                <c:pt idx="30">
                  <c:v>213</c:v>
                </c:pt>
                <c:pt idx="31">
                  <c:v>252</c:v>
                </c:pt>
                <c:pt idx="32">
                  <c:v>211</c:v>
                </c:pt>
                <c:pt idx="33">
                  <c:v>489</c:v>
                </c:pt>
                <c:pt idx="34">
                  <c:v>542</c:v>
                </c:pt>
                <c:pt idx="35">
                  <c:v>599</c:v>
                </c:pt>
                <c:pt idx="36">
                  <c:v>478</c:v>
                </c:pt>
                <c:pt idx="37">
                  <c:v>769</c:v>
                </c:pt>
                <c:pt idx="38">
                  <c:v>876</c:v>
                </c:pt>
                <c:pt idx="39">
                  <c:v>949</c:v>
                </c:pt>
                <c:pt idx="40">
                  <c:v>747</c:v>
                </c:pt>
                <c:pt idx="41">
                  <c:v>502</c:v>
                </c:pt>
                <c:pt idx="42">
                  <c:v>726</c:v>
                </c:pt>
                <c:pt idx="43">
                  <c:v>914</c:v>
                </c:pt>
                <c:pt idx="44" formatCode="#,##0">
                  <c:v>1124</c:v>
                </c:pt>
                <c:pt idx="45" formatCode="#,##0">
                  <c:v>1326</c:v>
                </c:pt>
                <c:pt idx="46" formatCode="#,##0">
                  <c:v>1683</c:v>
                </c:pt>
                <c:pt idx="47" formatCode="#,##0">
                  <c:v>1753</c:v>
                </c:pt>
                <c:pt idx="48" formatCode="#,##0">
                  <c:v>2017</c:v>
                </c:pt>
                <c:pt idx="49" formatCode="#,##0">
                  <c:v>2247</c:v>
                </c:pt>
                <c:pt idx="50" formatCode="#,##0">
                  <c:v>2825</c:v>
                </c:pt>
                <c:pt idx="51" formatCode="_(* #,##0_);_(* \(#,##0\);_(* &quot;-&quot;??_);_(@_)">
                  <c:v>2650.7620000000002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Can!$C$12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val>
            <c:numRef>
              <c:f>Can!$D$12:$BD$12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546</c:v>
                </c:pt>
                <c:pt idx="5">
                  <c:v>610</c:v>
                </c:pt>
                <c:pt idx="6">
                  <c:v>555</c:v>
                </c:pt>
                <c:pt idx="7">
                  <c:v>553</c:v>
                </c:pt>
                <c:pt idx="8">
                  <c:v>561</c:v>
                </c:pt>
                <c:pt idx="9">
                  <c:v>664</c:v>
                </c:pt>
                <c:pt idx="10">
                  <c:v>659</c:v>
                </c:pt>
                <c:pt idx="11">
                  <c:v>652</c:v>
                </c:pt>
                <c:pt idx="12">
                  <c:v>632</c:v>
                </c:pt>
                <c:pt idx="13">
                  <c:v>663</c:v>
                </c:pt>
                <c:pt idx="14">
                  <c:v>652</c:v>
                </c:pt>
                <c:pt idx="15">
                  <c:v>718</c:v>
                </c:pt>
                <c:pt idx="16">
                  <c:v>629</c:v>
                </c:pt>
                <c:pt idx="17">
                  <c:v>761</c:v>
                </c:pt>
                <c:pt idx="18">
                  <c:v>774</c:v>
                </c:pt>
                <c:pt idx="19">
                  <c:v>972</c:v>
                </c:pt>
                <c:pt idx="20">
                  <c:v>965</c:v>
                </c:pt>
                <c:pt idx="21">
                  <c:v>996</c:v>
                </c:pt>
                <c:pt idx="22" formatCode="#,##0">
                  <c:v>1081</c:v>
                </c:pt>
                <c:pt idx="23">
                  <c:v>979</c:v>
                </c:pt>
                <c:pt idx="24">
                  <c:v>964</c:v>
                </c:pt>
                <c:pt idx="25">
                  <c:v>954</c:v>
                </c:pt>
                <c:pt idx="26" formatCode="#,##0">
                  <c:v>1166</c:v>
                </c:pt>
                <c:pt idx="27" formatCode="#,##0">
                  <c:v>1210</c:v>
                </c:pt>
                <c:pt idx="28" formatCode="#,##0">
                  <c:v>1007</c:v>
                </c:pt>
                <c:pt idx="29" formatCode="#,##0">
                  <c:v>1294</c:v>
                </c:pt>
                <c:pt idx="30" formatCode="#,##0">
                  <c:v>1181</c:v>
                </c:pt>
                <c:pt idx="31" formatCode="#,##0">
                  <c:v>1270</c:v>
                </c:pt>
                <c:pt idx="32" formatCode="#,##0">
                  <c:v>1535</c:v>
                </c:pt>
                <c:pt idx="33" formatCode="#,##0">
                  <c:v>1424</c:v>
                </c:pt>
                <c:pt idx="34" formatCode="#,##0">
                  <c:v>1743</c:v>
                </c:pt>
                <c:pt idx="35" formatCode="#,##0">
                  <c:v>1827</c:v>
                </c:pt>
                <c:pt idx="36" formatCode="#,##0">
                  <c:v>1961</c:v>
                </c:pt>
                <c:pt idx="37" formatCode="#,##0">
                  <c:v>2063</c:v>
                </c:pt>
                <c:pt idx="38" formatCode="#,##0">
                  <c:v>2064</c:v>
                </c:pt>
                <c:pt idx="39" formatCode="#,##0">
                  <c:v>2213</c:v>
                </c:pt>
                <c:pt idx="40" formatCode="#,##0">
                  <c:v>2219</c:v>
                </c:pt>
                <c:pt idx="41" formatCode="#,##0">
                  <c:v>2197</c:v>
                </c:pt>
                <c:pt idx="42" formatCode="#,##0">
                  <c:v>2296</c:v>
                </c:pt>
                <c:pt idx="43" formatCode="#,##0">
                  <c:v>2070</c:v>
                </c:pt>
                <c:pt idx="44" formatCode="#,##0">
                  <c:v>2046</c:v>
                </c:pt>
                <c:pt idx="45" formatCode="#,##0">
                  <c:v>1996</c:v>
                </c:pt>
                <c:pt idx="46" formatCode="#,##0">
                  <c:v>1978</c:v>
                </c:pt>
                <c:pt idx="47" formatCode="#,##0">
                  <c:v>1777</c:v>
                </c:pt>
                <c:pt idx="48" formatCode="#,##0">
                  <c:v>1681</c:v>
                </c:pt>
                <c:pt idx="49" formatCode="#,##0">
                  <c:v>1674</c:v>
                </c:pt>
                <c:pt idx="50" formatCode="#,##0">
                  <c:v>1825</c:v>
                </c:pt>
                <c:pt idx="51" formatCode="_(* #,##0_);_(* \(#,##0\);_(* &quot;-&quot;??_);_(@_)">
                  <c:v>1885.904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517288"/>
        <c:axId val="309515720"/>
      </c:lineChart>
      <c:catAx>
        <c:axId val="309517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5720"/>
        <c:crosses val="autoZero"/>
        <c:auto val="1"/>
        <c:lblAlgn val="ctr"/>
        <c:lblOffset val="100"/>
        <c:noMultiLvlLbl val="0"/>
      </c:catAx>
      <c:valAx>
        <c:axId val="30951572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728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88699702232688771"/>
          <c:h val="0.13074129339226903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Can!$C$13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Can!$D$13:$BD$13</c:f>
              <c:numCache>
                <c:formatCode>General</c:formatCode>
                <c:ptCount val="53"/>
                <c:pt idx="0">
                  <c:v>48</c:v>
                </c:pt>
                <c:pt idx="1">
                  <c:v>39</c:v>
                </c:pt>
                <c:pt idx="2">
                  <c:v>39</c:v>
                </c:pt>
                <c:pt idx="3">
                  <c:v>47</c:v>
                </c:pt>
                <c:pt idx="4">
                  <c:v>46</c:v>
                </c:pt>
                <c:pt idx="5">
                  <c:v>54</c:v>
                </c:pt>
                <c:pt idx="6">
                  <c:v>39</c:v>
                </c:pt>
                <c:pt idx="7">
                  <c:v>41</c:v>
                </c:pt>
                <c:pt idx="8">
                  <c:v>42</c:v>
                </c:pt>
                <c:pt idx="9">
                  <c:v>42</c:v>
                </c:pt>
                <c:pt idx="10">
                  <c:v>48</c:v>
                </c:pt>
                <c:pt idx="11">
                  <c:v>71</c:v>
                </c:pt>
                <c:pt idx="12">
                  <c:v>66</c:v>
                </c:pt>
                <c:pt idx="13">
                  <c:v>66</c:v>
                </c:pt>
                <c:pt idx="14">
                  <c:v>56</c:v>
                </c:pt>
                <c:pt idx="15">
                  <c:v>60</c:v>
                </c:pt>
                <c:pt idx="16">
                  <c:v>66</c:v>
                </c:pt>
                <c:pt idx="17">
                  <c:v>89</c:v>
                </c:pt>
                <c:pt idx="18">
                  <c:v>89</c:v>
                </c:pt>
                <c:pt idx="19">
                  <c:v>90</c:v>
                </c:pt>
                <c:pt idx="20">
                  <c:v>99</c:v>
                </c:pt>
                <c:pt idx="21">
                  <c:v>99</c:v>
                </c:pt>
                <c:pt idx="22">
                  <c:v>99</c:v>
                </c:pt>
                <c:pt idx="23">
                  <c:v>105</c:v>
                </c:pt>
                <c:pt idx="24">
                  <c:v>108</c:v>
                </c:pt>
                <c:pt idx="25">
                  <c:v>87</c:v>
                </c:pt>
                <c:pt idx="26">
                  <c:v>85</c:v>
                </c:pt>
                <c:pt idx="27">
                  <c:v>113</c:v>
                </c:pt>
                <c:pt idx="28">
                  <c:v>115</c:v>
                </c:pt>
                <c:pt idx="29">
                  <c:v>155</c:v>
                </c:pt>
                <c:pt idx="30">
                  <c:v>189</c:v>
                </c:pt>
                <c:pt idx="31">
                  <c:v>175</c:v>
                </c:pt>
                <c:pt idx="32">
                  <c:v>184</c:v>
                </c:pt>
                <c:pt idx="33">
                  <c:v>187</c:v>
                </c:pt>
                <c:pt idx="34">
                  <c:v>217</c:v>
                </c:pt>
                <c:pt idx="35">
                  <c:v>225</c:v>
                </c:pt>
                <c:pt idx="36">
                  <c:v>240</c:v>
                </c:pt>
                <c:pt idx="37">
                  <c:v>245</c:v>
                </c:pt>
                <c:pt idx="38">
                  <c:v>248</c:v>
                </c:pt>
                <c:pt idx="39">
                  <c:v>251</c:v>
                </c:pt>
                <c:pt idx="40">
                  <c:v>255</c:v>
                </c:pt>
                <c:pt idx="41">
                  <c:v>229</c:v>
                </c:pt>
                <c:pt idx="42">
                  <c:v>242</c:v>
                </c:pt>
                <c:pt idx="43">
                  <c:v>285</c:v>
                </c:pt>
                <c:pt idx="44">
                  <c:v>321</c:v>
                </c:pt>
                <c:pt idx="45">
                  <c:v>333</c:v>
                </c:pt>
                <c:pt idx="46">
                  <c:v>341</c:v>
                </c:pt>
                <c:pt idx="47">
                  <c:v>388</c:v>
                </c:pt>
                <c:pt idx="48">
                  <c:v>329</c:v>
                </c:pt>
                <c:pt idx="49">
                  <c:v>363</c:v>
                </c:pt>
                <c:pt idx="50">
                  <c:v>340</c:v>
                </c:pt>
                <c:pt idx="51" formatCode="_(* #,##0_);_(* \(#,##0\);_(* &quot;-&quot;??_);_(@_)">
                  <c:v>365.76400000000001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Can!$C$14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Can!$D$14:$BD$14</c:f>
              <c:numCache>
                <c:formatCode>General</c:formatCode>
                <c:ptCount val="53"/>
                <c:pt idx="0">
                  <c:v>48</c:v>
                </c:pt>
                <c:pt idx="1">
                  <c:v>39</c:v>
                </c:pt>
                <c:pt idx="2">
                  <c:v>39</c:v>
                </c:pt>
                <c:pt idx="3">
                  <c:v>47</c:v>
                </c:pt>
                <c:pt idx="4">
                  <c:v>46</c:v>
                </c:pt>
                <c:pt idx="5">
                  <c:v>54</c:v>
                </c:pt>
                <c:pt idx="6">
                  <c:v>39</c:v>
                </c:pt>
                <c:pt idx="7">
                  <c:v>41</c:v>
                </c:pt>
                <c:pt idx="8">
                  <c:v>42</c:v>
                </c:pt>
                <c:pt idx="9">
                  <c:v>42</c:v>
                </c:pt>
                <c:pt idx="10">
                  <c:v>48</c:v>
                </c:pt>
                <c:pt idx="11">
                  <c:v>71</c:v>
                </c:pt>
                <c:pt idx="12">
                  <c:v>66</c:v>
                </c:pt>
                <c:pt idx="13">
                  <c:v>66</c:v>
                </c:pt>
                <c:pt idx="14">
                  <c:v>56</c:v>
                </c:pt>
                <c:pt idx="15">
                  <c:v>60</c:v>
                </c:pt>
                <c:pt idx="16">
                  <c:v>66</c:v>
                </c:pt>
                <c:pt idx="17">
                  <c:v>89</c:v>
                </c:pt>
                <c:pt idx="18">
                  <c:v>89</c:v>
                </c:pt>
                <c:pt idx="19">
                  <c:v>90</c:v>
                </c:pt>
                <c:pt idx="20">
                  <c:v>99</c:v>
                </c:pt>
                <c:pt idx="21">
                  <c:v>99</c:v>
                </c:pt>
                <c:pt idx="22">
                  <c:v>99</c:v>
                </c:pt>
                <c:pt idx="23">
                  <c:v>105</c:v>
                </c:pt>
                <c:pt idx="24">
                  <c:v>108</c:v>
                </c:pt>
                <c:pt idx="25">
                  <c:v>87</c:v>
                </c:pt>
                <c:pt idx="26">
                  <c:v>85</c:v>
                </c:pt>
                <c:pt idx="27">
                  <c:v>113</c:v>
                </c:pt>
                <c:pt idx="28">
                  <c:v>115</c:v>
                </c:pt>
                <c:pt idx="29">
                  <c:v>155</c:v>
                </c:pt>
                <c:pt idx="30">
                  <c:v>189</c:v>
                </c:pt>
                <c:pt idx="31">
                  <c:v>175</c:v>
                </c:pt>
                <c:pt idx="32">
                  <c:v>184</c:v>
                </c:pt>
                <c:pt idx="33">
                  <c:v>187</c:v>
                </c:pt>
                <c:pt idx="34">
                  <c:v>217</c:v>
                </c:pt>
                <c:pt idx="35">
                  <c:v>225</c:v>
                </c:pt>
                <c:pt idx="36">
                  <c:v>240</c:v>
                </c:pt>
                <c:pt idx="37">
                  <c:v>245</c:v>
                </c:pt>
                <c:pt idx="38">
                  <c:v>248</c:v>
                </c:pt>
                <c:pt idx="39">
                  <c:v>251</c:v>
                </c:pt>
                <c:pt idx="40">
                  <c:v>255</c:v>
                </c:pt>
                <c:pt idx="41">
                  <c:v>229</c:v>
                </c:pt>
                <c:pt idx="42">
                  <c:v>242</c:v>
                </c:pt>
                <c:pt idx="43">
                  <c:v>285</c:v>
                </c:pt>
                <c:pt idx="44">
                  <c:v>321</c:v>
                </c:pt>
                <c:pt idx="45">
                  <c:v>333</c:v>
                </c:pt>
                <c:pt idx="46">
                  <c:v>341</c:v>
                </c:pt>
                <c:pt idx="47">
                  <c:v>388</c:v>
                </c:pt>
                <c:pt idx="48">
                  <c:v>329</c:v>
                </c:pt>
                <c:pt idx="49">
                  <c:v>363</c:v>
                </c:pt>
                <c:pt idx="50">
                  <c:v>340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509840"/>
        <c:axId val="309516112"/>
      </c:lineChart>
      <c:catAx>
        <c:axId val="309509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6112"/>
        <c:crosses val="autoZero"/>
        <c:auto val="1"/>
        <c:lblAlgn val="ctr"/>
        <c:lblOffset val="100"/>
        <c:noMultiLvlLbl val="0"/>
      </c:catAx>
      <c:valAx>
        <c:axId val="3095161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0984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91165128933230188"/>
          <c:h val="0.1078068583210106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19"/>
          <c:w val="0.8452459084856948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Can!$C$15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Can!$D$15:$BD$15</c:f>
              <c:numCache>
                <c:formatCode>General</c:formatCode>
                <c:ptCount val="53"/>
                <c:pt idx="0">
                  <c:v>146</c:v>
                </c:pt>
                <c:pt idx="1">
                  <c:v>127</c:v>
                </c:pt>
                <c:pt idx="2">
                  <c:v>127</c:v>
                </c:pt>
                <c:pt idx="3">
                  <c:v>133</c:v>
                </c:pt>
                <c:pt idx="4">
                  <c:v>145</c:v>
                </c:pt>
                <c:pt idx="5">
                  <c:v>131</c:v>
                </c:pt>
                <c:pt idx="6">
                  <c:v>147</c:v>
                </c:pt>
                <c:pt idx="7">
                  <c:v>135</c:v>
                </c:pt>
                <c:pt idx="8">
                  <c:v>135</c:v>
                </c:pt>
                <c:pt idx="9">
                  <c:v>134</c:v>
                </c:pt>
                <c:pt idx="10">
                  <c:v>97</c:v>
                </c:pt>
                <c:pt idx="11">
                  <c:v>149</c:v>
                </c:pt>
                <c:pt idx="12">
                  <c:v>146</c:v>
                </c:pt>
                <c:pt idx="13">
                  <c:v>114</c:v>
                </c:pt>
                <c:pt idx="14">
                  <c:v>108</c:v>
                </c:pt>
                <c:pt idx="15">
                  <c:v>120</c:v>
                </c:pt>
                <c:pt idx="16">
                  <c:v>156</c:v>
                </c:pt>
                <c:pt idx="17">
                  <c:v>155</c:v>
                </c:pt>
                <c:pt idx="18">
                  <c:v>123</c:v>
                </c:pt>
                <c:pt idx="19">
                  <c:v>133</c:v>
                </c:pt>
                <c:pt idx="20">
                  <c:v>108</c:v>
                </c:pt>
                <c:pt idx="21">
                  <c:v>141</c:v>
                </c:pt>
                <c:pt idx="22">
                  <c:v>128</c:v>
                </c:pt>
                <c:pt idx="23">
                  <c:v>135</c:v>
                </c:pt>
                <c:pt idx="24">
                  <c:v>116</c:v>
                </c:pt>
                <c:pt idx="25">
                  <c:v>52</c:v>
                </c:pt>
                <c:pt idx="26">
                  <c:v>122</c:v>
                </c:pt>
                <c:pt idx="27">
                  <c:v>147</c:v>
                </c:pt>
                <c:pt idx="28">
                  <c:v>114</c:v>
                </c:pt>
                <c:pt idx="29">
                  <c:v>117</c:v>
                </c:pt>
                <c:pt idx="30">
                  <c:v>147</c:v>
                </c:pt>
                <c:pt idx="31">
                  <c:v>151</c:v>
                </c:pt>
                <c:pt idx="32">
                  <c:v>123</c:v>
                </c:pt>
                <c:pt idx="33">
                  <c:v>123</c:v>
                </c:pt>
                <c:pt idx="34">
                  <c:v>182</c:v>
                </c:pt>
                <c:pt idx="35">
                  <c:v>164</c:v>
                </c:pt>
                <c:pt idx="36">
                  <c:v>157</c:v>
                </c:pt>
                <c:pt idx="37">
                  <c:v>105</c:v>
                </c:pt>
                <c:pt idx="38">
                  <c:v>95</c:v>
                </c:pt>
                <c:pt idx="39">
                  <c:v>73</c:v>
                </c:pt>
                <c:pt idx="40">
                  <c:v>121</c:v>
                </c:pt>
                <c:pt idx="41">
                  <c:v>88</c:v>
                </c:pt>
                <c:pt idx="42">
                  <c:v>54</c:v>
                </c:pt>
                <c:pt idx="43">
                  <c:v>98</c:v>
                </c:pt>
                <c:pt idx="44">
                  <c:v>105</c:v>
                </c:pt>
                <c:pt idx="45">
                  <c:v>105</c:v>
                </c:pt>
                <c:pt idx="46">
                  <c:v>135</c:v>
                </c:pt>
                <c:pt idx="47">
                  <c:v>126</c:v>
                </c:pt>
                <c:pt idx="48">
                  <c:v>50</c:v>
                </c:pt>
                <c:pt idx="49">
                  <c:v>125</c:v>
                </c:pt>
                <c:pt idx="50">
                  <c:v>125</c:v>
                </c:pt>
                <c:pt idx="51" formatCode="_(* #,##0_);_(* \(#,##0\);_(* &quot;-&quot;??_);_(@_)">
                  <c:v>775</c:v>
                </c:pt>
                <c:pt idx="52" formatCode="_(* #,##0_);_(* \(#,##0\);_(* &quot;-&quot;??_);_(@_)">
                  <c:v>598.70000000000005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Can!$C$16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Can!$D$16:$BD$16</c:f>
              <c:numCache>
                <c:formatCode>General</c:formatCode>
                <c:ptCount val="53"/>
                <c:pt idx="0">
                  <c:v>689</c:v>
                </c:pt>
                <c:pt idx="1">
                  <c:v>755</c:v>
                </c:pt>
                <c:pt idx="2">
                  <c:v>760</c:v>
                </c:pt>
                <c:pt idx="3">
                  <c:v>766</c:v>
                </c:pt>
                <c:pt idx="4">
                  <c:v>818</c:v>
                </c:pt>
                <c:pt idx="5">
                  <c:v>825</c:v>
                </c:pt>
                <c:pt idx="6">
                  <c:v>893</c:v>
                </c:pt>
                <c:pt idx="7">
                  <c:v>870</c:v>
                </c:pt>
                <c:pt idx="8">
                  <c:v>946</c:v>
                </c:pt>
                <c:pt idx="9">
                  <c:v>999</c:v>
                </c:pt>
                <c:pt idx="10">
                  <c:v>901</c:v>
                </c:pt>
                <c:pt idx="11">
                  <c:v>918</c:v>
                </c:pt>
                <c:pt idx="12">
                  <c:v>945</c:v>
                </c:pt>
                <c:pt idx="13">
                  <c:v>987</c:v>
                </c:pt>
                <c:pt idx="14">
                  <c:v>795</c:v>
                </c:pt>
                <c:pt idx="15" formatCode="#,##0">
                  <c:v>1030</c:v>
                </c:pt>
                <c:pt idx="16" formatCode="#,##0">
                  <c:v>1015</c:v>
                </c:pt>
                <c:pt idx="17" formatCode="#,##0">
                  <c:v>1050</c:v>
                </c:pt>
                <c:pt idx="18" formatCode="#,##0">
                  <c:v>1046</c:v>
                </c:pt>
                <c:pt idx="19">
                  <c:v>989</c:v>
                </c:pt>
                <c:pt idx="20">
                  <c:v>922</c:v>
                </c:pt>
                <c:pt idx="21">
                  <c:v>929</c:v>
                </c:pt>
                <c:pt idx="22" formatCode="#,##0">
                  <c:v>1099</c:v>
                </c:pt>
                <c:pt idx="23">
                  <c:v>993</c:v>
                </c:pt>
                <c:pt idx="24" formatCode="#,##0">
                  <c:v>1070</c:v>
                </c:pt>
                <c:pt idx="25" formatCode="#,##0">
                  <c:v>1145</c:v>
                </c:pt>
                <c:pt idx="26" formatCode="#,##0">
                  <c:v>1119</c:v>
                </c:pt>
                <c:pt idx="27">
                  <c:v>928</c:v>
                </c:pt>
                <c:pt idx="28">
                  <c:v>711</c:v>
                </c:pt>
                <c:pt idx="29">
                  <c:v>824</c:v>
                </c:pt>
                <c:pt idx="30" formatCode="#,##0">
                  <c:v>1109</c:v>
                </c:pt>
                <c:pt idx="31">
                  <c:v>961</c:v>
                </c:pt>
                <c:pt idx="32" formatCode="#,##0">
                  <c:v>1110</c:v>
                </c:pt>
                <c:pt idx="33" formatCode="#,##0">
                  <c:v>1155</c:v>
                </c:pt>
                <c:pt idx="34" formatCode="#,##0">
                  <c:v>1090</c:v>
                </c:pt>
                <c:pt idx="35" formatCode="#,##0">
                  <c:v>1156</c:v>
                </c:pt>
                <c:pt idx="36" formatCode="#,##0">
                  <c:v>1062</c:v>
                </c:pt>
                <c:pt idx="37" formatCode="#,##0">
                  <c:v>1056</c:v>
                </c:pt>
                <c:pt idx="38" formatCode="#,##0">
                  <c:v>1129</c:v>
                </c:pt>
                <c:pt idx="39" formatCode="#,##0">
                  <c:v>1207</c:v>
                </c:pt>
                <c:pt idx="40" formatCode="#,##0">
                  <c:v>1211</c:v>
                </c:pt>
                <c:pt idx="41" formatCode="#,##0">
                  <c:v>1235</c:v>
                </c:pt>
                <c:pt idx="42" formatCode="#,##0">
                  <c:v>1329</c:v>
                </c:pt>
                <c:pt idx="43" formatCode="#,##0">
                  <c:v>1323</c:v>
                </c:pt>
                <c:pt idx="44" formatCode="#,##0">
                  <c:v>1274</c:v>
                </c:pt>
                <c:pt idx="45" formatCode="#,##0">
                  <c:v>1445</c:v>
                </c:pt>
                <c:pt idx="46" formatCode="#,##0">
                  <c:v>1294</c:v>
                </c:pt>
                <c:pt idx="47" formatCode="#,##0">
                  <c:v>1417</c:v>
                </c:pt>
                <c:pt idx="48" formatCode="#,##0">
                  <c:v>1350</c:v>
                </c:pt>
                <c:pt idx="49" formatCode="#,##0">
                  <c:v>1300</c:v>
                </c:pt>
                <c:pt idx="50" formatCode="#,##0">
                  <c:v>1300</c:v>
                </c:pt>
                <c:pt idx="51" formatCode="_(* #,##0_);_(* \(#,##0\);_(* &quot;-&quot;??_);_(@_)">
                  <c:v>1128.903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Can!$C$17</c:f>
              <c:strCache>
                <c:ptCount val="1"/>
                <c:pt idx="0">
                  <c:v>Total 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Can!$D$17:$BD$17</c:f>
              <c:numCache>
                <c:formatCode>General</c:formatCode>
                <c:ptCount val="53"/>
                <c:pt idx="0">
                  <c:v>8</c:v>
                </c:pt>
                <c:pt idx="1">
                  <c:v>11</c:v>
                </c:pt>
                <c:pt idx="2">
                  <c:v>0</c:v>
                </c:pt>
                <c:pt idx="3">
                  <c:v>15</c:v>
                </c:pt>
                <c:pt idx="4">
                  <c:v>18</c:v>
                </c:pt>
                <c:pt idx="5">
                  <c:v>16</c:v>
                </c:pt>
                <c:pt idx="6">
                  <c:v>21</c:v>
                </c:pt>
                <c:pt idx="7">
                  <c:v>23</c:v>
                </c:pt>
                <c:pt idx="8">
                  <c:v>16</c:v>
                </c:pt>
                <c:pt idx="9">
                  <c:v>15</c:v>
                </c:pt>
                <c:pt idx="10">
                  <c:v>12</c:v>
                </c:pt>
                <c:pt idx="11">
                  <c:v>18</c:v>
                </c:pt>
                <c:pt idx="12">
                  <c:v>64</c:v>
                </c:pt>
                <c:pt idx="13">
                  <c:v>20</c:v>
                </c:pt>
                <c:pt idx="14">
                  <c:v>43</c:v>
                </c:pt>
                <c:pt idx="15">
                  <c:v>62</c:v>
                </c:pt>
                <c:pt idx="16">
                  <c:v>58</c:v>
                </c:pt>
                <c:pt idx="17">
                  <c:v>114</c:v>
                </c:pt>
                <c:pt idx="18">
                  <c:v>143</c:v>
                </c:pt>
                <c:pt idx="19">
                  <c:v>32</c:v>
                </c:pt>
                <c:pt idx="20">
                  <c:v>64</c:v>
                </c:pt>
                <c:pt idx="21">
                  <c:v>95</c:v>
                </c:pt>
                <c:pt idx="22">
                  <c:v>97</c:v>
                </c:pt>
                <c:pt idx="23">
                  <c:v>73</c:v>
                </c:pt>
                <c:pt idx="24">
                  <c:v>71</c:v>
                </c:pt>
                <c:pt idx="25">
                  <c:v>67</c:v>
                </c:pt>
                <c:pt idx="26">
                  <c:v>101</c:v>
                </c:pt>
                <c:pt idx="27">
                  <c:v>76</c:v>
                </c:pt>
                <c:pt idx="28">
                  <c:v>53</c:v>
                </c:pt>
                <c:pt idx="29">
                  <c:v>33</c:v>
                </c:pt>
                <c:pt idx="30">
                  <c:v>29</c:v>
                </c:pt>
                <c:pt idx="31">
                  <c:v>36</c:v>
                </c:pt>
                <c:pt idx="32">
                  <c:v>42</c:v>
                </c:pt>
                <c:pt idx="33">
                  <c:v>43</c:v>
                </c:pt>
                <c:pt idx="34">
                  <c:v>50</c:v>
                </c:pt>
                <c:pt idx="35">
                  <c:v>34</c:v>
                </c:pt>
                <c:pt idx="36">
                  <c:v>19</c:v>
                </c:pt>
                <c:pt idx="37">
                  <c:v>21</c:v>
                </c:pt>
                <c:pt idx="38">
                  <c:v>13</c:v>
                </c:pt>
                <c:pt idx="39">
                  <c:v>13</c:v>
                </c:pt>
                <c:pt idx="40">
                  <c:v>13</c:v>
                </c:pt>
                <c:pt idx="41">
                  <c:v>14</c:v>
                </c:pt>
                <c:pt idx="42">
                  <c:v>18</c:v>
                </c:pt>
                <c:pt idx="43">
                  <c:v>12</c:v>
                </c:pt>
                <c:pt idx="44">
                  <c:v>21</c:v>
                </c:pt>
                <c:pt idx="45">
                  <c:v>79</c:v>
                </c:pt>
                <c:pt idx="46">
                  <c:v>41</c:v>
                </c:pt>
                <c:pt idx="47">
                  <c:v>77</c:v>
                </c:pt>
                <c:pt idx="48">
                  <c:v>60</c:v>
                </c:pt>
                <c:pt idx="49">
                  <c:v>70</c:v>
                </c:pt>
                <c:pt idx="50">
                  <c:v>70</c:v>
                </c:pt>
                <c:pt idx="51" formatCode="_(* #,##0_);_(* \(#,##0\);_(* &quot;-&quot;??_);_(@_)">
                  <c:v>0.55300000000000005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Can!$C$18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Can!$D$18:$BD$18</c:f>
              <c:numCache>
                <c:formatCode>General</c:formatCode>
                <c:ptCount val="53"/>
                <c:pt idx="0">
                  <c:v>827</c:v>
                </c:pt>
                <c:pt idx="1">
                  <c:v>871</c:v>
                </c:pt>
                <c:pt idx="2">
                  <c:v>887</c:v>
                </c:pt>
                <c:pt idx="3">
                  <c:v>884</c:v>
                </c:pt>
                <c:pt idx="4">
                  <c:v>945</c:v>
                </c:pt>
                <c:pt idx="5">
                  <c:v>940</c:v>
                </c:pt>
                <c:pt idx="6">
                  <c:v>1019</c:v>
                </c:pt>
                <c:pt idx="7">
                  <c:v>982</c:v>
                </c:pt>
                <c:pt idx="8">
                  <c:v>1065</c:v>
                </c:pt>
                <c:pt idx="9">
                  <c:v>1118</c:v>
                </c:pt>
                <c:pt idx="10">
                  <c:v>986</c:v>
                </c:pt>
                <c:pt idx="11">
                  <c:v>1049</c:v>
                </c:pt>
                <c:pt idx="12">
                  <c:v>1027</c:v>
                </c:pt>
                <c:pt idx="13">
                  <c:v>1081</c:v>
                </c:pt>
                <c:pt idx="14">
                  <c:v>860</c:v>
                </c:pt>
                <c:pt idx="15">
                  <c:v>1088</c:v>
                </c:pt>
                <c:pt idx="16">
                  <c:v>1113</c:v>
                </c:pt>
                <c:pt idx="17">
                  <c:v>1091</c:v>
                </c:pt>
                <c:pt idx="18">
                  <c:v>1026</c:v>
                </c:pt>
                <c:pt idx="19">
                  <c:v>1090</c:v>
                </c:pt>
                <c:pt idx="20">
                  <c:v>966</c:v>
                </c:pt>
                <c:pt idx="21">
                  <c:v>975</c:v>
                </c:pt>
                <c:pt idx="22">
                  <c:v>1130</c:v>
                </c:pt>
                <c:pt idx="23">
                  <c:v>1055</c:v>
                </c:pt>
                <c:pt idx="24">
                  <c:v>1115</c:v>
                </c:pt>
                <c:pt idx="25">
                  <c:v>1130</c:v>
                </c:pt>
                <c:pt idx="26">
                  <c:v>1140</c:v>
                </c:pt>
                <c:pt idx="27">
                  <c:v>999</c:v>
                </c:pt>
                <c:pt idx="28">
                  <c:v>772</c:v>
                </c:pt>
                <c:pt idx="29">
                  <c:v>908</c:v>
                </c:pt>
                <c:pt idx="30">
                  <c:v>1227</c:v>
                </c:pt>
                <c:pt idx="31">
                  <c:v>1076</c:v>
                </c:pt>
                <c:pt idx="32">
                  <c:v>1191</c:v>
                </c:pt>
                <c:pt idx="33">
                  <c:v>1235</c:v>
                </c:pt>
                <c:pt idx="34">
                  <c:v>1222</c:v>
                </c:pt>
                <c:pt idx="35">
                  <c:v>1286</c:v>
                </c:pt>
                <c:pt idx="36">
                  <c:v>1200</c:v>
                </c:pt>
                <c:pt idx="37">
                  <c:v>1140</c:v>
                </c:pt>
                <c:pt idx="38">
                  <c:v>1211</c:v>
                </c:pt>
                <c:pt idx="39">
                  <c:v>1267</c:v>
                </c:pt>
                <c:pt idx="40">
                  <c:v>1319</c:v>
                </c:pt>
                <c:pt idx="41">
                  <c:v>1309</c:v>
                </c:pt>
                <c:pt idx="42">
                  <c:v>1365</c:v>
                </c:pt>
                <c:pt idx="43">
                  <c:v>1409</c:v>
                </c:pt>
                <c:pt idx="44">
                  <c:v>1358</c:v>
                </c:pt>
                <c:pt idx="45">
                  <c:v>1471</c:v>
                </c:pt>
                <c:pt idx="46">
                  <c:v>1388</c:v>
                </c:pt>
                <c:pt idx="47">
                  <c:v>1466</c:v>
                </c:pt>
                <c:pt idx="48">
                  <c:v>1340</c:v>
                </c:pt>
                <c:pt idx="49">
                  <c:v>1355</c:v>
                </c:pt>
                <c:pt idx="50">
                  <c:v>1355</c:v>
                </c:pt>
                <c:pt idx="51">
                  <c:v>1903.35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511016"/>
        <c:axId val="309422528"/>
      </c:lineChart>
      <c:catAx>
        <c:axId val="3095110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2528"/>
        <c:crosses val="autoZero"/>
        <c:auto val="1"/>
        <c:lblAlgn val="ctr"/>
        <c:lblOffset val="100"/>
        <c:noMultiLvlLbl val="0"/>
      </c:catAx>
      <c:valAx>
        <c:axId val="30942252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51101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"/>
          <c:w val="0.91165128933230188"/>
          <c:h val="0.107806858321010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27"/>
          <c:w val="0.845245908485695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Can!$C$19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Can!$D$19:$BD$19</c:f>
              <c:numCache>
                <c:formatCode>#,##0</c:formatCode>
                <c:ptCount val="53"/>
                <c:pt idx="0">
                  <c:v>14108</c:v>
                </c:pt>
                <c:pt idx="1">
                  <c:v>7713</c:v>
                </c:pt>
                <c:pt idx="2">
                  <c:v>15392</c:v>
                </c:pt>
                <c:pt idx="3">
                  <c:v>19690</c:v>
                </c:pt>
                <c:pt idx="4">
                  <c:v>16349</c:v>
                </c:pt>
                <c:pt idx="5">
                  <c:v>17674</c:v>
                </c:pt>
                <c:pt idx="6">
                  <c:v>22516</c:v>
                </c:pt>
                <c:pt idx="7">
                  <c:v>16137</c:v>
                </c:pt>
                <c:pt idx="8">
                  <c:v>17689</c:v>
                </c:pt>
                <c:pt idx="9">
                  <c:v>18267</c:v>
                </c:pt>
                <c:pt idx="10">
                  <c:v>9024</c:v>
                </c:pt>
                <c:pt idx="11">
                  <c:v>14412</c:v>
                </c:pt>
                <c:pt idx="12">
                  <c:v>14514</c:v>
                </c:pt>
                <c:pt idx="13">
                  <c:v>16159</c:v>
                </c:pt>
                <c:pt idx="14">
                  <c:v>13295</c:v>
                </c:pt>
                <c:pt idx="15">
                  <c:v>17078</c:v>
                </c:pt>
                <c:pt idx="16">
                  <c:v>23587</c:v>
                </c:pt>
                <c:pt idx="17">
                  <c:v>19862</c:v>
                </c:pt>
                <c:pt idx="18">
                  <c:v>21145</c:v>
                </c:pt>
                <c:pt idx="19">
                  <c:v>17185</c:v>
                </c:pt>
                <c:pt idx="20">
                  <c:v>19291</c:v>
                </c:pt>
                <c:pt idx="21">
                  <c:v>24802</c:v>
                </c:pt>
                <c:pt idx="22">
                  <c:v>26715</c:v>
                </c:pt>
                <c:pt idx="23">
                  <c:v>26465</c:v>
                </c:pt>
                <c:pt idx="24">
                  <c:v>21188</c:v>
                </c:pt>
                <c:pt idx="25">
                  <c:v>24252</c:v>
                </c:pt>
                <c:pt idx="26">
                  <c:v>31359</c:v>
                </c:pt>
                <c:pt idx="27">
                  <c:v>25945</c:v>
                </c:pt>
                <c:pt idx="28">
                  <c:v>15913</c:v>
                </c:pt>
                <c:pt idx="29">
                  <c:v>24796</c:v>
                </c:pt>
                <c:pt idx="30">
                  <c:v>32098</c:v>
                </c:pt>
                <c:pt idx="31">
                  <c:v>31946</c:v>
                </c:pt>
                <c:pt idx="32">
                  <c:v>29871</c:v>
                </c:pt>
                <c:pt idx="33">
                  <c:v>27226</c:v>
                </c:pt>
                <c:pt idx="34">
                  <c:v>22920</c:v>
                </c:pt>
                <c:pt idx="35">
                  <c:v>24989</c:v>
                </c:pt>
                <c:pt idx="36">
                  <c:v>29801</c:v>
                </c:pt>
                <c:pt idx="37">
                  <c:v>24280</c:v>
                </c:pt>
                <c:pt idx="38">
                  <c:v>24082</c:v>
                </c:pt>
                <c:pt idx="39">
                  <c:v>26941</c:v>
                </c:pt>
                <c:pt idx="40">
                  <c:v>26519</c:v>
                </c:pt>
                <c:pt idx="41">
                  <c:v>20568</c:v>
                </c:pt>
                <c:pt idx="42">
                  <c:v>16198</c:v>
                </c:pt>
                <c:pt idx="43">
                  <c:v>23049</c:v>
                </c:pt>
                <c:pt idx="44">
                  <c:v>24796</c:v>
                </c:pt>
                <c:pt idx="45">
                  <c:v>25748</c:v>
                </c:pt>
                <c:pt idx="46">
                  <c:v>25265</c:v>
                </c:pt>
                <c:pt idx="47">
                  <c:v>20054</c:v>
                </c:pt>
                <c:pt idx="48">
                  <c:v>28611</c:v>
                </c:pt>
                <c:pt idx="49">
                  <c:v>26848</c:v>
                </c:pt>
                <c:pt idx="50">
                  <c:v>23167</c:v>
                </c:pt>
                <c:pt idx="51" formatCode="_(* #,##0_);_(* \(#,##0\);_(* &quot;-&quot;??_);_(@_)">
                  <c:v>25261.4</c:v>
                </c:pt>
                <c:pt idx="52" formatCode="_(* #,##0_);_(* \(#,##0\);_(* &quot;-&quot;??_);_(@_)">
                  <c:v>27205.200000000001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Can!$C$20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Can!$D$20:$BD$20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2</c:v>
                </c:pt>
                <c:pt idx="25">
                  <c:v>14</c:v>
                </c:pt>
                <c:pt idx="26">
                  <c:v>38</c:v>
                </c:pt>
                <c:pt idx="27">
                  <c:v>34</c:v>
                </c:pt>
                <c:pt idx="28">
                  <c:v>46</c:v>
                </c:pt>
                <c:pt idx="29">
                  <c:v>36</c:v>
                </c:pt>
                <c:pt idx="30">
                  <c:v>52</c:v>
                </c:pt>
                <c:pt idx="31">
                  <c:v>95</c:v>
                </c:pt>
                <c:pt idx="32">
                  <c:v>113</c:v>
                </c:pt>
                <c:pt idx="33">
                  <c:v>151</c:v>
                </c:pt>
                <c:pt idx="34">
                  <c:v>136</c:v>
                </c:pt>
                <c:pt idx="35">
                  <c:v>158</c:v>
                </c:pt>
                <c:pt idx="36">
                  <c:v>241</c:v>
                </c:pt>
                <c:pt idx="37">
                  <c:v>132</c:v>
                </c:pt>
                <c:pt idx="38">
                  <c:v>152</c:v>
                </c:pt>
                <c:pt idx="39">
                  <c:v>190</c:v>
                </c:pt>
                <c:pt idx="40">
                  <c:v>199</c:v>
                </c:pt>
                <c:pt idx="41">
                  <c:v>341</c:v>
                </c:pt>
                <c:pt idx="42">
                  <c:v>382</c:v>
                </c:pt>
                <c:pt idx="43">
                  <c:v>233</c:v>
                </c:pt>
                <c:pt idx="44">
                  <c:v>253</c:v>
                </c:pt>
                <c:pt idx="45">
                  <c:v>290</c:v>
                </c:pt>
                <c:pt idx="46">
                  <c:v>322</c:v>
                </c:pt>
                <c:pt idx="47">
                  <c:v>390</c:v>
                </c:pt>
                <c:pt idx="48">
                  <c:v>378</c:v>
                </c:pt>
                <c:pt idx="49">
                  <c:v>403</c:v>
                </c:pt>
                <c:pt idx="50">
                  <c:v>400</c:v>
                </c:pt>
                <c:pt idx="51" formatCode="_(* #,##0_);_(* \(#,##0\);_(* &quot;-&quot;??_);_(@_)">
                  <c:v>64.358000000000004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Can!$C$21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Can!$D$21:$BD$21</c:f>
              <c:numCache>
                <c:formatCode>#,##0</c:formatCode>
                <c:ptCount val="53"/>
                <c:pt idx="0">
                  <c:v>9614</c:v>
                </c:pt>
                <c:pt idx="1">
                  <c:v>9744</c:v>
                </c:pt>
                <c:pt idx="2">
                  <c:v>9018</c:v>
                </c:pt>
                <c:pt idx="3">
                  <c:v>16181</c:v>
                </c:pt>
                <c:pt idx="4">
                  <c:v>10875</c:v>
                </c:pt>
                <c:pt idx="5">
                  <c:v>15918</c:v>
                </c:pt>
                <c:pt idx="6">
                  <c:v>14024</c:v>
                </c:pt>
                <c:pt idx="7">
                  <c:v>9145</c:v>
                </c:pt>
                <c:pt idx="8">
                  <c:v>8323</c:v>
                </c:pt>
                <c:pt idx="9">
                  <c:v>9430</c:v>
                </c:pt>
                <c:pt idx="10">
                  <c:v>11846</c:v>
                </c:pt>
                <c:pt idx="11">
                  <c:v>13710</c:v>
                </c:pt>
                <c:pt idx="12">
                  <c:v>15692</c:v>
                </c:pt>
                <c:pt idx="13">
                  <c:v>11414</c:v>
                </c:pt>
                <c:pt idx="14">
                  <c:v>10739</c:v>
                </c:pt>
                <c:pt idx="15">
                  <c:v>12253</c:v>
                </c:pt>
                <c:pt idx="16">
                  <c:v>13446</c:v>
                </c:pt>
                <c:pt idx="17">
                  <c:v>15997</c:v>
                </c:pt>
                <c:pt idx="18">
                  <c:v>13061</c:v>
                </c:pt>
                <c:pt idx="19">
                  <c:v>15883</c:v>
                </c:pt>
                <c:pt idx="20">
                  <c:v>16262</c:v>
                </c:pt>
                <c:pt idx="21">
                  <c:v>18447</c:v>
                </c:pt>
                <c:pt idx="22">
                  <c:v>21368</c:v>
                </c:pt>
                <c:pt idx="23">
                  <c:v>21765</c:v>
                </c:pt>
                <c:pt idx="24">
                  <c:v>17543</c:v>
                </c:pt>
                <c:pt idx="25">
                  <c:v>17697</c:v>
                </c:pt>
                <c:pt idx="26">
                  <c:v>20783</c:v>
                </c:pt>
                <c:pt idx="27">
                  <c:v>23518</c:v>
                </c:pt>
                <c:pt idx="28">
                  <c:v>12429</c:v>
                </c:pt>
                <c:pt idx="29">
                  <c:v>16885</c:v>
                </c:pt>
                <c:pt idx="30">
                  <c:v>21731</c:v>
                </c:pt>
                <c:pt idx="31">
                  <c:v>24481</c:v>
                </c:pt>
                <c:pt idx="32">
                  <c:v>19709</c:v>
                </c:pt>
                <c:pt idx="33">
                  <c:v>19100</c:v>
                </c:pt>
                <c:pt idx="34">
                  <c:v>20851</c:v>
                </c:pt>
                <c:pt idx="35">
                  <c:v>16342</c:v>
                </c:pt>
                <c:pt idx="36">
                  <c:v>19501</c:v>
                </c:pt>
                <c:pt idx="37">
                  <c:v>20134</c:v>
                </c:pt>
                <c:pt idx="38">
                  <c:v>14705</c:v>
                </c:pt>
                <c:pt idx="39">
                  <c:v>19165</c:v>
                </c:pt>
                <c:pt idx="40">
                  <c:v>17316</c:v>
                </c:pt>
                <c:pt idx="41">
                  <c:v>16272</c:v>
                </c:pt>
                <c:pt idx="42">
                  <c:v>9432</c:v>
                </c:pt>
                <c:pt idx="43">
                  <c:v>15843</c:v>
                </c:pt>
                <c:pt idx="44">
                  <c:v>14872</c:v>
                </c:pt>
                <c:pt idx="45">
                  <c:v>16020</c:v>
                </c:pt>
                <c:pt idx="46">
                  <c:v>19434</c:v>
                </c:pt>
                <c:pt idx="47">
                  <c:v>16116</c:v>
                </c:pt>
                <c:pt idx="48">
                  <c:v>18812</c:v>
                </c:pt>
                <c:pt idx="49">
                  <c:v>19023</c:v>
                </c:pt>
                <c:pt idx="50">
                  <c:v>17000</c:v>
                </c:pt>
                <c:pt idx="51" formatCode="_(* #,##0_);_(* \(#,##0\);_(* &quot;-&quot;??_);_(@_)">
                  <c:v>16335.085999999999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Can!$C$22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Can!$D$1:$BD$1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Can!$D$22:$BD$22</c:f>
              <c:numCache>
                <c:formatCode>#,##0</c:formatCode>
                <c:ptCount val="53"/>
                <c:pt idx="0">
                  <c:v>4256</c:v>
                </c:pt>
                <c:pt idx="1">
                  <c:v>3882</c:v>
                </c:pt>
                <c:pt idx="2">
                  <c:v>3756</c:v>
                </c:pt>
                <c:pt idx="3">
                  <c:v>4266</c:v>
                </c:pt>
                <c:pt idx="4">
                  <c:v>4016</c:v>
                </c:pt>
                <c:pt idx="5">
                  <c:v>4284</c:v>
                </c:pt>
                <c:pt idx="6">
                  <c:v>4365</c:v>
                </c:pt>
                <c:pt idx="7">
                  <c:v>4250</c:v>
                </c:pt>
                <c:pt idx="8">
                  <c:v>4486</c:v>
                </c:pt>
                <c:pt idx="9">
                  <c:v>4568</c:v>
                </c:pt>
                <c:pt idx="10">
                  <c:v>4650</c:v>
                </c:pt>
                <c:pt idx="11">
                  <c:v>4795</c:v>
                </c:pt>
                <c:pt idx="12">
                  <c:v>4764</c:v>
                </c:pt>
                <c:pt idx="13">
                  <c:v>4601</c:v>
                </c:pt>
                <c:pt idx="14">
                  <c:v>4607</c:v>
                </c:pt>
                <c:pt idx="15">
                  <c:v>4641</c:v>
                </c:pt>
                <c:pt idx="16">
                  <c:v>5045</c:v>
                </c:pt>
                <c:pt idx="17">
                  <c:v>5068</c:v>
                </c:pt>
                <c:pt idx="18">
                  <c:v>5290</c:v>
                </c:pt>
                <c:pt idx="19">
                  <c:v>5490</c:v>
                </c:pt>
                <c:pt idx="20">
                  <c:v>5240</c:v>
                </c:pt>
                <c:pt idx="21">
                  <c:v>5152</c:v>
                </c:pt>
                <c:pt idx="22">
                  <c:v>5087</c:v>
                </c:pt>
                <c:pt idx="23">
                  <c:v>5483</c:v>
                </c:pt>
                <c:pt idx="24">
                  <c:v>5239</c:v>
                </c:pt>
                <c:pt idx="25">
                  <c:v>5598</c:v>
                </c:pt>
                <c:pt idx="26">
                  <c:v>6452</c:v>
                </c:pt>
                <c:pt idx="27">
                  <c:v>7887</c:v>
                </c:pt>
                <c:pt idx="28">
                  <c:v>5803</c:v>
                </c:pt>
                <c:pt idx="29">
                  <c:v>6537</c:v>
                </c:pt>
                <c:pt idx="30">
                  <c:v>6576</c:v>
                </c:pt>
                <c:pt idx="31">
                  <c:v>7779</c:v>
                </c:pt>
                <c:pt idx="32">
                  <c:v>8148</c:v>
                </c:pt>
                <c:pt idx="33">
                  <c:v>9352</c:v>
                </c:pt>
                <c:pt idx="34">
                  <c:v>7643</c:v>
                </c:pt>
                <c:pt idx="35">
                  <c:v>7758</c:v>
                </c:pt>
                <c:pt idx="36">
                  <c:v>8222</c:v>
                </c:pt>
                <c:pt idx="37">
                  <c:v>7315</c:v>
                </c:pt>
                <c:pt idx="38">
                  <c:v>8113</c:v>
                </c:pt>
                <c:pt idx="39">
                  <c:v>8092</c:v>
                </c:pt>
                <c:pt idx="40">
                  <c:v>7043</c:v>
                </c:pt>
                <c:pt idx="41">
                  <c:v>7746</c:v>
                </c:pt>
                <c:pt idx="42">
                  <c:v>7972</c:v>
                </c:pt>
                <c:pt idx="43">
                  <c:v>7179</c:v>
                </c:pt>
                <c:pt idx="44">
                  <c:v>8240</c:v>
                </c:pt>
                <c:pt idx="45">
                  <c:v>8242</c:v>
                </c:pt>
                <c:pt idx="46">
                  <c:v>8986</c:v>
                </c:pt>
                <c:pt idx="47">
                  <c:v>6787</c:v>
                </c:pt>
                <c:pt idx="48">
                  <c:v>8036</c:v>
                </c:pt>
                <c:pt idx="49">
                  <c:v>6955</c:v>
                </c:pt>
                <c:pt idx="50">
                  <c:v>8400</c:v>
                </c:pt>
                <c:pt idx="51" formatCode="_(* #,##0_);_(* \(#,##0\);_(* &quot;-&quot;??_);_(@_)">
                  <c:v>8990.6720000000023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420568"/>
        <c:axId val="309425272"/>
      </c:lineChart>
      <c:catAx>
        <c:axId val="309420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5272"/>
        <c:crosses val="autoZero"/>
        <c:auto val="1"/>
        <c:lblAlgn val="ctr"/>
        <c:lblOffset val="100"/>
        <c:noMultiLvlLbl val="0"/>
      </c:catAx>
      <c:valAx>
        <c:axId val="30942527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056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22"/>
          <c:w val="0.91165128933230188"/>
          <c:h val="0.1078068583210107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8793724087767"/>
          <c:y val="0.16144916311690594"/>
          <c:w val="0.84363486468450377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Chi!$C$2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Chi!$D$2:$BD$2</c:f>
              <c:numCache>
                <c:formatCode>#,##0</c:formatCode>
                <c:ptCount val="53"/>
                <c:pt idx="0">
                  <c:v>14348</c:v>
                </c:pt>
                <c:pt idx="1">
                  <c:v>21345</c:v>
                </c:pt>
                <c:pt idx="2">
                  <c:v>20892</c:v>
                </c:pt>
                <c:pt idx="3">
                  <c:v>20580</c:v>
                </c:pt>
                <c:pt idx="4">
                  <c:v>22690</c:v>
                </c:pt>
                <c:pt idx="5">
                  <c:v>23660</c:v>
                </c:pt>
                <c:pt idx="6">
                  <c:v>27613</c:v>
                </c:pt>
                <c:pt idx="7">
                  <c:v>29715</c:v>
                </c:pt>
                <c:pt idx="8">
                  <c:v>26861</c:v>
                </c:pt>
                <c:pt idx="9">
                  <c:v>27826</c:v>
                </c:pt>
                <c:pt idx="10">
                  <c:v>33030</c:v>
                </c:pt>
                <c:pt idx="11">
                  <c:v>35850</c:v>
                </c:pt>
                <c:pt idx="12">
                  <c:v>32100</c:v>
                </c:pt>
                <c:pt idx="13">
                  <c:v>38630</c:v>
                </c:pt>
                <c:pt idx="14">
                  <c:v>42920</c:v>
                </c:pt>
                <c:pt idx="15">
                  <c:v>47220</c:v>
                </c:pt>
                <c:pt idx="16">
                  <c:v>48160</c:v>
                </c:pt>
                <c:pt idx="17">
                  <c:v>49390</c:v>
                </c:pt>
                <c:pt idx="18">
                  <c:v>55945</c:v>
                </c:pt>
                <c:pt idx="19">
                  <c:v>60035</c:v>
                </c:pt>
                <c:pt idx="20">
                  <c:v>62600</c:v>
                </c:pt>
                <c:pt idx="21">
                  <c:v>59205</c:v>
                </c:pt>
                <c:pt idx="22">
                  <c:v>60560</c:v>
                </c:pt>
                <c:pt idx="23">
                  <c:v>68205</c:v>
                </c:pt>
                <c:pt idx="24">
                  <c:v>73410</c:v>
                </c:pt>
                <c:pt idx="25">
                  <c:v>63826</c:v>
                </c:pt>
                <c:pt idx="26">
                  <c:v>70856</c:v>
                </c:pt>
                <c:pt idx="27">
                  <c:v>79240</c:v>
                </c:pt>
                <c:pt idx="28">
                  <c:v>77351</c:v>
                </c:pt>
                <c:pt idx="29">
                  <c:v>78928</c:v>
                </c:pt>
                <c:pt idx="30">
                  <c:v>96820</c:v>
                </c:pt>
                <c:pt idx="31">
                  <c:v>98770</c:v>
                </c:pt>
                <c:pt idx="32">
                  <c:v>95380</c:v>
                </c:pt>
                <c:pt idx="33">
                  <c:v>102700</c:v>
                </c:pt>
                <c:pt idx="34">
                  <c:v>99280</c:v>
                </c:pt>
                <c:pt idx="35">
                  <c:v>112000</c:v>
                </c:pt>
                <c:pt idx="36">
                  <c:v>127470</c:v>
                </c:pt>
                <c:pt idx="37">
                  <c:v>104309</c:v>
                </c:pt>
                <c:pt idx="38">
                  <c:v>132954</c:v>
                </c:pt>
                <c:pt idx="39">
                  <c:v>128086</c:v>
                </c:pt>
                <c:pt idx="40">
                  <c:v>106000</c:v>
                </c:pt>
                <c:pt idx="41">
                  <c:v>114088</c:v>
                </c:pt>
                <c:pt idx="42">
                  <c:v>121300</c:v>
                </c:pt>
                <c:pt idx="43">
                  <c:v>115830</c:v>
                </c:pt>
                <c:pt idx="44">
                  <c:v>130290</c:v>
                </c:pt>
                <c:pt idx="45">
                  <c:v>139365</c:v>
                </c:pt>
                <c:pt idx="46">
                  <c:v>151600</c:v>
                </c:pt>
                <c:pt idx="47">
                  <c:v>152300</c:v>
                </c:pt>
                <c:pt idx="48">
                  <c:v>165900</c:v>
                </c:pt>
                <c:pt idx="49">
                  <c:v>158000</c:v>
                </c:pt>
                <c:pt idx="50" formatCode="_(* #,##0_);_(* \(#,##0\);_(* &quot;-&quot;??_);_(@_)">
                  <c:v>192904.23199999999</c:v>
                </c:pt>
                <c:pt idx="51" formatCode="_(* #,##0_);_(* \(#,##0\);_(* &quot;-&quot;??_);_(@_)">
                  <c:v>208234.649</c:v>
                </c:pt>
                <c:pt idx="52" formatCode="_(* #,##0_);_(* \(#,##0\);_(* &quot;-&quot;??_);_(@_)">
                  <c:v>218623.64499999999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Chi!$C$3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Chi!$D$3:$BD$3</c:f>
              <c:numCache>
                <c:formatCode>General</c:formatCode>
                <c:ptCount val="53"/>
                <c:pt idx="0">
                  <c:v>33</c:v>
                </c:pt>
                <c:pt idx="1">
                  <c:v>212</c:v>
                </c:pt>
                <c:pt idx="2">
                  <c:v>264</c:v>
                </c:pt>
                <c:pt idx="3">
                  <c:v>212</c:v>
                </c:pt>
                <c:pt idx="4">
                  <c:v>101</c:v>
                </c:pt>
                <c:pt idx="5">
                  <c:v>31</c:v>
                </c:pt>
                <c:pt idx="6">
                  <c:v>63</c:v>
                </c:pt>
                <c:pt idx="7">
                  <c:v>113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955</c:v>
                </c:pt>
                <c:pt idx="13" formatCode="#,##0">
                  <c:v>2058</c:v>
                </c:pt>
                <c:pt idx="14">
                  <c:v>496</c:v>
                </c:pt>
                <c:pt idx="15">
                  <c:v>0</c:v>
                </c:pt>
                <c:pt idx="16">
                  <c:v>0</c:v>
                </c:pt>
                <c:pt idx="17">
                  <c:v>59</c:v>
                </c:pt>
                <c:pt idx="18" formatCode="#,##0">
                  <c:v>3032</c:v>
                </c:pt>
                <c:pt idx="19" formatCode="#,##0">
                  <c:v>1966</c:v>
                </c:pt>
                <c:pt idx="20">
                  <c:v>772</c:v>
                </c:pt>
                <c:pt idx="21" formatCode="#,##0">
                  <c:v>1245</c:v>
                </c:pt>
                <c:pt idx="22" formatCode="#,##0">
                  <c:v>2441</c:v>
                </c:pt>
                <c:pt idx="23">
                  <c:v>131</c:v>
                </c:pt>
                <c:pt idx="24">
                  <c:v>100</c:v>
                </c:pt>
                <c:pt idx="25">
                  <c:v>374</c:v>
                </c:pt>
                <c:pt idx="26" formatCode="#,##0">
                  <c:v>1551</c:v>
                </c:pt>
                <c:pt idx="27">
                  <c:v>217</c:v>
                </c:pt>
                <c:pt idx="28">
                  <c:v>0</c:v>
                </c:pt>
                <c:pt idx="29">
                  <c:v>442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 formatCode="#,##0">
                  <c:v>4287</c:v>
                </c:pt>
                <c:pt idx="35" formatCode="#,##0">
                  <c:v>1476</c:v>
                </c:pt>
                <c:pt idx="36">
                  <c:v>75</c:v>
                </c:pt>
                <c:pt idx="37">
                  <c:v>287</c:v>
                </c:pt>
                <c:pt idx="38">
                  <c:v>262</c:v>
                </c:pt>
                <c:pt idx="39">
                  <c:v>71</c:v>
                </c:pt>
                <c:pt idx="40">
                  <c:v>89</c:v>
                </c:pt>
                <c:pt idx="41">
                  <c:v>39</c:v>
                </c:pt>
                <c:pt idx="42">
                  <c:v>29</c:v>
                </c:pt>
                <c:pt idx="43">
                  <c:v>2</c:v>
                </c:pt>
                <c:pt idx="44">
                  <c:v>2</c:v>
                </c:pt>
                <c:pt idx="45">
                  <c:v>62</c:v>
                </c:pt>
                <c:pt idx="46">
                  <c:v>16</c:v>
                </c:pt>
                <c:pt idx="47">
                  <c:v>41</c:v>
                </c:pt>
                <c:pt idx="48">
                  <c:v>47</c:v>
                </c:pt>
                <c:pt idx="49" formatCode="#,##0">
                  <c:v>1296</c:v>
                </c:pt>
                <c:pt idx="50" formatCode="_(* #,##0_);_(* \(#,##0\);_(* &quot;-&quot;??_);_(@_)">
                  <c:v>5930.0950000000003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Chi!$C$4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Chi!$D$4:$BD$4</c:f>
              <c:numCache>
                <c:formatCode>General</c:formatCode>
                <c:ptCount val="53"/>
                <c:pt idx="0">
                  <c:v>14</c:v>
                </c:pt>
                <c:pt idx="1">
                  <c:v>0</c:v>
                </c:pt>
                <c:pt idx="2">
                  <c:v>19</c:v>
                </c:pt>
                <c:pt idx="3">
                  <c:v>98</c:v>
                </c:pt>
                <c:pt idx="4">
                  <c:v>285</c:v>
                </c:pt>
                <c:pt idx="5">
                  <c:v>232</c:v>
                </c:pt>
                <c:pt idx="6">
                  <c:v>123</c:v>
                </c:pt>
                <c:pt idx="7">
                  <c:v>25</c:v>
                </c:pt>
                <c:pt idx="8">
                  <c:v>35</c:v>
                </c:pt>
                <c:pt idx="9">
                  <c:v>0</c:v>
                </c:pt>
                <c:pt idx="10">
                  <c:v>31</c:v>
                </c:pt>
                <c:pt idx="11">
                  <c:v>300</c:v>
                </c:pt>
                <c:pt idx="12">
                  <c:v>200</c:v>
                </c:pt>
                <c:pt idx="13">
                  <c:v>150</c:v>
                </c:pt>
                <c:pt idx="14">
                  <c:v>225</c:v>
                </c:pt>
                <c:pt idx="15">
                  <c:v>225</c:v>
                </c:pt>
                <c:pt idx="16">
                  <c:v>125</c:v>
                </c:pt>
                <c:pt idx="17">
                  <c:v>75</c:v>
                </c:pt>
                <c:pt idx="18">
                  <c:v>50</c:v>
                </c:pt>
                <c:pt idx="19">
                  <c:v>75</c:v>
                </c:pt>
                <c:pt idx="20">
                  <c:v>125</c:v>
                </c:pt>
                <c:pt idx="21">
                  <c:v>100</c:v>
                </c:pt>
                <c:pt idx="22">
                  <c:v>50</c:v>
                </c:pt>
                <c:pt idx="23">
                  <c:v>330</c:v>
                </c:pt>
                <c:pt idx="24" formatCode="#,##0">
                  <c:v>5240</c:v>
                </c:pt>
                <c:pt idx="25" formatCode="#,##0">
                  <c:v>6400</c:v>
                </c:pt>
                <c:pt idx="26" formatCode="#,##0">
                  <c:v>3750</c:v>
                </c:pt>
                <c:pt idx="27" formatCode="#,##0">
                  <c:v>4510</c:v>
                </c:pt>
                <c:pt idx="28" formatCode="#,##0">
                  <c:v>4008</c:v>
                </c:pt>
                <c:pt idx="29" formatCode="#,##0">
                  <c:v>3085</c:v>
                </c:pt>
                <c:pt idx="30" formatCode="#,##0">
                  <c:v>6880</c:v>
                </c:pt>
                <c:pt idx="31" formatCode="#,##0">
                  <c:v>9974</c:v>
                </c:pt>
                <c:pt idx="32" formatCode="#,##0">
                  <c:v>11463</c:v>
                </c:pt>
                <c:pt idx="33" formatCode="#,##0">
                  <c:v>11594</c:v>
                </c:pt>
                <c:pt idx="34" formatCode="#,##0">
                  <c:v>1333</c:v>
                </c:pt>
                <c:pt idx="35">
                  <c:v>157</c:v>
                </c:pt>
                <c:pt idx="36" formatCode="#,##0">
                  <c:v>3892</c:v>
                </c:pt>
                <c:pt idx="37" formatCode="#,##0">
                  <c:v>6173</c:v>
                </c:pt>
                <c:pt idx="38" formatCode="#,##0">
                  <c:v>3338</c:v>
                </c:pt>
                <c:pt idx="39" formatCode="#,##0">
                  <c:v>9935</c:v>
                </c:pt>
                <c:pt idx="40" formatCode="#,##0">
                  <c:v>7276</c:v>
                </c:pt>
                <c:pt idx="41" formatCode="#,##0">
                  <c:v>8611</c:v>
                </c:pt>
                <c:pt idx="42" formatCode="#,##0">
                  <c:v>15244</c:v>
                </c:pt>
                <c:pt idx="43" formatCode="#,##0">
                  <c:v>7553</c:v>
                </c:pt>
                <c:pt idx="44" formatCode="#,##0">
                  <c:v>7589</c:v>
                </c:pt>
                <c:pt idx="45" formatCode="#,##0">
                  <c:v>3727</c:v>
                </c:pt>
                <c:pt idx="46" formatCode="#,##0">
                  <c:v>5269</c:v>
                </c:pt>
                <c:pt idx="47">
                  <c:v>549</c:v>
                </c:pt>
                <c:pt idx="48">
                  <c:v>172</c:v>
                </c:pt>
                <c:pt idx="49">
                  <c:v>151</c:v>
                </c:pt>
                <c:pt idx="50" formatCode="_(* #,##0_);_(* \(#,##0\);_(* &quot;-&quot;??_);_(@_)">
                  <c:v>136.12299999999999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Chi!$C$5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Chi!$D$5:$BD$5</c:f>
              <c:numCache>
                <c:formatCode>#,##0</c:formatCode>
                <c:ptCount val="53"/>
                <c:pt idx="0">
                  <c:v>16398</c:v>
                </c:pt>
                <c:pt idx="1">
                  <c:v>17262</c:v>
                </c:pt>
                <c:pt idx="2">
                  <c:v>21276</c:v>
                </c:pt>
                <c:pt idx="3">
                  <c:v>20957</c:v>
                </c:pt>
                <c:pt idx="4">
                  <c:v>23420</c:v>
                </c:pt>
                <c:pt idx="5">
                  <c:v>24475</c:v>
                </c:pt>
                <c:pt idx="6">
                  <c:v>26359</c:v>
                </c:pt>
                <c:pt idx="7">
                  <c:v>28339</c:v>
                </c:pt>
                <c:pt idx="8">
                  <c:v>26721</c:v>
                </c:pt>
                <c:pt idx="9">
                  <c:v>27426</c:v>
                </c:pt>
                <c:pt idx="10">
                  <c:v>30609</c:v>
                </c:pt>
                <c:pt idx="11">
                  <c:v>33498</c:v>
                </c:pt>
                <c:pt idx="12">
                  <c:v>32801</c:v>
                </c:pt>
                <c:pt idx="13">
                  <c:v>38269</c:v>
                </c:pt>
                <c:pt idx="14">
                  <c:v>38540</c:v>
                </c:pt>
                <c:pt idx="15">
                  <c:v>43570</c:v>
                </c:pt>
                <c:pt idx="16">
                  <c:v>47223</c:v>
                </c:pt>
                <c:pt idx="17">
                  <c:v>49090</c:v>
                </c:pt>
                <c:pt idx="18">
                  <c:v>48600</c:v>
                </c:pt>
                <c:pt idx="19">
                  <c:v>53300</c:v>
                </c:pt>
                <c:pt idx="20">
                  <c:v>61800</c:v>
                </c:pt>
                <c:pt idx="21">
                  <c:v>62000</c:v>
                </c:pt>
                <c:pt idx="22">
                  <c:v>61400</c:v>
                </c:pt>
                <c:pt idx="23">
                  <c:v>61800</c:v>
                </c:pt>
                <c:pt idx="24">
                  <c:v>61200</c:v>
                </c:pt>
                <c:pt idx="25">
                  <c:v>59700</c:v>
                </c:pt>
                <c:pt idx="26">
                  <c:v>64100</c:v>
                </c:pt>
                <c:pt idx="27">
                  <c:v>67300</c:v>
                </c:pt>
                <c:pt idx="28">
                  <c:v>69000</c:v>
                </c:pt>
                <c:pt idx="29">
                  <c:v>74200</c:v>
                </c:pt>
                <c:pt idx="30">
                  <c:v>79850</c:v>
                </c:pt>
                <c:pt idx="31">
                  <c:v>83200</c:v>
                </c:pt>
                <c:pt idx="32">
                  <c:v>87800</c:v>
                </c:pt>
                <c:pt idx="33">
                  <c:v>92900</c:v>
                </c:pt>
                <c:pt idx="34">
                  <c:v>97000</c:v>
                </c:pt>
                <c:pt idx="35">
                  <c:v>101200</c:v>
                </c:pt>
                <c:pt idx="36">
                  <c:v>105750</c:v>
                </c:pt>
                <c:pt idx="37">
                  <c:v>109500</c:v>
                </c:pt>
                <c:pt idx="38">
                  <c:v>113920</c:v>
                </c:pt>
                <c:pt idx="39">
                  <c:v>117300</c:v>
                </c:pt>
                <c:pt idx="40">
                  <c:v>120240</c:v>
                </c:pt>
                <c:pt idx="41">
                  <c:v>123100</c:v>
                </c:pt>
                <c:pt idx="42">
                  <c:v>125900</c:v>
                </c:pt>
                <c:pt idx="43">
                  <c:v>128400</c:v>
                </c:pt>
                <c:pt idx="44">
                  <c:v>131000</c:v>
                </c:pt>
                <c:pt idx="45">
                  <c:v>137000</c:v>
                </c:pt>
                <c:pt idx="46">
                  <c:v>145000</c:v>
                </c:pt>
                <c:pt idx="47">
                  <c:v>149000</c:v>
                </c:pt>
                <c:pt idx="48">
                  <c:v>152000</c:v>
                </c:pt>
                <c:pt idx="49">
                  <c:v>159000</c:v>
                </c:pt>
                <c:pt idx="50" formatCode="_(* #,##0_);_(* \(#,##0\);_(* &quot;-&quot;??_);_(@_)">
                  <c:v>198698.204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424096"/>
        <c:axId val="309426840"/>
      </c:lineChart>
      <c:catAx>
        <c:axId val="309424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6840"/>
        <c:crosses val="autoZero"/>
        <c:auto val="1"/>
        <c:lblAlgn val="ctr"/>
        <c:lblOffset val="100"/>
        <c:noMultiLvlLbl val="0"/>
      </c:catAx>
      <c:valAx>
        <c:axId val="30942684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409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91165128933230188"/>
          <c:h val="0.10780685832101061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728278390451535"/>
          <c:y val="0.15472454005288158"/>
          <c:w val="0.834404763920042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Chi!$C$6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Chi!$D$6:$BD$6</c:f>
              <c:numCache>
                <c:formatCode>#,##0</c:formatCode>
                <c:ptCount val="53"/>
                <c:pt idx="0">
                  <c:v>4900</c:v>
                </c:pt>
                <c:pt idx="1">
                  <c:v>3700</c:v>
                </c:pt>
                <c:pt idx="2">
                  <c:v>3400</c:v>
                </c:pt>
                <c:pt idx="3">
                  <c:v>5500</c:v>
                </c:pt>
                <c:pt idx="4">
                  <c:v>7600</c:v>
                </c:pt>
                <c:pt idx="5">
                  <c:v>9600</c:v>
                </c:pt>
                <c:pt idx="6">
                  <c:v>10700</c:v>
                </c:pt>
                <c:pt idx="7">
                  <c:v>10800</c:v>
                </c:pt>
                <c:pt idx="8">
                  <c:v>10800</c:v>
                </c:pt>
                <c:pt idx="9">
                  <c:v>9550</c:v>
                </c:pt>
                <c:pt idx="10">
                  <c:v>10500</c:v>
                </c:pt>
                <c:pt idx="11">
                  <c:v>9700</c:v>
                </c:pt>
                <c:pt idx="12">
                  <c:v>9000</c:v>
                </c:pt>
                <c:pt idx="13">
                  <c:v>11700</c:v>
                </c:pt>
                <c:pt idx="14">
                  <c:v>11300</c:v>
                </c:pt>
                <c:pt idx="15">
                  <c:v>10900</c:v>
                </c:pt>
                <c:pt idx="16">
                  <c:v>9500</c:v>
                </c:pt>
                <c:pt idx="17">
                  <c:v>9400</c:v>
                </c:pt>
                <c:pt idx="18">
                  <c:v>9950</c:v>
                </c:pt>
                <c:pt idx="19">
                  <c:v>10100</c:v>
                </c:pt>
                <c:pt idx="20">
                  <c:v>12400</c:v>
                </c:pt>
                <c:pt idx="21">
                  <c:v>13600</c:v>
                </c:pt>
                <c:pt idx="22">
                  <c:v>16500</c:v>
                </c:pt>
                <c:pt idx="23">
                  <c:v>21300</c:v>
                </c:pt>
                <c:pt idx="24">
                  <c:v>28700</c:v>
                </c:pt>
                <c:pt idx="25">
                  <c:v>19000</c:v>
                </c:pt>
                <c:pt idx="26">
                  <c:v>16300</c:v>
                </c:pt>
                <c:pt idx="27">
                  <c:v>19500</c:v>
                </c:pt>
                <c:pt idx="28">
                  <c:v>19100</c:v>
                </c:pt>
                <c:pt idx="29">
                  <c:v>17400</c:v>
                </c:pt>
                <c:pt idx="30">
                  <c:v>20700</c:v>
                </c:pt>
                <c:pt idx="31">
                  <c:v>26100</c:v>
                </c:pt>
                <c:pt idx="32">
                  <c:v>20700</c:v>
                </c:pt>
                <c:pt idx="33">
                  <c:v>17200</c:v>
                </c:pt>
                <c:pt idx="34">
                  <c:v>19900</c:v>
                </c:pt>
                <c:pt idx="35">
                  <c:v>21900</c:v>
                </c:pt>
                <c:pt idx="36">
                  <c:v>19300</c:v>
                </c:pt>
                <c:pt idx="37">
                  <c:v>21100</c:v>
                </c:pt>
                <c:pt idx="38">
                  <c:v>20700</c:v>
                </c:pt>
                <c:pt idx="39">
                  <c:v>17600</c:v>
                </c:pt>
                <c:pt idx="40">
                  <c:v>20300</c:v>
                </c:pt>
                <c:pt idx="41">
                  <c:v>24400</c:v>
                </c:pt>
                <c:pt idx="42">
                  <c:v>25200</c:v>
                </c:pt>
                <c:pt idx="43">
                  <c:v>23800</c:v>
                </c:pt>
                <c:pt idx="44">
                  <c:v>30300</c:v>
                </c:pt>
                <c:pt idx="45">
                  <c:v>28400</c:v>
                </c:pt>
                <c:pt idx="46">
                  <c:v>35500</c:v>
                </c:pt>
                <c:pt idx="47">
                  <c:v>37000</c:v>
                </c:pt>
                <c:pt idx="48">
                  <c:v>36700</c:v>
                </c:pt>
                <c:pt idx="49">
                  <c:v>32000</c:v>
                </c:pt>
                <c:pt idx="50" formatCode="_(* #,##0_);_(* \(#,##0\);_(* &quot;-&quot;??_);_(@_)">
                  <c:v>29500</c:v>
                </c:pt>
                <c:pt idx="51" formatCode="_(* #,##0_);_(* \(#,##0\);_(* &quot;-&quot;??_);_(@_)">
                  <c:v>6588.9589999999998</c:v>
                </c:pt>
                <c:pt idx="52" formatCode="_(* #,##0_);_(* \(#,##0\);_(* &quot;-&quot;??_);_(@_)">
                  <c:v>6835.9750000000004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Chi!$C$7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Chi!$D$7:$BD$7</c:f>
              <c:numCache>
                <c:formatCode>General</c:formatCode>
                <c:ptCount val="53"/>
                <c:pt idx="0">
                  <c:v>300</c:v>
                </c:pt>
                <c:pt idx="1">
                  <c:v>200</c:v>
                </c:pt>
                <c:pt idx="2">
                  <c:v>400</c:v>
                </c:pt>
                <c:pt idx="3">
                  <c:v>800</c:v>
                </c:pt>
                <c:pt idx="4">
                  <c:v>700</c:v>
                </c:pt>
                <c:pt idx="5">
                  <c:v>500</c:v>
                </c:pt>
                <c:pt idx="6">
                  <c:v>500</c:v>
                </c:pt>
                <c:pt idx="7">
                  <c:v>300</c:v>
                </c:pt>
                <c:pt idx="8">
                  <c:v>300</c:v>
                </c:pt>
                <c:pt idx="9">
                  <c:v>400</c:v>
                </c:pt>
                <c:pt idx="10">
                  <c:v>500</c:v>
                </c:pt>
                <c:pt idx="11">
                  <c:v>700</c:v>
                </c:pt>
                <c:pt idx="12" formatCode="#,##0">
                  <c:v>2000</c:v>
                </c:pt>
                <c:pt idx="13" formatCode="#,##0">
                  <c:v>1800</c:v>
                </c:pt>
                <c:pt idx="14">
                  <c:v>700</c:v>
                </c:pt>
                <c:pt idx="15">
                  <c:v>900</c:v>
                </c:pt>
                <c:pt idx="16">
                  <c:v>650</c:v>
                </c:pt>
                <c:pt idx="17" formatCode="#,##0">
                  <c:v>1600</c:v>
                </c:pt>
                <c:pt idx="18" formatCode="#,##0">
                  <c:v>2125</c:v>
                </c:pt>
                <c:pt idx="19" formatCode="#,##0">
                  <c:v>4100</c:v>
                </c:pt>
                <c:pt idx="20" formatCode="#,##0">
                  <c:v>3550</c:v>
                </c:pt>
                <c:pt idx="21" formatCode="#,##0">
                  <c:v>2199</c:v>
                </c:pt>
                <c:pt idx="22" formatCode="#,##0">
                  <c:v>1085</c:v>
                </c:pt>
                <c:pt idx="23">
                  <c:v>664</c:v>
                </c:pt>
                <c:pt idx="24">
                  <c:v>85</c:v>
                </c:pt>
                <c:pt idx="25">
                  <c:v>1</c:v>
                </c:pt>
                <c:pt idx="26">
                  <c:v>16</c:v>
                </c:pt>
                <c:pt idx="27">
                  <c:v>86</c:v>
                </c:pt>
                <c:pt idx="28" formatCode="#,##0">
                  <c:v>1448</c:v>
                </c:pt>
                <c:pt idx="29" formatCode="#,##0">
                  <c:v>1873</c:v>
                </c:pt>
                <c:pt idx="30" formatCode="#,##0">
                  <c:v>2205</c:v>
                </c:pt>
                <c:pt idx="31" formatCode="#,##0">
                  <c:v>1630</c:v>
                </c:pt>
                <c:pt idx="32">
                  <c:v>242</c:v>
                </c:pt>
                <c:pt idx="33">
                  <c:v>808</c:v>
                </c:pt>
                <c:pt idx="34" formatCode="#,##0">
                  <c:v>4060</c:v>
                </c:pt>
                <c:pt idx="35" formatCode="#,##0">
                  <c:v>2908</c:v>
                </c:pt>
                <c:pt idx="36" formatCode="#,##0">
                  <c:v>3491</c:v>
                </c:pt>
                <c:pt idx="37" formatCode="#,##0">
                  <c:v>1725</c:v>
                </c:pt>
                <c:pt idx="38">
                  <c:v>332</c:v>
                </c:pt>
                <c:pt idx="39">
                  <c:v>117</c:v>
                </c:pt>
                <c:pt idx="40">
                  <c:v>230</c:v>
                </c:pt>
                <c:pt idx="41">
                  <c:v>449</c:v>
                </c:pt>
                <c:pt idx="42" formatCode="#,##0">
                  <c:v>3127</c:v>
                </c:pt>
                <c:pt idx="43" formatCode="#,##0">
                  <c:v>8832</c:v>
                </c:pt>
                <c:pt idx="44" formatCode="#,##0">
                  <c:v>6385</c:v>
                </c:pt>
                <c:pt idx="45" formatCode="#,##0">
                  <c:v>19284</c:v>
                </c:pt>
                <c:pt idx="46" formatCode="#,##0">
                  <c:v>10588</c:v>
                </c:pt>
                <c:pt idx="47" formatCode="#,##0">
                  <c:v>11530</c:v>
                </c:pt>
                <c:pt idx="48" formatCode="#,##0">
                  <c:v>6996</c:v>
                </c:pt>
                <c:pt idx="49" formatCode="#,##0">
                  <c:v>10903</c:v>
                </c:pt>
                <c:pt idx="50" formatCode="_(* #,##0_);_(* \(#,##0\);_(* &quot;-&quot;??_);_(@_)">
                  <c:v>15000</c:v>
                </c:pt>
                <c:pt idx="51" formatCode="_(* #,##0_);_(* \(#,##0\);_(* &quot;-&quot;??_);_(@_)">
                  <c:v>3576.3240000000001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Chi!$C$8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Chi!$D$8:$BD$8</c:f>
              <c:numCache>
                <c:formatCode>General</c:formatCode>
                <c:ptCount val="53"/>
                <c:pt idx="0">
                  <c:v>100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100</c:v>
                </c:pt>
                <c:pt idx="9">
                  <c:v>100</c:v>
                </c:pt>
                <c:pt idx="10">
                  <c:v>100</c:v>
                </c:pt>
                <c:pt idx="11">
                  <c:v>100</c:v>
                </c:pt>
                <c:pt idx="12">
                  <c:v>100</c:v>
                </c:pt>
                <c:pt idx="13">
                  <c:v>100</c:v>
                </c:pt>
                <c:pt idx="14">
                  <c:v>200</c:v>
                </c:pt>
                <c:pt idx="15">
                  <c:v>250</c:v>
                </c:pt>
                <c:pt idx="16">
                  <c:v>200</c:v>
                </c:pt>
                <c:pt idx="17">
                  <c:v>100</c:v>
                </c:pt>
                <c:pt idx="18">
                  <c:v>15</c:v>
                </c:pt>
                <c:pt idx="19">
                  <c:v>12</c:v>
                </c:pt>
                <c:pt idx="20">
                  <c:v>6</c:v>
                </c:pt>
                <c:pt idx="21">
                  <c:v>0</c:v>
                </c:pt>
                <c:pt idx="22">
                  <c:v>75</c:v>
                </c:pt>
                <c:pt idx="23">
                  <c:v>760</c:v>
                </c:pt>
                <c:pt idx="24">
                  <c:v>944</c:v>
                </c:pt>
                <c:pt idx="25" formatCode="#,##0">
                  <c:v>2799</c:v>
                </c:pt>
                <c:pt idx="26" formatCode="#,##0">
                  <c:v>3169</c:v>
                </c:pt>
                <c:pt idx="27" formatCode="#,##0">
                  <c:v>2322</c:v>
                </c:pt>
                <c:pt idx="28" formatCode="#,##0">
                  <c:v>1636</c:v>
                </c:pt>
                <c:pt idx="29">
                  <c:v>865</c:v>
                </c:pt>
                <c:pt idx="30">
                  <c:v>928</c:v>
                </c:pt>
                <c:pt idx="31">
                  <c:v>602</c:v>
                </c:pt>
                <c:pt idx="32">
                  <c:v>684</c:v>
                </c:pt>
                <c:pt idx="33">
                  <c:v>749</c:v>
                </c:pt>
                <c:pt idx="34">
                  <c:v>183</c:v>
                </c:pt>
                <c:pt idx="35">
                  <c:v>20</c:v>
                </c:pt>
                <c:pt idx="36">
                  <c:v>10</c:v>
                </c:pt>
                <c:pt idx="37">
                  <c:v>25</c:v>
                </c:pt>
                <c:pt idx="38">
                  <c:v>676</c:v>
                </c:pt>
                <c:pt idx="39" formatCode="#,##0">
                  <c:v>1692</c:v>
                </c:pt>
                <c:pt idx="40">
                  <c:v>442</c:v>
                </c:pt>
                <c:pt idx="41">
                  <c:v>342</c:v>
                </c:pt>
                <c:pt idx="42">
                  <c:v>751</c:v>
                </c:pt>
                <c:pt idx="43">
                  <c:v>173</c:v>
                </c:pt>
                <c:pt idx="44">
                  <c:v>30</c:v>
                </c:pt>
                <c:pt idx="45">
                  <c:v>36</c:v>
                </c:pt>
                <c:pt idx="46">
                  <c:v>88</c:v>
                </c:pt>
                <c:pt idx="47">
                  <c:v>62</c:v>
                </c:pt>
                <c:pt idx="48">
                  <c:v>84</c:v>
                </c:pt>
                <c:pt idx="49">
                  <c:v>23</c:v>
                </c:pt>
                <c:pt idx="50" formatCode="_(* #,##0_);_(* \(#,##0\);_(* &quot;-&quot;??_);_(@_)">
                  <c:v>50</c:v>
                </c:pt>
                <c:pt idx="51" formatCode="_(* #,##0_);_(* \(#,##0\);_(* &quot;-&quot;??_);_(@_)">
                  <c:v>48.02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Chi!$C$9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Chi!$D$9:$BD$9</c:f>
              <c:numCache>
                <c:formatCode>#,##0</c:formatCode>
                <c:ptCount val="53"/>
                <c:pt idx="0">
                  <c:v>5900</c:v>
                </c:pt>
                <c:pt idx="1">
                  <c:v>4100</c:v>
                </c:pt>
                <c:pt idx="2">
                  <c:v>3600</c:v>
                </c:pt>
                <c:pt idx="3">
                  <c:v>5900</c:v>
                </c:pt>
                <c:pt idx="4">
                  <c:v>7900</c:v>
                </c:pt>
                <c:pt idx="5">
                  <c:v>9700</c:v>
                </c:pt>
                <c:pt idx="6">
                  <c:v>10800</c:v>
                </c:pt>
                <c:pt idx="7">
                  <c:v>10900</c:v>
                </c:pt>
                <c:pt idx="8">
                  <c:v>10900</c:v>
                </c:pt>
                <c:pt idx="9">
                  <c:v>9950</c:v>
                </c:pt>
                <c:pt idx="10">
                  <c:v>10500</c:v>
                </c:pt>
                <c:pt idx="11">
                  <c:v>10800</c:v>
                </c:pt>
                <c:pt idx="12">
                  <c:v>10900</c:v>
                </c:pt>
                <c:pt idx="13">
                  <c:v>10600</c:v>
                </c:pt>
                <c:pt idx="14">
                  <c:v>11400</c:v>
                </c:pt>
                <c:pt idx="15">
                  <c:v>11500</c:v>
                </c:pt>
                <c:pt idx="16">
                  <c:v>11600</c:v>
                </c:pt>
                <c:pt idx="17">
                  <c:v>12200</c:v>
                </c:pt>
                <c:pt idx="18">
                  <c:v>13100</c:v>
                </c:pt>
                <c:pt idx="19">
                  <c:v>14100</c:v>
                </c:pt>
                <c:pt idx="20">
                  <c:v>15100</c:v>
                </c:pt>
                <c:pt idx="21">
                  <c:v>16200</c:v>
                </c:pt>
                <c:pt idx="22">
                  <c:v>16600</c:v>
                </c:pt>
                <c:pt idx="23">
                  <c:v>16300</c:v>
                </c:pt>
                <c:pt idx="24">
                  <c:v>16800</c:v>
                </c:pt>
                <c:pt idx="25">
                  <c:v>18000</c:v>
                </c:pt>
                <c:pt idx="26">
                  <c:v>19500</c:v>
                </c:pt>
                <c:pt idx="27">
                  <c:v>20500</c:v>
                </c:pt>
                <c:pt idx="28">
                  <c:v>20500</c:v>
                </c:pt>
                <c:pt idx="29">
                  <c:v>20300</c:v>
                </c:pt>
                <c:pt idx="30">
                  <c:v>20000</c:v>
                </c:pt>
                <c:pt idx="31">
                  <c:v>20850</c:v>
                </c:pt>
                <c:pt idx="32">
                  <c:v>21900</c:v>
                </c:pt>
                <c:pt idx="33">
                  <c:v>21300</c:v>
                </c:pt>
                <c:pt idx="34">
                  <c:v>19550</c:v>
                </c:pt>
                <c:pt idx="35">
                  <c:v>18825</c:v>
                </c:pt>
                <c:pt idx="36">
                  <c:v>19325</c:v>
                </c:pt>
                <c:pt idx="37">
                  <c:v>18450</c:v>
                </c:pt>
                <c:pt idx="38">
                  <c:v>17975</c:v>
                </c:pt>
                <c:pt idx="39">
                  <c:v>20575</c:v>
                </c:pt>
                <c:pt idx="40">
                  <c:v>22725</c:v>
                </c:pt>
                <c:pt idx="41">
                  <c:v>25400</c:v>
                </c:pt>
                <c:pt idx="42">
                  <c:v>28950</c:v>
                </c:pt>
                <c:pt idx="43">
                  <c:v>30950</c:v>
                </c:pt>
                <c:pt idx="44">
                  <c:v>37250</c:v>
                </c:pt>
                <c:pt idx="45">
                  <c:v>43500</c:v>
                </c:pt>
                <c:pt idx="46">
                  <c:v>48000</c:v>
                </c:pt>
                <c:pt idx="47">
                  <c:v>48500</c:v>
                </c:pt>
                <c:pt idx="48">
                  <c:v>41750</c:v>
                </c:pt>
                <c:pt idx="49">
                  <c:v>50000</c:v>
                </c:pt>
                <c:pt idx="50" formatCode="_(* #,##0_);_(* \(#,##0\);_(* &quot;-&quot;??_);_(@_)">
                  <c:v>47000</c:v>
                </c:pt>
                <c:pt idx="51" formatCode="_(* #,##0_);_(* \(#,##0\);_(* &quot;-&quot;??_);_(@_)">
                  <c:v>10117.262999999999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426056"/>
        <c:axId val="309427232"/>
      </c:lineChart>
      <c:catAx>
        <c:axId val="309426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7232"/>
        <c:crosses val="autoZero"/>
        <c:auto val="1"/>
        <c:lblAlgn val="ctr"/>
        <c:lblOffset val="100"/>
        <c:noMultiLvlLbl val="0"/>
      </c:catAx>
      <c:valAx>
        <c:axId val="30942723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605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91165128933230188"/>
          <c:h val="0.1078068583210106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951137837196553E-2"/>
          <c:y val="0.16144916311690599"/>
          <c:w val="0.86438298891369558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Chi!$C$10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Chi!$D$10:$BD$10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 formatCode="#,##0">
                  <c:v>7870</c:v>
                </c:pt>
                <c:pt idx="5" formatCode="#,##0">
                  <c:v>6140</c:v>
                </c:pt>
                <c:pt idx="6" formatCode="#,##0">
                  <c:v>8270</c:v>
                </c:pt>
                <c:pt idx="7" formatCode="#,##0">
                  <c:v>8270</c:v>
                </c:pt>
                <c:pt idx="8" formatCode="#,##0">
                  <c:v>8040</c:v>
                </c:pt>
                <c:pt idx="9" formatCode="#,##0">
                  <c:v>7630</c:v>
                </c:pt>
                <c:pt idx="10" formatCode="#,##0">
                  <c:v>8710</c:v>
                </c:pt>
                <c:pt idx="11" formatCode="#,##0">
                  <c:v>8610</c:v>
                </c:pt>
                <c:pt idx="12" formatCode="#,##0">
                  <c:v>6450</c:v>
                </c:pt>
                <c:pt idx="13" formatCode="#,##0">
                  <c:v>8370</c:v>
                </c:pt>
                <c:pt idx="14" formatCode="#,##0">
                  <c:v>7470</c:v>
                </c:pt>
                <c:pt idx="15" formatCode="#,##0">
                  <c:v>7240</c:v>
                </c:pt>
                <c:pt idx="16" formatCode="#,##0">
                  <c:v>6640</c:v>
                </c:pt>
                <c:pt idx="17" formatCode="#,##0">
                  <c:v>7260</c:v>
                </c:pt>
                <c:pt idx="18" formatCode="#,##0">
                  <c:v>7565</c:v>
                </c:pt>
                <c:pt idx="19" formatCode="#,##0">
                  <c:v>7460</c:v>
                </c:pt>
                <c:pt idx="20" formatCode="#,##0">
                  <c:v>7940</c:v>
                </c:pt>
                <c:pt idx="21" formatCode="#,##0">
                  <c:v>9325</c:v>
                </c:pt>
                <c:pt idx="22" formatCode="#,##0">
                  <c:v>9030</c:v>
                </c:pt>
                <c:pt idx="23" formatCode="#,##0">
                  <c:v>9760</c:v>
                </c:pt>
                <c:pt idx="24" formatCode="#,##0">
                  <c:v>9695</c:v>
                </c:pt>
                <c:pt idx="25" formatCode="#,##0">
                  <c:v>10509</c:v>
                </c:pt>
                <c:pt idx="26" formatCode="#,##0">
                  <c:v>11614</c:v>
                </c:pt>
                <c:pt idx="27" formatCode="#,##0">
                  <c:v>12184</c:v>
                </c:pt>
                <c:pt idx="28" formatCode="#,##0">
                  <c:v>11645</c:v>
                </c:pt>
                <c:pt idx="29" formatCode="#,##0">
                  <c:v>10227</c:v>
                </c:pt>
                <c:pt idx="30" formatCode="#,##0">
                  <c:v>11000</c:v>
                </c:pt>
                <c:pt idx="31" formatCode="#,##0">
                  <c:v>9710</c:v>
                </c:pt>
                <c:pt idx="32" formatCode="#,##0">
                  <c:v>10300</c:v>
                </c:pt>
                <c:pt idx="33" formatCode="#,##0">
                  <c:v>15310</c:v>
                </c:pt>
                <c:pt idx="34" formatCode="#,##0">
                  <c:v>16000</c:v>
                </c:pt>
                <c:pt idx="35" formatCode="#,##0">
                  <c:v>13500</c:v>
                </c:pt>
                <c:pt idx="36" formatCode="#,##0">
                  <c:v>13220</c:v>
                </c:pt>
                <c:pt idx="37" formatCode="#,##0">
                  <c:v>14728</c:v>
                </c:pt>
                <c:pt idx="38" formatCode="#,##0">
                  <c:v>15152</c:v>
                </c:pt>
                <c:pt idx="39" formatCode="#,##0">
                  <c:v>14290</c:v>
                </c:pt>
                <c:pt idx="40" formatCode="#,##0">
                  <c:v>15400</c:v>
                </c:pt>
                <c:pt idx="41" formatCode="#,##0">
                  <c:v>15410</c:v>
                </c:pt>
                <c:pt idx="42" formatCode="#,##0">
                  <c:v>16510</c:v>
                </c:pt>
                <c:pt idx="43" formatCode="#,##0">
                  <c:v>15394</c:v>
                </c:pt>
                <c:pt idx="44" formatCode="#,##0">
                  <c:v>17400</c:v>
                </c:pt>
                <c:pt idx="45" formatCode="#,##0">
                  <c:v>16350</c:v>
                </c:pt>
                <c:pt idx="46" formatCode="#,##0">
                  <c:v>15074</c:v>
                </c:pt>
                <c:pt idx="47" formatCode="#,##0">
                  <c:v>13400</c:v>
                </c:pt>
                <c:pt idx="48" formatCode="#,##0">
                  <c:v>15540</c:v>
                </c:pt>
                <c:pt idx="49" formatCode="#,##0">
                  <c:v>14980</c:v>
                </c:pt>
                <c:pt idx="50" formatCode="_(* #,##0_);_(* \(#,##0\);_(* &quot;-&quot;??_);_(@_)">
                  <c:v>15200</c:v>
                </c:pt>
                <c:pt idx="51" formatCode="_(* #,##0_);_(* \(#,##0\);_(* &quot;-&quot;??_);_(@_)">
                  <c:v>14485.105</c:v>
                </c:pt>
                <c:pt idx="52" formatCode="_(* #,##0_);_(* \(#,##0\);_(* &quot;-&quot;??_);_(@_)">
                  <c:v>12800.159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Chi!$C$11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Chi!$D$11:$BD$11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2</c:v>
                </c:pt>
                <c:pt idx="12">
                  <c:v>255</c:v>
                </c:pt>
                <c:pt idx="13">
                  <c:v>619</c:v>
                </c:pt>
                <c:pt idx="14">
                  <c:v>36</c:v>
                </c:pt>
                <c:pt idx="15">
                  <c:v>25</c:v>
                </c:pt>
                <c:pt idx="16">
                  <c:v>253</c:v>
                </c:pt>
                <c:pt idx="17">
                  <c:v>188</c:v>
                </c:pt>
                <c:pt idx="18">
                  <c:v>261</c:v>
                </c:pt>
                <c:pt idx="19">
                  <c:v>810</c:v>
                </c:pt>
                <c:pt idx="20">
                  <c:v>540</c:v>
                </c:pt>
                <c:pt idx="21">
                  <c:v>530</c:v>
                </c:pt>
                <c:pt idx="22">
                  <c:v>30</c:v>
                </c:pt>
                <c:pt idx="23">
                  <c:v>0</c:v>
                </c:pt>
                <c:pt idx="24">
                  <c:v>0</c:v>
                </c:pt>
                <c:pt idx="25">
                  <c:v>280</c:v>
                </c:pt>
                <c:pt idx="26">
                  <c:v>190</c:v>
                </c:pt>
                <c:pt idx="27">
                  <c:v>208</c:v>
                </c:pt>
                <c:pt idx="28">
                  <c:v>33</c:v>
                </c:pt>
                <c:pt idx="29">
                  <c:v>1</c:v>
                </c:pt>
                <c:pt idx="30">
                  <c:v>1</c:v>
                </c:pt>
                <c:pt idx="31">
                  <c:v>136</c:v>
                </c:pt>
                <c:pt idx="32">
                  <c:v>150</c:v>
                </c:pt>
                <c:pt idx="33">
                  <c:v>125</c:v>
                </c:pt>
                <c:pt idx="34">
                  <c:v>155</c:v>
                </c:pt>
                <c:pt idx="35">
                  <c:v>795</c:v>
                </c:pt>
                <c:pt idx="36" formatCode="#,##0">
                  <c:v>2274</c:v>
                </c:pt>
                <c:pt idx="37" formatCode="#,##0">
                  <c:v>2940</c:v>
                </c:pt>
                <c:pt idx="38" formatCode="#,##0">
                  <c:v>3850</c:v>
                </c:pt>
                <c:pt idx="39" formatCode="#,##0">
                  <c:v>10100</c:v>
                </c:pt>
                <c:pt idx="40" formatCode="#,##0">
                  <c:v>13245</c:v>
                </c:pt>
                <c:pt idx="41" formatCode="#,##0">
                  <c:v>10385</c:v>
                </c:pt>
                <c:pt idx="42" formatCode="#,##0">
                  <c:v>21417</c:v>
                </c:pt>
                <c:pt idx="43" formatCode="#,##0">
                  <c:v>16933</c:v>
                </c:pt>
                <c:pt idx="44" formatCode="#,##0">
                  <c:v>25802</c:v>
                </c:pt>
                <c:pt idx="45" formatCode="#,##0">
                  <c:v>28317</c:v>
                </c:pt>
                <c:pt idx="46" formatCode="#,##0">
                  <c:v>28726</c:v>
                </c:pt>
                <c:pt idx="47" formatCode="#,##0">
                  <c:v>37816</c:v>
                </c:pt>
                <c:pt idx="48" formatCode="#,##0">
                  <c:v>41098</c:v>
                </c:pt>
                <c:pt idx="49" formatCode="#,##0">
                  <c:v>50338</c:v>
                </c:pt>
                <c:pt idx="50" formatCode="_(* #,##0_);_(* \(#,##0\);_(* &quot;-&quot;??_);_(@_)">
                  <c:v>57000</c:v>
                </c:pt>
                <c:pt idx="51" formatCode="_(* #,##0_);_(* \(#,##0\);_(* &quot;-&quot;??_);_(@_)">
                  <c:v>54834.368999999999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Chi!$C$12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Chi!$D$12:$BD$12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577</c:v>
                </c:pt>
                <c:pt idx="5">
                  <c:v>550</c:v>
                </c:pt>
                <c:pt idx="6">
                  <c:v>565</c:v>
                </c:pt>
                <c:pt idx="7">
                  <c:v>571</c:v>
                </c:pt>
                <c:pt idx="8">
                  <c:v>488</c:v>
                </c:pt>
                <c:pt idx="9">
                  <c:v>424</c:v>
                </c:pt>
                <c:pt idx="10">
                  <c:v>460</c:v>
                </c:pt>
                <c:pt idx="11">
                  <c:v>370</c:v>
                </c:pt>
                <c:pt idx="12">
                  <c:v>310</c:v>
                </c:pt>
                <c:pt idx="13">
                  <c:v>340</c:v>
                </c:pt>
                <c:pt idx="14">
                  <c:v>330</c:v>
                </c:pt>
                <c:pt idx="15">
                  <c:v>178</c:v>
                </c:pt>
                <c:pt idx="16">
                  <c:v>115</c:v>
                </c:pt>
                <c:pt idx="17">
                  <c:v>90</c:v>
                </c:pt>
                <c:pt idx="18">
                  <c:v>274</c:v>
                </c:pt>
                <c:pt idx="19">
                  <c:v>207</c:v>
                </c:pt>
                <c:pt idx="20">
                  <c:v>143</c:v>
                </c:pt>
                <c:pt idx="21">
                  <c:v>110</c:v>
                </c:pt>
                <c:pt idx="22">
                  <c:v>320</c:v>
                </c:pt>
                <c:pt idx="23">
                  <c:v>800</c:v>
                </c:pt>
                <c:pt idx="24" formatCode="#,##0">
                  <c:v>1080</c:v>
                </c:pt>
                <c:pt idx="25" formatCode="#,##0">
                  <c:v>1260</c:v>
                </c:pt>
                <c:pt idx="26" formatCode="#,##0">
                  <c:v>1750</c:v>
                </c:pt>
                <c:pt idx="27" formatCode="#,##0">
                  <c:v>1482</c:v>
                </c:pt>
                <c:pt idx="28" formatCode="#,##0">
                  <c:v>1209</c:v>
                </c:pt>
                <c:pt idx="29" formatCode="#,##0">
                  <c:v>1107</c:v>
                </c:pt>
                <c:pt idx="30" formatCode="#,##0">
                  <c:v>1288</c:v>
                </c:pt>
                <c:pt idx="31" formatCode="#,##0">
                  <c:v>1090</c:v>
                </c:pt>
                <c:pt idx="32">
                  <c:v>300</c:v>
                </c:pt>
                <c:pt idx="33" formatCode="#,##0">
                  <c:v>1100</c:v>
                </c:pt>
                <c:pt idx="34">
                  <c:v>394</c:v>
                </c:pt>
                <c:pt idx="35">
                  <c:v>222</c:v>
                </c:pt>
                <c:pt idx="36">
                  <c:v>195</c:v>
                </c:pt>
                <c:pt idx="37">
                  <c:v>168</c:v>
                </c:pt>
                <c:pt idx="38">
                  <c:v>187</c:v>
                </c:pt>
                <c:pt idx="39">
                  <c:v>230</c:v>
                </c:pt>
                <c:pt idx="40">
                  <c:v>208</c:v>
                </c:pt>
                <c:pt idx="41">
                  <c:v>300</c:v>
                </c:pt>
                <c:pt idx="42">
                  <c:v>265</c:v>
                </c:pt>
                <c:pt idx="43">
                  <c:v>319</c:v>
                </c:pt>
                <c:pt idx="44">
                  <c:v>390</c:v>
                </c:pt>
                <c:pt idx="45">
                  <c:v>354</c:v>
                </c:pt>
                <c:pt idx="46">
                  <c:v>446</c:v>
                </c:pt>
                <c:pt idx="47">
                  <c:v>453</c:v>
                </c:pt>
                <c:pt idx="48">
                  <c:v>400</c:v>
                </c:pt>
                <c:pt idx="49">
                  <c:v>184</c:v>
                </c:pt>
                <c:pt idx="50" formatCode="_(* #,##0_);_(* \(#,##0\);_(* &quot;-&quot;??_);_(@_)">
                  <c:v>300</c:v>
                </c:pt>
                <c:pt idx="51" formatCode="_(* #,##0_);_(* \(#,##0\);_(* &quot;-&quot;??_);_(@_)">
                  <c:v>219.09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Chi!$C$13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Chi!$D$13:$BD$13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 formatCode="#,##0">
                  <c:v>7293</c:v>
                </c:pt>
                <c:pt idx="5" formatCode="#,##0">
                  <c:v>5590</c:v>
                </c:pt>
                <c:pt idx="6" formatCode="#,##0">
                  <c:v>7705</c:v>
                </c:pt>
                <c:pt idx="7" formatCode="#,##0">
                  <c:v>7699</c:v>
                </c:pt>
                <c:pt idx="8" formatCode="#,##0">
                  <c:v>7552</c:v>
                </c:pt>
                <c:pt idx="9" formatCode="#,##0">
                  <c:v>7206</c:v>
                </c:pt>
                <c:pt idx="10" formatCode="#,##0">
                  <c:v>8250</c:v>
                </c:pt>
                <c:pt idx="11" formatCode="#,##0">
                  <c:v>8242</c:v>
                </c:pt>
                <c:pt idx="12" formatCode="#,##0">
                  <c:v>6395</c:v>
                </c:pt>
                <c:pt idx="13" formatCode="#,##0">
                  <c:v>8649</c:v>
                </c:pt>
                <c:pt idx="14" formatCode="#,##0">
                  <c:v>7176</c:v>
                </c:pt>
                <c:pt idx="15" formatCode="#,##0">
                  <c:v>7087</c:v>
                </c:pt>
                <c:pt idx="16" formatCode="#,##0">
                  <c:v>6778</c:v>
                </c:pt>
                <c:pt idx="17" formatCode="#,##0">
                  <c:v>7358</c:v>
                </c:pt>
                <c:pt idx="18" formatCode="#,##0">
                  <c:v>7552</c:v>
                </c:pt>
                <c:pt idx="19" formatCode="#,##0">
                  <c:v>8063</c:v>
                </c:pt>
                <c:pt idx="20" formatCode="#,##0">
                  <c:v>8337</c:v>
                </c:pt>
                <c:pt idx="21" formatCode="#,##0">
                  <c:v>9745</c:v>
                </c:pt>
                <c:pt idx="22" formatCode="#,##0">
                  <c:v>8740</c:v>
                </c:pt>
                <c:pt idx="23" formatCode="#,##0">
                  <c:v>8960</c:v>
                </c:pt>
                <c:pt idx="24" formatCode="#,##0">
                  <c:v>8615</c:v>
                </c:pt>
                <c:pt idx="25" formatCode="#,##0">
                  <c:v>9529</c:v>
                </c:pt>
                <c:pt idx="26" formatCode="#,##0">
                  <c:v>10054</c:v>
                </c:pt>
                <c:pt idx="27" formatCode="#,##0">
                  <c:v>10910</c:v>
                </c:pt>
                <c:pt idx="28" formatCode="#,##0">
                  <c:v>10469</c:v>
                </c:pt>
                <c:pt idx="29" formatCode="#,##0">
                  <c:v>9121</c:v>
                </c:pt>
                <c:pt idx="30" formatCode="#,##0">
                  <c:v>9713</c:v>
                </c:pt>
                <c:pt idx="31" formatCode="#,##0">
                  <c:v>8756</c:v>
                </c:pt>
                <c:pt idx="32" formatCode="#,##0">
                  <c:v>10150</c:v>
                </c:pt>
                <c:pt idx="33" formatCode="#,##0">
                  <c:v>14335</c:v>
                </c:pt>
                <c:pt idx="34" formatCode="#,##0">
                  <c:v>15761</c:v>
                </c:pt>
                <c:pt idx="35" formatCode="#,##0">
                  <c:v>14073</c:v>
                </c:pt>
                <c:pt idx="36" formatCode="#,##0">
                  <c:v>14309</c:v>
                </c:pt>
                <c:pt idx="37" formatCode="#,##0">
                  <c:v>15472</c:v>
                </c:pt>
                <c:pt idx="38" formatCode="#,##0">
                  <c:v>19929</c:v>
                </c:pt>
                <c:pt idx="39" formatCode="#,##0">
                  <c:v>22894</c:v>
                </c:pt>
                <c:pt idx="40" formatCode="#,##0">
                  <c:v>26697</c:v>
                </c:pt>
                <c:pt idx="41" formatCode="#,##0">
                  <c:v>28310</c:v>
                </c:pt>
                <c:pt idx="42" formatCode="#,##0">
                  <c:v>35290</c:v>
                </c:pt>
                <c:pt idx="43" formatCode="#,##0">
                  <c:v>34375</c:v>
                </c:pt>
                <c:pt idx="44" formatCode="#,##0">
                  <c:v>40212</c:v>
                </c:pt>
                <c:pt idx="45" formatCode="#,##0">
                  <c:v>44440</c:v>
                </c:pt>
                <c:pt idx="46" formatCode="#,##0">
                  <c:v>46120</c:v>
                </c:pt>
                <c:pt idx="47" formatCode="#,##0">
                  <c:v>49818</c:v>
                </c:pt>
                <c:pt idx="48" formatCode="#,##0">
                  <c:v>51435</c:v>
                </c:pt>
                <c:pt idx="49" formatCode="#,##0">
                  <c:v>59430</c:v>
                </c:pt>
                <c:pt idx="50" formatCode="_(* #,##0_);_(* \(#,##0\);_(* &quot;-&quot;??_);_(@_)">
                  <c:v>68450</c:v>
                </c:pt>
                <c:pt idx="51" formatCode="_(* #,##0_);_(* \(#,##0\);_(* &quot;-&quot;??_);_(@_)">
                  <c:v>69100.384000000005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421744"/>
        <c:axId val="309426448"/>
      </c:lineChart>
      <c:catAx>
        <c:axId val="309421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6448"/>
        <c:crosses val="autoZero"/>
        <c:auto val="1"/>
        <c:lblAlgn val="ctr"/>
        <c:lblOffset val="100"/>
        <c:noMultiLvlLbl val="0"/>
      </c:catAx>
      <c:valAx>
        <c:axId val="30942644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17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89185673389875553"/>
          <c:h val="0.1307411944016486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479397481"/>
          <c:y val="0.16144916311690599"/>
          <c:w val="0.84524583915699658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Chi!$C$14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Chi!$D$14:$BD$14</c:f>
              <c:numCache>
                <c:formatCode>#,##0</c:formatCode>
                <c:ptCount val="53"/>
                <c:pt idx="0">
                  <c:v>41811</c:v>
                </c:pt>
                <c:pt idx="1">
                  <c:v>37548</c:v>
                </c:pt>
                <c:pt idx="2">
                  <c:v>44090</c:v>
                </c:pt>
                <c:pt idx="3">
                  <c:v>51636</c:v>
                </c:pt>
                <c:pt idx="4">
                  <c:v>58100</c:v>
                </c:pt>
                <c:pt idx="5">
                  <c:v>61405</c:v>
                </c:pt>
                <c:pt idx="6">
                  <c:v>66773</c:v>
                </c:pt>
                <c:pt idx="7">
                  <c:v>65580</c:v>
                </c:pt>
                <c:pt idx="8">
                  <c:v>66170</c:v>
                </c:pt>
                <c:pt idx="9">
                  <c:v>66546</c:v>
                </c:pt>
                <c:pt idx="10">
                  <c:v>76993</c:v>
                </c:pt>
                <c:pt idx="11">
                  <c:v>80643</c:v>
                </c:pt>
                <c:pt idx="12">
                  <c:v>79348</c:v>
                </c:pt>
                <c:pt idx="13">
                  <c:v>85215</c:v>
                </c:pt>
                <c:pt idx="14">
                  <c:v>86733</c:v>
                </c:pt>
                <c:pt idx="15">
                  <c:v>87892</c:v>
                </c:pt>
                <c:pt idx="16">
                  <c:v>88063</c:v>
                </c:pt>
                <c:pt idx="17">
                  <c:v>89996</c:v>
                </c:pt>
                <c:pt idx="18">
                  <c:v>95850</c:v>
                </c:pt>
                <c:pt idx="19">
                  <c:v>100625</c:v>
                </c:pt>
                <c:pt idx="20">
                  <c:v>97934</c:v>
                </c:pt>
                <c:pt idx="21">
                  <c:v>100768</c:v>
                </c:pt>
                <c:pt idx="22">
                  <c:v>113117</c:v>
                </c:pt>
                <c:pt idx="23">
                  <c:v>118206</c:v>
                </c:pt>
                <c:pt idx="24">
                  <c:v>124779</c:v>
                </c:pt>
                <c:pt idx="25">
                  <c:v>117999</c:v>
                </c:pt>
                <c:pt idx="26">
                  <c:v>120557</c:v>
                </c:pt>
                <c:pt idx="27">
                  <c:v>121716</c:v>
                </c:pt>
                <c:pt idx="28">
                  <c:v>118377</c:v>
                </c:pt>
                <c:pt idx="29">
                  <c:v>126091</c:v>
                </c:pt>
                <c:pt idx="30">
                  <c:v>132532</c:v>
                </c:pt>
                <c:pt idx="31">
                  <c:v>128667</c:v>
                </c:pt>
                <c:pt idx="32">
                  <c:v>130354</c:v>
                </c:pt>
                <c:pt idx="33">
                  <c:v>124390</c:v>
                </c:pt>
                <c:pt idx="34">
                  <c:v>123151</c:v>
                </c:pt>
                <c:pt idx="35">
                  <c:v>129650</c:v>
                </c:pt>
                <c:pt idx="36">
                  <c:v>136570</c:v>
                </c:pt>
                <c:pt idx="37">
                  <c:v>140490</c:v>
                </c:pt>
                <c:pt idx="38">
                  <c:v>139100</c:v>
                </c:pt>
                <c:pt idx="39">
                  <c:v>138936</c:v>
                </c:pt>
                <c:pt idx="40">
                  <c:v>131536</c:v>
                </c:pt>
                <c:pt idx="41">
                  <c:v>124306</c:v>
                </c:pt>
                <c:pt idx="42">
                  <c:v>122180</c:v>
                </c:pt>
                <c:pt idx="43">
                  <c:v>112462</c:v>
                </c:pt>
                <c:pt idx="44">
                  <c:v>125363</c:v>
                </c:pt>
                <c:pt idx="45">
                  <c:v>126414</c:v>
                </c:pt>
                <c:pt idx="46">
                  <c:v>127200</c:v>
                </c:pt>
                <c:pt idx="47">
                  <c:v>130224</c:v>
                </c:pt>
                <c:pt idx="48">
                  <c:v>134330</c:v>
                </c:pt>
                <c:pt idx="49">
                  <c:v>136570</c:v>
                </c:pt>
                <c:pt idx="50" formatCode="_(* #,##0_);_(* \(#,##0\);_(* &quot;-&quot;??_);_(@_)">
                  <c:v>139300</c:v>
                </c:pt>
                <c:pt idx="51" formatCode="_(* #,##0_);_(* \(#,##0\);_(* &quot;-&quot;??_);_(@_)">
                  <c:v>202667.17300000001</c:v>
                </c:pt>
                <c:pt idx="52" formatCode="_(* #,##0_);_(* \(#,##0\);_(* &quot;-&quot;??_);_(@_)">
                  <c:v>205985.22899999999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Chi!$C$15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Chi!$D$15:$BD$15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5</c:v>
                </c:pt>
                <c:pt idx="10">
                  <c:v>8</c:v>
                </c:pt>
                <c:pt idx="11">
                  <c:v>19</c:v>
                </c:pt>
                <c:pt idx="12">
                  <c:v>0</c:v>
                </c:pt>
                <c:pt idx="13">
                  <c:v>102</c:v>
                </c:pt>
                <c:pt idx="14">
                  <c:v>30</c:v>
                </c:pt>
                <c:pt idx="15">
                  <c:v>114</c:v>
                </c:pt>
                <c:pt idx="16">
                  <c:v>0</c:v>
                </c:pt>
                <c:pt idx="17">
                  <c:v>0</c:v>
                </c:pt>
                <c:pt idx="18">
                  <c:v>71</c:v>
                </c:pt>
                <c:pt idx="19">
                  <c:v>18</c:v>
                </c:pt>
                <c:pt idx="20">
                  <c:v>162</c:v>
                </c:pt>
                <c:pt idx="21">
                  <c:v>263</c:v>
                </c:pt>
                <c:pt idx="22">
                  <c:v>61</c:v>
                </c:pt>
                <c:pt idx="23">
                  <c:v>131</c:v>
                </c:pt>
                <c:pt idx="24">
                  <c:v>201</c:v>
                </c:pt>
                <c:pt idx="25">
                  <c:v>352</c:v>
                </c:pt>
                <c:pt idx="26">
                  <c:v>429</c:v>
                </c:pt>
                <c:pt idx="27">
                  <c:v>421</c:v>
                </c:pt>
                <c:pt idx="28" formatCode="#,##0">
                  <c:v>1043</c:v>
                </c:pt>
                <c:pt idx="29">
                  <c:v>57</c:v>
                </c:pt>
                <c:pt idx="30">
                  <c:v>68</c:v>
                </c:pt>
                <c:pt idx="31">
                  <c:v>93</c:v>
                </c:pt>
                <c:pt idx="32">
                  <c:v>212</c:v>
                </c:pt>
                <c:pt idx="33">
                  <c:v>968</c:v>
                </c:pt>
                <c:pt idx="34" formatCode="#,##0">
                  <c:v>1998</c:v>
                </c:pt>
                <c:pt idx="35">
                  <c:v>852</c:v>
                </c:pt>
                <c:pt idx="36">
                  <c:v>322</c:v>
                </c:pt>
                <c:pt idx="37">
                  <c:v>261</c:v>
                </c:pt>
                <c:pt idx="38">
                  <c:v>178</c:v>
                </c:pt>
                <c:pt idx="39">
                  <c:v>278</c:v>
                </c:pt>
                <c:pt idx="40">
                  <c:v>270</c:v>
                </c:pt>
                <c:pt idx="41">
                  <c:v>304</c:v>
                </c:pt>
                <c:pt idx="42">
                  <c:v>258</c:v>
                </c:pt>
                <c:pt idx="43" formatCode="#,##0">
                  <c:v>1122</c:v>
                </c:pt>
                <c:pt idx="44">
                  <c:v>609</c:v>
                </c:pt>
                <c:pt idx="45">
                  <c:v>654</c:v>
                </c:pt>
                <c:pt idx="46">
                  <c:v>472</c:v>
                </c:pt>
                <c:pt idx="47">
                  <c:v>295</c:v>
                </c:pt>
                <c:pt idx="48">
                  <c:v>337</c:v>
                </c:pt>
                <c:pt idx="49">
                  <c:v>366</c:v>
                </c:pt>
                <c:pt idx="50" formatCode="_(* #,##0_);_(* \(#,##0\);_(* &quot;-&quot;??_);_(@_)">
                  <c:v>400</c:v>
                </c:pt>
                <c:pt idx="51" formatCode="_(* #,##0_);_(* \(#,##0\);_(* &quot;-&quot;??_);_(@_)">
                  <c:v>1059.2940000000001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Chi!$C$16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Chi!$D$16:$BD$16</c:f>
              <c:numCache>
                <c:formatCode>General</c:formatCode>
                <c:ptCount val="53"/>
                <c:pt idx="0">
                  <c:v>428</c:v>
                </c:pt>
                <c:pt idx="1">
                  <c:v>458</c:v>
                </c:pt>
                <c:pt idx="2">
                  <c:v>684</c:v>
                </c:pt>
                <c:pt idx="3">
                  <c:v>762</c:v>
                </c:pt>
                <c:pt idx="4">
                  <c:v>985</c:v>
                </c:pt>
                <c:pt idx="5" formatCode="#,##0">
                  <c:v>1487</c:v>
                </c:pt>
                <c:pt idx="6" formatCode="#,##0">
                  <c:v>1577</c:v>
                </c:pt>
                <c:pt idx="7" formatCode="#,##0">
                  <c:v>1299</c:v>
                </c:pt>
                <c:pt idx="8" formatCode="#,##0">
                  <c:v>1179</c:v>
                </c:pt>
                <c:pt idx="9" formatCode="#,##0">
                  <c:v>1280</c:v>
                </c:pt>
                <c:pt idx="10" formatCode="#,##0">
                  <c:v>1292</c:v>
                </c:pt>
                <c:pt idx="11" formatCode="#,##0">
                  <c:v>1426</c:v>
                </c:pt>
                <c:pt idx="12" formatCode="#,##0">
                  <c:v>2631</c:v>
                </c:pt>
                <c:pt idx="13" formatCode="#,##0">
                  <c:v>2060</c:v>
                </c:pt>
                <c:pt idx="14" formatCode="#,##0">
                  <c:v>1630</c:v>
                </c:pt>
                <c:pt idx="15">
                  <c:v>876</c:v>
                </c:pt>
                <c:pt idx="16" formatCode="#,##0">
                  <c:v>1033</c:v>
                </c:pt>
                <c:pt idx="17" formatCode="#,##0">
                  <c:v>1435</c:v>
                </c:pt>
                <c:pt idx="18" formatCode="#,##0">
                  <c:v>1053</c:v>
                </c:pt>
                <c:pt idx="19" formatCode="#,##0">
                  <c:v>1116</c:v>
                </c:pt>
                <c:pt idx="20">
                  <c:v>509</c:v>
                </c:pt>
                <c:pt idx="21">
                  <c:v>446</c:v>
                </c:pt>
                <c:pt idx="22">
                  <c:v>328</c:v>
                </c:pt>
                <c:pt idx="23" formatCode="#,##0">
                  <c:v>1125</c:v>
                </c:pt>
                <c:pt idx="24" formatCode="#,##0">
                  <c:v>1019</c:v>
                </c:pt>
                <c:pt idx="25">
                  <c:v>957</c:v>
                </c:pt>
                <c:pt idx="26" formatCode="#,##0">
                  <c:v>1301</c:v>
                </c:pt>
                <c:pt idx="27">
                  <c:v>698</c:v>
                </c:pt>
                <c:pt idx="28">
                  <c:v>315</c:v>
                </c:pt>
                <c:pt idx="29">
                  <c:v>326</c:v>
                </c:pt>
                <c:pt idx="30">
                  <c:v>689</c:v>
                </c:pt>
                <c:pt idx="31">
                  <c:v>933</c:v>
                </c:pt>
                <c:pt idx="32" formatCode="#,##0">
                  <c:v>1431</c:v>
                </c:pt>
                <c:pt idx="33" formatCode="#,##0">
                  <c:v>1518</c:v>
                </c:pt>
                <c:pt idx="34">
                  <c:v>32</c:v>
                </c:pt>
                <c:pt idx="35">
                  <c:v>265</c:v>
                </c:pt>
                <c:pt idx="36">
                  <c:v>938</c:v>
                </c:pt>
                <c:pt idx="37" formatCode="#,##0">
                  <c:v>3734</c:v>
                </c:pt>
                <c:pt idx="38" formatCode="#,##0">
                  <c:v>2708</c:v>
                </c:pt>
                <c:pt idx="39" formatCode="#,##0">
                  <c:v>2951</c:v>
                </c:pt>
                <c:pt idx="40" formatCode="#,##0">
                  <c:v>1847</c:v>
                </c:pt>
                <c:pt idx="41" formatCode="#,##0">
                  <c:v>1963</c:v>
                </c:pt>
                <c:pt idx="42" formatCode="#,##0">
                  <c:v>2583</c:v>
                </c:pt>
                <c:pt idx="43">
                  <c:v>880</c:v>
                </c:pt>
                <c:pt idx="44">
                  <c:v>656</c:v>
                </c:pt>
                <c:pt idx="45" formatCode="#,##0">
                  <c:v>1216</c:v>
                </c:pt>
                <c:pt idx="46" formatCode="#,##0">
                  <c:v>1340</c:v>
                </c:pt>
                <c:pt idx="47">
                  <c:v>969</c:v>
                </c:pt>
                <c:pt idx="48">
                  <c:v>783</c:v>
                </c:pt>
                <c:pt idx="49">
                  <c:v>619</c:v>
                </c:pt>
                <c:pt idx="50" formatCode="_(* #,##0_);_(* \(#,##0\);_(* &quot;-&quot;??_);_(@_)">
                  <c:v>600</c:v>
                </c:pt>
                <c:pt idx="51" formatCode="_(* #,##0_);_(* \(#,##0\);_(* &quot;-&quot;??_);_(@_)">
                  <c:v>501.07299999999998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Chi!$C$17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Chi!$D$17:$BD$17</c:f>
              <c:numCache>
                <c:formatCode>#,##0</c:formatCode>
                <c:ptCount val="53"/>
                <c:pt idx="0">
                  <c:v>46383</c:v>
                </c:pt>
                <c:pt idx="1">
                  <c:v>38590</c:v>
                </c:pt>
                <c:pt idx="2">
                  <c:v>39406</c:v>
                </c:pt>
                <c:pt idx="3">
                  <c:v>48874</c:v>
                </c:pt>
                <c:pt idx="4">
                  <c:v>59115</c:v>
                </c:pt>
                <c:pt idx="5">
                  <c:v>59418</c:v>
                </c:pt>
                <c:pt idx="6">
                  <c:v>63196</c:v>
                </c:pt>
                <c:pt idx="7">
                  <c:v>64781</c:v>
                </c:pt>
                <c:pt idx="8">
                  <c:v>64491</c:v>
                </c:pt>
                <c:pt idx="9">
                  <c:v>65771</c:v>
                </c:pt>
                <c:pt idx="10">
                  <c:v>72209</c:v>
                </c:pt>
                <c:pt idx="11">
                  <c:v>77236</c:v>
                </c:pt>
                <c:pt idx="12">
                  <c:v>76717</c:v>
                </c:pt>
                <c:pt idx="13">
                  <c:v>80257</c:v>
                </c:pt>
                <c:pt idx="14">
                  <c:v>83633</c:v>
                </c:pt>
                <c:pt idx="15">
                  <c:v>85130</c:v>
                </c:pt>
                <c:pt idx="16">
                  <c:v>86530</c:v>
                </c:pt>
                <c:pt idx="17">
                  <c:v>87561</c:v>
                </c:pt>
                <c:pt idx="18">
                  <c:v>89868</c:v>
                </c:pt>
                <c:pt idx="19">
                  <c:v>96527</c:v>
                </c:pt>
                <c:pt idx="20">
                  <c:v>98587</c:v>
                </c:pt>
                <c:pt idx="21">
                  <c:v>101085</c:v>
                </c:pt>
                <c:pt idx="22">
                  <c:v>103350</c:v>
                </c:pt>
                <c:pt idx="23">
                  <c:v>105212</c:v>
                </c:pt>
                <c:pt idx="24">
                  <c:v>110461</c:v>
                </c:pt>
                <c:pt idx="25">
                  <c:v>111894</c:v>
                </c:pt>
                <c:pt idx="26">
                  <c:v>112685</c:v>
                </c:pt>
                <c:pt idx="27">
                  <c:v>115939</c:v>
                </c:pt>
                <c:pt idx="28">
                  <c:v>118605</c:v>
                </c:pt>
                <c:pt idx="29">
                  <c:v>120822</c:v>
                </c:pt>
                <c:pt idx="30">
                  <c:v>123911</c:v>
                </c:pt>
                <c:pt idx="31">
                  <c:v>126827</c:v>
                </c:pt>
                <c:pt idx="32">
                  <c:v>128135</c:v>
                </c:pt>
                <c:pt idx="33">
                  <c:v>129340</c:v>
                </c:pt>
                <c:pt idx="34">
                  <c:v>130117</c:v>
                </c:pt>
                <c:pt idx="35">
                  <c:v>131237</c:v>
                </c:pt>
                <c:pt idx="36">
                  <c:v>131954</c:v>
                </c:pt>
                <c:pt idx="37">
                  <c:v>132700</c:v>
                </c:pt>
                <c:pt idx="38">
                  <c:v>134100</c:v>
                </c:pt>
                <c:pt idx="39">
                  <c:v>134200</c:v>
                </c:pt>
                <c:pt idx="40">
                  <c:v>134300</c:v>
                </c:pt>
                <c:pt idx="41">
                  <c:v>136500</c:v>
                </c:pt>
                <c:pt idx="42">
                  <c:v>135700</c:v>
                </c:pt>
                <c:pt idx="43">
                  <c:v>132100</c:v>
                </c:pt>
                <c:pt idx="44">
                  <c:v>130300</c:v>
                </c:pt>
                <c:pt idx="45">
                  <c:v>128000</c:v>
                </c:pt>
                <c:pt idx="46">
                  <c:v>127200</c:v>
                </c:pt>
                <c:pt idx="47">
                  <c:v>127450</c:v>
                </c:pt>
                <c:pt idx="48">
                  <c:v>133000</c:v>
                </c:pt>
                <c:pt idx="49">
                  <c:v>134320</c:v>
                </c:pt>
                <c:pt idx="50" formatCode="_(* #,##0_);_(* \(#,##0\);_(* &quot;-&quot;??_);_(@_)">
                  <c:v>136000</c:v>
                </c:pt>
                <c:pt idx="51" formatCode="_(* #,##0_);_(* \(#,##0\);_(* &quot;-&quot;??_);_(@_)">
                  <c:v>203225.394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424488"/>
        <c:axId val="309425664"/>
      </c:lineChart>
      <c:catAx>
        <c:axId val="309424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5664"/>
        <c:crosses val="autoZero"/>
        <c:auto val="1"/>
        <c:lblAlgn val="ctr"/>
        <c:lblOffset val="100"/>
        <c:noMultiLvlLbl val="0"/>
      </c:catAx>
      <c:valAx>
        <c:axId val="30942566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448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91165128933230188"/>
          <c:h val="0.1078068583210106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Chi!$C$18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Chi!$D$18:$BD$18</c:f>
              <c:numCache>
                <c:formatCode>#,##0</c:formatCode>
                <c:ptCount val="53"/>
                <c:pt idx="0">
                  <c:v>12415.994000000001</c:v>
                </c:pt>
                <c:pt idx="1">
                  <c:v>9829.3140000000003</c:v>
                </c:pt>
                <c:pt idx="2">
                  <c:v>14556.529</c:v>
                </c:pt>
                <c:pt idx="3">
                  <c:v>19165.653999999999</c:v>
                </c:pt>
                <c:pt idx="4">
                  <c:v>23118.7</c:v>
                </c:pt>
                <c:pt idx="5">
                  <c:v>20577.97</c:v>
                </c:pt>
                <c:pt idx="6">
                  <c:v>19641.93</c:v>
                </c:pt>
                <c:pt idx="7">
                  <c:v>18888.400000000001</c:v>
                </c:pt>
                <c:pt idx="8">
                  <c:v>17738.419999999998</c:v>
                </c:pt>
                <c:pt idx="9">
                  <c:v>19702.957999999999</c:v>
                </c:pt>
                <c:pt idx="10">
                  <c:v>21302.116000000002</c:v>
                </c:pt>
                <c:pt idx="11">
                  <c:v>23785.393</c:v>
                </c:pt>
                <c:pt idx="12">
                  <c:v>24728.774000000001</c:v>
                </c:pt>
                <c:pt idx="13">
                  <c:v>25578.397000000001</c:v>
                </c:pt>
                <c:pt idx="14">
                  <c:v>24565.423999999999</c:v>
                </c:pt>
                <c:pt idx="15">
                  <c:v>25610.645</c:v>
                </c:pt>
                <c:pt idx="16">
                  <c:v>29053.866000000002</c:v>
                </c:pt>
                <c:pt idx="17">
                  <c:v>29394.391</c:v>
                </c:pt>
                <c:pt idx="18">
                  <c:v>31186.368999999999</c:v>
                </c:pt>
                <c:pt idx="19">
                  <c:v>31977.589</c:v>
                </c:pt>
                <c:pt idx="20">
                  <c:v>38379.599000000002</c:v>
                </c:pt>
                <c:pt idx="21">
                  <c:v>45486.381000000001</c:v>
                </c:pt>
                <c:pt idx="22">
                  <c:v>38624.178</c:v>
                </c:pt>
                <c:pt idx="23">
                  <c:v>46470.036</c:v>
                </c:pt>
                <c:pt idx="24">
                  <c:v>58711.258999999998</c:v>
                </c:pt>
                <c:pt idx="25">
                  <c:v>56483.311999999998</c:v>
                </c:pt>
                <c:pt idx="26">
                  <c:v>52811.504999999997</c:v>
                </c:pt>
                <c:pt idx="27">
                  <c:v>56062.396000000001</c:v>
                </c:pt>
                <c:pt idx="28">
                  <c:v>55645.25</c:v>
                </c:pt>
                <c:pt idx="29">
                  <c:v>63451.067000000003</c:v>
                </c:pt>
                <c:pt idx="30">
                  <c:v>72694.721999999994</c:v>
                </c:pt>
                <c:pt idx="31">
                  <c:v>78868.561000000002</c:v>
                </c:pt>
                <c:pt idx="32">
                  <c:v>68997.31</c:v>
                </c:pt>
                <c:pt idx="33">
                  <c:v>66430.350999999995</c:v>
                </c:pt>
                <c:pt idx="34">
                  <c:v>70278.81</c:v>
                </c:pt>
                <c:pt idx="35">
                  <c:v>71260.195999999996</c:v>
                </c:pt>
                <c:pt idx="36">
                  <c:v>83012.388999999996</c:v>
                </c:pt>
                <c:pt idx="37">
                  <c:v>87203.679000000004</c:v>
                </c:pt>
                <c:pt idx="38">
                  <c:v>78108.145999999993</c:v>
                </c:pt>
                <c:pt idx="39">
                  <c:v>69298.73</c:v>
                </c:pt>
                <c:pt idx="40">
                  <c:v>77965.653000000006</c:v>
                </c:pt>
                <c:pt idx="41">
                  <c:v>92202.611000000004</c:v>
                </c:pt>
                <c:pt idx="42">
                  <c:v>92039.3</c:v>
                </c:pt>
                <c:pt idx="43">
                  <c:v>91044.422000000006</c:v>
                </c:pt>
                <c:pt idx="44">
                  <c:v>87578.212</c:v>
                </c:pt>
                <c:pt idx="45">
                  <c:v>93306.256999999998</c:v>
                </c:pt>
                <c:pt idx="46">
                  <c:v>113731.917</c:v>
                </c:pt>
                <c:pt idx="47">
                  <c:v>124917.902</c:v>
                </c:pt>
                <c:pt idx="48">
                  <c:v>116250.978</c:v>
                </c:pt>
                <c:pt idx="49">
                  <c:v>111501.48299999999</c:v>
                </c:pt>
                <c:pt idx="50" formatCode="_(* #,##0_);_(* \(#,##0\);_(* &quot;-&quot;??_);_(@_)">
                  <c:v>115123.56</c:v>
                </c:pt>
                <c:pt idx="51" formatCode="_(* #,##0_);_(* \(#,##0\);_(* &quot;-&quot;??_);_(@_)">
                  <c:v>124038.01700000001</c:v>
                </c:pt>
                <c:pt idx="52" formatCode="_(* #,##0_);_(* \(#,##0\);_(* &quot;-&quot;??_);_(@_)">
                  <c:v>128850.908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Chi!$C$19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Chi!$D$19:$BD$19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27</c:v>
                </c:pt>
                <c:pt idx="19">
                  <c:v>0</c:v>
                </c:pt>
                <c:pt idx="20">
                  <c:v>0</c:v>
                </c:pt>
                <c:pt idx="21">
                  <c:v>23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60</c:v>
                </c:pt>
                <c:pt idx="32">
                  <c:v>0</c:v>
                </c:pt>
                <c:pt idx="33">
                  <c:v>0</c:v>
                </c:pt>
                <c:pt idx="34">
                  <c:v>18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22</c:v>
                </c:pt>
                <c:pt idx="41">
                  <c:v>3</c:v>
                </c:pt>
                <c:pt idx="42">
                  <c:v>2</c:v>
                </c:pt>
                <c:pt idx="43">
                  <c:v>3</c:v>
                </c:pt>
                <c:pt idx="44">
                  <c:v>9</c:v>
                </c:pt>
                <c:pt idx="45">
                  <c:v>9</c:v>
                </c:pt>
                <c:pt idx="46">
                  <c:v>4</c:v>
                </c:pt>
                <c:pt idx="47">
                  <c:v>12</c:v>
                </c:pt>
                <c:pt idx="48">
                  <c:v>14</c:v>
                </c:pt>
                <c:pt idx="49">
                  <c:v>83</c:v>
                </c:pt>
                <c:pt idx="50" formatCode="_(* #,##0_);_(* \(#,##0\);_(* &quot;-&quot;??_);_(@_)">
                  <c:v>25</c:v>
                </c:pt>
                <c:pt idx="51" formatCode="_(* #,##0_);_(* \(#,##0\);_(* &quot;-&quot;??_);_(@_)">
                  <c:v>97.695999999999998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Chi!$C$20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Chi!$D$20:$BD$20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75</c:v>
                </c:pt>
                <c:pt idx="12">
                  <c:v>75</c:v>
                </c:pt>
                <c:pt idx="13">
                  <c:v>100</c:v>
                </c:pt>
                <c:pt idx="14">
                  <c:v>100</c:v>
                </c:pt>
                <c:pt idx="15">
                  <c:v>125</c:v>
                </c:pt>
                <c:pt idx="16">
                  <c:v>100</c:v>
                </c:pt>
                <c:pt idx="17">
                  <c:v>50</c:v>
                </c:pt>
                <c:pt idx="18">
                  <c:v>50</c:v>
                </c:pt>
                <c:pt idx="19">
                  <c:v>25</c:v>
                </c:pt>
                <c:pt idx="20">
                  <c:v>75</c:v>
                </c:pt>
                <c:pt idx="21">
                  <c:v>100</c:v>
                </c:pt>
                <c:pt idx="22">
                  <c:v>50</c:v>
                </c:pt>
                <c:pt idx="23">
                  <c:v>50</c:v>
                </c:pt>
                <c:pt idx="24">
                  <c:v>500</c:v>
                </c:pt>
                <c:pt idx="25">
                  <c:v>715</c:v>
                </c:pt>
                <c:pt idx="26">
                  <c:v>379</c:v>
                </c:pt>
                <c:pt idx="27">
                  <c:v>74</c:v>
                </c:pt>
                <c:pt idx="28" formatCode="#,##0">
                  <c:v>1147</c:v>
                </c:pt>
                <c:pt idx="29">
                  <c:v>266</c:v>
                </c:pt>
                <c:pt idx="30">
                  <c:v>326</c:v>
                </c:pt>
                <c:pt idx="31">
                  <c:v>462</c:v>
                </c:pt>
                <c:pt idx="32">
                  <c:v>391</c:v>
                </c:pt>
                <c:pt idx="33">
                  <c:v>245</c:v>
                </c:pt>
                <c:pt idx="34">
                  <c:v>188</c:v>
                </c:pt>
                <c:pt idx="35">
                  <c:v>20</c:v>
                </c:pt>
                <c:pt idx="36">
                  <c:v>97</c:v>
                </c:pt>
                <c:pt idx="37">
                  <c:v>30</c:v>
                </c:pt>
                <c:pt idx="38">
                  <c:v>17</c:v>
                </c:pt>
                <c:pt idx="39">
                  <c:v>18</c:v>
                </c:pt>
                <c:pt idx="40">
                  <c:v>19</c:v>
                </c:pt>
                <c:pt idx="41">
                  <c:v>19</c:v>
                </c:pt>
                <c:pt idx="42">
                  <c:v>88</c:v>
                </c:pt>
                <c:pt idx="43">
                  <c:v>168</c:v>
                </c:pt>
                <c:pt idx="44">
                  <c:v>28</c:v>
                </c:pt>
                <c:pt idx="45">
                  <c:v>26</c:v>
                </c:pt>
                <c:pt idx="46">
                  <c:v>144</c:v>
                </c:pt>
                <c:pt idx="47">
                  <c:v>223</c:v>
                </c:pt>
                <c:pt idx="48">
                  <c:v>32</c:v>
                </c:pt>
                <c:pt idx="49">
                  <c:v>41</c:v>
                </c:pt>
                <c:pt idx="50" formatCode="_(* #,##0_);_(* \(#,##0\);_(* &quot;-&quot;??_);_(@_)">
                  <c:v>50</c:v>
                </c:pt>
                <c:pt idx="51" formatCode="_(* #,##0_);_(* \(#,##0\);_(* &quot;-&quot;??_);_(@_)">
                  <c:v>69.08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Chi!$C$21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Chi!$D$21:$BD$21</c:f>
              <c:numCache>
                <c:formatCode>#,##0</c:formatCode>
                <c:ptCount val="53"/>
                <c:pt idx="0">
                  <c:v>5275</c:v>
                </c:pt>
                <c:pt idx="1">
                  <c:v>4465</c:v>
                </c:pt>
                <c:pt idx="2">
                  <c:v>5916</c:v>
                </c:pt>
                <c:pt idx="3">
                  <c:v>7135</c:v>
                </c:pt>
                <c:pt idx="4">
                  <c:v>6949</c:v>
                </c:pt>
                <c:pt idx="5">
                  <c:v>7444</c:v>
                </c:pt>
                <c:pt idx="6">
                  <c:v>7660</c:v>
                </c:pt>
                <c:pt idx="7">
                  <c:v>7892</c:v>
                </c:pt>
                <c:pt idx="8">
                  <c:v>7195</c:v>
                </c:pt>
                <c:pt idx="9">
                  <c:v>7116</c:v>
                </c:pt>
                <c:pt idx="10">
                  <c:v>7635</c:v>
                </c:pt>
                <c:pt idx="11">
                  <c:v>8144</c:v>
                </c:pt>
                <c:pt idx="12">
                  <c:v>7690</c:v>
                </c:pt>
                <c:pt idx="13">
                  <c:v>10075</c:v>
                </c:pt>
                <c:pt idx="14">
                  <c:v>10675</c:v>
                </c:pt>
                <c:pt idx="15">
                  <c:v>10850</c:v>
                </c:pt>
                <c:pt idx="16">
                  <c:v>9000</c:v>
                </c:pt>
                <c:pt idx="17">
                  <c:v>7900</c:v>
                </c:pt>
                <c:pt idx="18">
                  <c:v>7837</c:v>
                </c:pt>
                <c:pt idx="19">
                  <c:v>7800</c:v>
                </c:pt>
                <c:pt idx="20">
                  <c:v>7000</c:v>
                </c:pt>
                <c:pt idx="21">
                  <c:v>6823</c:v>
                </c:pt>
                <c:pt idx="22">
                  <c:v>6820</c:v>
                </c:pt>
                <c:pt idx="23">
                  <c:v>8305</c:v>
                </c:pt>
                <c:pt idx="24">
                  <c:v>7465</c:v>
                </c:pt>
                <c:pt idx="25">
                  <c:v>5844</c:v>
                </c:pt>
                <c:pt idx="26">
                  <c:v>5430</c:v>
                </c:pt>
                <c:pt idx="27">
                  <c:v>5289</c:v>
                </c:pt>
                <c:pt idx="28">
                  <c:v>4787</c:v>
                </c:pt>
                <c:pt idx="29">
                  <c:v>4169</c:v>
                </c:pt>
                <c:pt idx="30">
                  <c:v>4999</c:v>
                </c:pt>
                <c:pt idx="31">
                  <c:v>4805</c:v>
                </c:pt>
                <c:pt idx="32">
                  <c:v>4574</c:v>
                </c:pt>
                <c:pt idx="33">
                  <c:v>5416</c:v>
                </c:pt>
                <c:pt idx="34">
                  <c:v>6355</c:v>
                </c:pt>
                <c:pt idx="35">
                  <c:v>4935</c:v>
                </c:pt>
                <c:pt idx="36">
                  <c:v>5379</c:v>
                </c:pt>
                <c:pt idx="37">
                  <c:v>3650</c:v>
                </c:pt>
                <c:pt idx="38">
                  <c:v>4134</c:v>
                </c:pt>
                <c:pt idx="39">
                  <c:v>3319</c:v>
                </c:pt>
                <c:pt idx="40">
                  <c:v>2561</c:v>
                </c:pt>
                <c:pt idx="41">
                  <c:v>2700</c:v>
                </c:pt>
                <c:pt idx="42">
                  <c:v>2725</c:v>
                </c:pt>
                <c:pt idx="43">
                  <c:v>2650</c:v>
                </c:pt>
                <c:pt idx="44">
                  <c:v>2300</c:v>
                </c:pt>
                <c:pt idx="45">
                  <c:v>2300</c:v>
                </c:pt>
                <c:pt idx="46">
                  <c:v>2050</c:v>
                </c:pt>
                <c:pt idx="47">
                  <c:v>2000</c:v>
                </c:pt>
                <c:pt idx="48">
                  <c:v>2000</c:v>
                </c:pt>
                <c:pt idx="49">
                  <c:v>1900</c:v>
                </c:pt>
                <c:pt idx="50" formatCode="_(* #,##0_);_(* \(#,##0\);_(* &quot;-&quot;??_);_(@_)">
                  <c:v>1800</c:v>
                </c:pt>
                <c:pt idx="51" formatCode="_(* #,##0_);_(* \(#,##0\);_(* &quot;-&quot;??_);_(@_)">
                  <c:v>124066.633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421352"/>
        <c:axId val="309422920"/>
      </c:lineChart>
      <c:catAx>
        <c:axId val="309421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2920"/>
        <c:crosses val="autoZero"/>
        <c:auto val="1"/>
        <c:lblAlgn val="ctr"/>
        <c:lblOffset val="100"/>
        <c:noMultiLvlLbl val="0"/>
      </c:catAx>
      <c:valAx>
        <c:axId val="30942292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0942135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78"/>
          <c:w val="0.91165128933230188"/>
          <c:h val="0.1078068583210106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19"/>
          <c:w val="0.8452459084856948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Chi!$C$22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Chi!$D$22:$BD$22</c:f>
              <c:numCache>
                <c:formatCode>General</c:formatCode>
                <c:ptCount val="53"/>
                <c:pt idx="0">
                  <c:v>770</c:v>
                </c:pt>
                <c:pt idx="1">
                  <c:v>635</c:v>
                </c:pt>
                <c:pt idx="2" formatCode="#,##0">
                  <c:v>1280</c:v>
                </c:pt>
                <c:pt idx="3" formatCode="#,##0">
                  <c:v>1200</c:v>
                </c:pt>
                <c:pt idx="4" formatCode="#,##0">
                  <c:v>1496</c:v>
                </c:pt>
                <c:pt idx="5" formatCode="#,##0">
                  <c:v>1688</c:v>
                </c:pt>
                <c:pt idx="6" formatCode="#,##0">
                  <c:v>1631</c:v>
                </c:pt>
                <c:pt idx="7" formatCode="#,##0">
                  <c:v>1814</c:v>
                </c:pt>
                <c:pt idx="8" formatCode="#,##0">
                  <c:v>1634</c:v>
                </c:pt>
                <c:pt idx="9" formatCode="#,##0">
                  <c:v>1996</c:v>
                </c:pt>
                <c:pt idx="10" formatCode="#,##0">
                  <c:v>2096</c:v>
                </c:pt>
                <c:pt idx="11" formatCode="#,##0">
                  <c:v>2042</c:v>
                </c:pt>
                <c:pt idx="12" formatCode="#,##0">
                  <c:v>2150</c:v>
                </c:pt>
                <c:pt idx="13" formatCode="#,##0">
                  <c:v>2365</c:v>
                </c:pt>
                <c:pt idx="14" formatCode="#,##0">
                  <c:v>2257</c:v>
                </c:pt>
                <c:pt idx="15" formatCode="#,##0">
                  <c:v>2311</c:v>
                </c:pt>
                <c:pt idx="16" formatCode="#,##0">
                  <c:v>1870</c:v>
                </c:pt>
                <c:pt idx="17" formatCode="#,##0">
                  <c:v>2140</c:v>
                </c:pt>
                <c:pt idx="18" formatCode="#,##0">
                  <c:v>2530</c:v>
                </c:pt>
                <c:pt idx="19" formatCode="#,##0">
                  <c:v>2507</c:v>
                </c:pt>
                <c:pt idx="20" formatCode="#,##0">
                  <c:v>3220</c:v>
                </c:pt>
                <c:pt idx="21" formatCode="#,##0">
                  <c:v>3650</c:v>
                </c:pt>
                <c:pt idx="22" formatCode="#,##0">
                  <c:v>4132</c:v>
                </c:pt>
                <c:pt idx="23" formatCode="#,##0">
                  <c:v>3825</c:v>
                </c:pt>
                <c:pt idx="24" formatCode="#,##0">
                  <c:v>4627</c:v>
                </c:pt>
                <c:pt idx="25" formatCode="#,##0">
                  <c:v>5535</c:v>
                </c:pt>
                <c:pt idx="26" formatCode="#,##0">
                  <c:v>5774</c:v>
                </c:pt>
                <c:pt idx="27" formatCode="#,##0">
                  <c:v>4706</c:v>
                </c:pt>
                <c:pt idx="28" formatCode="#,##0">
                  <c:v>5312</c:v>
                </c:pt>
                <c:pt idx="29" formatCode="#,##0">
                  <c:v>5618</c:v>
                </c:pt>
                <c:pt idx="30" formatCode="#,##0">
                  <c:v>6765</c:v>
                </c:pt>
                <c:pt idx="31" formatCode="#,##0">
                  <c:v>8492</c:v>
                </c:pt>
                <c:pt idx="32" formatCode="#,##0">
                  <c:v>8300</c:v>
                </c:pt>
                <c:pt idx="33" formatCode="#,##0">
                  <c:v>6505</c:v>
                </c:pt>
                <c:pt idx="34" formatCode="#,##0">
                  <c:v>6299</c:v>
                </c:pt>
                <c:pt idx="35" formatCode="#,##0">
                  <c:v>6686</c:v>
                </c:pt>
                <c:pt idx="36" formatCode="#,##0">
                  <c:v>7789</c:v>
                </c:pt>
                <c:pt idx="37" formatCode="#,##0">
                  <c:v>8631</c:v>
                </c:pt>
                <c:pt idx="38" formatCode="#,##0">
                  <c:v>8969</c:v>
                </c:pt>
                <c:pt idx="39" formatCode="#,##0">
                  <c:v>6947</c:v>
                </c:pt>
                <c:pt idx="40" formatCode="#,##0">
                  <c:v>6849</c:v>
                </c:pt>
                <c:pt idx="41" formatCode="#,##0">
                  <c:v>8305</c:v>
                </c:pt>
                <c:pt idx="42" formatCode="#,##0">
                  <c:v>11380</c:v>
                </c:pt>
                <c:pt idx="43" formatCode="#,##0">
                  <c:v>10734</c:v>
                </c:pt>
                <c:pt idx="44" formatCode="#,##0">
                  <c:v>9826</c:v>
                </c:pt>
                <c:pt idx="45" formatCode="#,##0">
                  <c:v>9446</c:v>
                </c:pt>
                <c:pt idx="46" formatCode="#,##0">
                  <c:v>12855</c:v>
                </c:pt>
                <c:pt idx="47" formatCode="#,##0">
                  <c:v>15898</c:v>
                </c:pt>
                <c:pt idx="48" formatCode="#,##0">
                  <c:v>13317</c:v>
                </c:pt>
                <c:pt idx="49" formatCode="#,##0">
                  <c:v>11500</c:v>
                </c:pt>
                <c:pt idx="50" formatCode="_(* #,##0_);_(* \(#,##0\);_(* &quot;-&quot;??_);_(@_)">
                  <c:v>12670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Chi!$C$23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Chi!$D$23:$BD$23</c:f>
              <c:numCache>
                <c:formatCode>General</c:formatCode>
                <c:ptCount val="53"/>
                <c:pt idx="0">
                  <c:v>900</c:v>
                </c:pt>
                <c:pt idx="1">
                  <c:v>700</c:v>
                </c:pt>
                <c:pt idx="2">
                  <c:v>0</c:v>
                </c:pt>
                <c:pt idx="3">
                  <c:v>310</c:v>
                </c:pt>
                <c:pt idx="4">
                  <c:v>350</c:v>
                </c:pt>
                <c:pt idx="5">
                  <c:v>500</c:v>
                </c:pt>
                <c:pt idx="6">
                  <c:v>450</c:v>
                </c:pt>
                <c:pt idx="7">
                  <c:v>480</c:v>
                </c:pt>
                <c:pt idx="8">
                  <c:v>450</c:v>
                </c:pt>
                <c:pt idx="9">
                  <c:v>430</c:v>
                </c:pt>
                <c:pt idx="10">
                  <c:v>350</c:v>
                </c:pt>
                <c:pt idx="11">
                  <c:v>600</c:v>
                </c:pt>
                <c:pt idx="12">
                  <c:v>750</c:v>
                </c:pt>
                <c:pt idx="13">
                  <c:v>610</c:v>
                </c:pt>
                <c:pt idx="14">
                  <c:v>410</c:v>
                </c:pt>
                <c:pt idx="15">
                  <c:v>600</c:v>
                </c:pt>
                <c:pt idx="16" formatCode="#,##0">
                  <c:v>1500</c:v>
                </c:pt>
                <c:pt idx="17" formatCode="#,##0">
                  <c:v>1400</c:v>
                </c:pt>
                <c:pt idx="18" formatCode="#,##0">
                  <c:v>1300</c:v>
                </c:pt>
                <c:pt idx="19" formatCode="#,##0">
                  <c:v>1173</c:v>
                </c:pt>
                <c:pt idx="20" formatCode="#,##0">
                  <c:v>1100</c:v>
                </c:pt>
                <c:pt idx="21" formatCode="#,##0">
                  <c:v>2150</c:v>
                </c:pt>
                <c:pt idx="22" formatCode="#,##0">
                  <c:v>2480</c:v>
                </c:pt>
                <c:pt idx="23" formatCode="#,##0">
                  <c:v>1150</c:v>
                </c:pt>
                <c:pt idx="24" formatCode="#,##0">
                  <c:v>1890</c:v>
                </c:pt>
                <c:pt idx="25" formatCode="#,##0">
                  <c:v>1216</c:v>
                </c:pt>
                <c:pt idx="26" formatCode="#,##0">
                  <c:v>1507</c:v>
                </c:pt>
                <c:pt idx="27" formatCode="#,##0">
                  <c:v>3700</c:v>
                </c:pt>
                <c:pt idx="28" formatCode="#,##0">
                  <c:v>2462</c:v>
                </c:pt>
                <c:pt idx="29" formatCode="#,##0">
                  <c:v>1132</c:v>
                </c:pt>
                <c:pt idx="30" formatCode="#,##0">
                  <c:v>1055</c:v>
                </c:pt>
                <c:pt idx="31" formatCode="#,##0">
                  <c:v>1230</c:v>
                </c:pt>
                <c:pt idx="32">
                  <c:v>506</c:v>
                </c:pt>
                <c:pt idx="33" formatCode="#,##0">
                  <c:v>1469</c:v>
                </c:pt>
                <c:pt idx="34" formatCode="#,##0">
                  <c:v>4110</c:v>
                </c:pt>
                <c:pt idx="35" formatCode="#,##0">
                  <c:v>1775</c:v>
                </c:pt>
                <c:pt idx="36" formatCode="#,##0">
                  <c:v>1014</c:v>
                </c:pt>
                <c:pt idx="37">
                  <c:v>420</c:v>
                </c:pt>
                <c:pt idx="38">
                  <c:v>517</c:v>
                </c:pt>
                <c:pt idx="39">
                  <c:v>687</c:v>
                </c:pt>
                <c:pt idx="40" formatCode="#,##0">
                  <c:v>1083</c:v>
                </c:pt>
                <c:pt idx="41" formatCode="#,##0">
                  <c:v>1375</c:v>
                </c:pt>
                <c:pt idx="42">
                  <c:v>842</c:v>
                </c:pt>
                <c:pt idx="43" formatCode="#,##0">
                  <c:v>1235</c:v>
                </c:pt>
                <c:pt idx="44" formatCode="#,##0">
                  <c:v>1360</c:v>
                </c:pt>
                <c:pt idx="45" formatCode="#,##0">
                  <c:v>1234</c:v>
                </c:pt>
                <c:pt idx="46" formatCode="#,##0">
                  <c:v>1465</c:v>
                </c:pt>
                <c:pt idx="47">
                  <c:v>972</c:v>
                </c:pt>
                <c:pt idx="48" formatCode="#,##0">
                  <c:v>1077</c:v>
                </c:pt>
                <c:pt idx="49" formatCode="#,##0">
                  <c:v>1500</c:v>
                </c:pt>
                <c:pt idx="50" formatCode="_(* #,##0_);_(* \(#,##0\);_(* &quot;-&quot;??_);_(@_)">
                  <c:v>1800</c:v>
                </c:pt>
                <c:pt idx="51" formatCode="_(* #,##0_);_(* \(#,##0\);_(* &quot;-&quot;??_);_(@_)">
                  <c:v>2985.2260000000001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Chi!$C$24</c:f>
              <c:strCache>
                <c:ptCount val="1"/>
                <c:pt idx="0">
                  <c:v>Total 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Chi!$D$24:$BD$24</c:f>
              <c:numCache>
                <c:formatCode>General</c:formatCode>
                <c:ptCount val="53"/>
                <c:pt idx="0">
                  <c:v>75</c:v>
                </c:pt>
                <c:pt idx="1">
                  <c:v>230</c:v>
                </c:pt>
                <c:pt idx="2">
                  <c:v>250</c:v>
                </c:pt>
                <c:pt idx="3">
                  <c:v>370</c:v>
                </c:pt>
                <c:pt idx="4">
                  <c:v>350</c:v>
                </c:pt>
                <c:pt idx="5">
                  <c:v>420</c:v>
                </c:pt>
                <c:pt idx="6">
                  <c:v>350</c:v>
                </c:pt>
                <c:pt idx="7">
                  <c:v>280</c:v>
                </c:pt>
                <c:pt idx="8">
                  <c:v>150</c:v>
                </c:pt>
                <c:pt idx="9">
                  <c:v>100</c:v>
                </c:pt>
                <c:pt idx="10">
                  <c:v>100</c:v>
                </c:pt>
                <c:pt idx="11">
                  <c:v>110</c:v>
                </c:pt>
                <c:pt idx="12">
                  <c:v>150</c:v>
                </c:pt>
                <c:pt idx="13">
                  <c:v>80</c:v>
                </c:pt>
                <c:pt idx="14">
                  <c:v>80</c:v>
                </c:pt>
                <c:pt idx="15">
                  <c:v>50</c:v>
                </c:pt>
                <c:pt idx="16">
                  <c:v>173</c:v>
                </c:pt>
                <c:pt idx="17">
                  <c:v>120</c:v>
                </c:pt>
                <c:pt idx="18">
                  <c:v>115</c:v>
                </c:pt>
                <c:pt idx="19">
                  <c:v>235</c:v>
                </c:pt>
                <c:pt idx="20">
                  <c:v>100</c:v>
                </c:pt>
                <c:pt idx="21">
                  <c:v>173</c:v>
                </c:pt>
                <c:pt idx="22">
                  <c:v>72</c:v>
                </c:pt>
                <c:pt idx="23">
                  <c:v>54</c:v>
                </c:pt>
                <c:pt idx="24">
                  <c:v>116</c:v>
                </c:pt>
                <c:pt idx="25">
                  <c:v>271</c:v>
                </c:pt>
                <c:pt idx="26">
                  <c:v>459</c:v>
                </c:pt>
                <c:pt idx="27">
                  <c:v>310</c:v>
                </c:pt>
                <c:pt idx="28">
                  <c:v>275</c:v>
                </c:pt>
                <c:pt idx="29">
                  <c:v>624</c:v>
                </c:pt>
                <c:pt idx="30">
                  <c:v>320</c:v>
                </c:pt>
                <c:pt idx="31" formatCode="#,##0">
                  <c:v>1420</c:v>
                </c:pt>
                <c:pt idx="32" formatCode="#,##0">
                  <c:v>1500</c:v>
                </c:pt>
                <c:pt idx="33" formatCode="#,##0">
                  <c:v>1114</c:v>
                </c:pt>
                <c:pt idx="34">
                  <c:v>414</c:v>
                </c:pt>
                <c:pt idx="35">
                  <c:v>952</c:v>
                </c:pt>
                <c:pt idx="36">
                  <c:v>435</c:v>
                </c:pt>
                <c:pt idx="37">
                  <c:v>308</c:v>
                </c:pt>
                <c:pt idx="38">
                  <c:v>453</c:v>
                </c:pt>
                <c:pt idx="39">
                  <c:v>433</c:v>
                </c:pt>
                <c:pt idx="40">
                  <c:v>129</c:v>
                </c:pt>
                <c:pt idx="41">
                  <c:v>460</c:v>
                </c:pt>
                <c:pt idx="42">
                  <c:v>120</c:v>
                </c:pt>
                <c:pt idx="43">
                  <c:v>67</c:v>
                </c:pt>
                <c:pt idx="44">
                  <c:v>352</c:v>
                </c:pt>
                <c:pt idx="45">
                  <c:v>234</c:v>
                </c:pt>
                <c:pt idx="46">
                  <c:v>122</c:v>
                </c:pt>
                <c:pt idx="47">
                  <c:v>56</c:v>
                </c:pt>
                <c:pt idx="48">
                  <c:v>75</c:v>
                </c:pt>
                <c:pt idx="49">
                  <c:v>94</c:v>
                </c:pt>
                <c:pt idx="50" formatCode="_(* #,##0_);_(* \(#,##0\);_(* &quot;-&quot;??_);_(@_)">
                  <c:v>55</c:v>
                </c:pt>
                <c:pt idx="51" formatCode="_(* #,##0_);_(* \(#,##0\);_(* &quot;-&quot;??_);_(@_)">
                  <c:v>7.8140000000000001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Chi!$C$25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Chi!$D$25:$BD$25</c:f>
              <c:numCache>
                <c:formatCode>#,##0</c:formatCode>
                <c:ptCount val="53"/>
                <c:pt idx="0">
                  <c:v>1595</c:v>
                </c:pt>
                <c:pt idx="1">
                  <c:v>1105</c:v>
                </c:pt>
                <c:pt idx="2">
                  <c:v>1030</c:v>
                </c:pt>
                <c:pt idx="3">
                  <c:v>1140</c:v>
                </c:pt>
                <c:pt idx="4">
                  <c:v>1496</c:v>
                </c:pt>
                <c:pt idx="5">
                  <c:v>1768</c:v>
                </c:pt>
                <c:pt idx="6">
                  <c:v>1731</c:v>
                </c:pt>
                <c:pt idx="7">
                  <c:v>2014</c:v>
                </c:pt>
                <c:pt idx="8">
                  <c:v>1934</c:v>
                </c:pt>
                <c:pt idx="9">
                  <c:v>2326</c:v>
                </c:pt>
                <c:pt idx="10">
                  <c:v>2346</c:v>
                </c:pt>
                <c:pt idx="11">
                  <c:v>2532</c:v>
                </c:pt>
                <c:pt idx="12">
                  <c:v>2750</c:v>
                </c:pt>
                <c:pt idx="13">
                  <c:v>2895</c:v>
                </c:pt>
                <c:pt idx="14">
                  <c:v>2587</c:v>
                </c:pt>
                <c:pt idx="15">
                  <c:v>2861</c:v>
                </c:pt>
                <c:pt idx="16">
                  <c:v>3197</c:v>
                </c:pt>
                <c:pt idx="17">
                  <c:v>3420</c:v>
                </c:pt>
                <c:pt idx="18">
                  <c:v>3715</c:v>
                </c:pt>
                <c:pt idx="19">
                  <c:v>3445</c:v>
                </c:pt>
                <c:pt idx="20">
                  <c:v>4220</c:v>
                </c:pt>
                <c:pt idx="21">
                  <c:v>5627</c:v>
                </c:pt>
                <c:pt idx="22">
                  <c:v>6540</c:v>
                </c:pt>
                <c:pt idx="23">
                  <c:v>4921</c:v>
                </c:pt>
                <c:pt idx="24">
                  <c:v>6401</c:v>
                </c:pt>
                <c:pt idx="25">
                  <c:v>6480</c:v>
                </c:pt>
                <c:pt idx="26">
                  <c:v>6822</c:v>
                </c:pt>
                <c:pt idx="27">
                  <c:v>8096</c:v>
                </c:pt>
                <c:pt idx="28">
                  <c:v>7499</c:v>
                </c:pt>
                <c:pt idx="29">
                  <c:v>6126</c:v>
                </c:pt>
                <c:pt idx="30">
                  <c:v>7500</c:v>
                </c:pt>
                <c:pt idx="31">
                  <c:v>8302</c:v>
                </c:pt>
                <c:pt idx="32">
                  <c:v>7306</c:v>
                </c:pt>
                <c:pt idx="33">
                  <c:v>6860</c:v>
                </c:pt>
                <c:pt idx="34">
                  <c:v>9995</c:v>
                </c:pt>
                <c:pt idx="35">
                  <c:v>7509</c:v>
                </c:pt>
                <c:pt idx="36">
                  <c:v>8368</c:v>
                </c:pt>
                <c:pt idx="37">
                  <c:v>8743</c:v>
                </c:pt>
                <c:pt idx="38">
                  <c:v>9033</c:v>
                </c:pt>
                <c:pt idx="39">
                  <c:v>7201</c:v>
                </c:pt>
                <c:pt idx="40">
                  <c:v>7803</c:v>
                </c:pt>
                <c:pt idx="41">
                  <c:v>9220</c:v>
                </c:pt>
                <c:pt idx="42">
                  <c:v>12102</c:v>
                </c:pt>
                <c:pt idx="43">
                  <c:v>11902</c:v>
                </c:pt>
                <c:pt idx="44">
                  <c:v>10834</c:v>
                </c:pt>
                <c:pt idx="45">
                  <c:v>10446</c:v>
                </c:pt>
                <c:pt idx="46">
                  <c:v>14198</c:v>
                </c:pt>
                <c:pt idx="47">
                  <c:v>16814</c:v>
                </c:pt>
                <c:pt idx="48">
                  <c:v>14319</c:v>
                </c:pt>
                <c:pt idx="49">
                  <c:v>12906</c:v>
                </c:pt>
                <c:pt idx="50" formatCode="_(* #,##0_);_(* \(#,##0\);_(* &quot;-&quot;??_);_(@_)">
                  <c:v>14415</c:v>
                </c:pt>
                <c:pt idx="51" formatCode="_(* #,##0_);_(* \(#,##0\);_(* &quot;-&quot;??_);_(@_)">
                  <c:v>2977.4120000000003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701544"/>
        <c:axId val="133702328"/>
      </c:lineChart>
      <c:catAx>
        <c:axId val="133701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2328"/>
        <c:crosses val="autoZero"/>
        <c:auto val="1"/>
        <c:lblAlgn val="ctr"/>
        <c:lblOffset val="100"/>
        <c:noMultiLvlLbl val="0"/>
      </c:catAx>
      <c:valAx>
        <c:axId val="13370232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15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"/>
          <c:w val="0.91165128933230188"/>
          <c:h val="0.107806858321010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27"/>
          <c:w val="0.845245908485695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Chi!$C$26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Chi!$D$26:$BD$26</c:f>
              <c:numCache>
                <c:formatCode>#,##0</c:formatCode>
                <c:ptCount val="53"/>
                <c:pt idx="0">
                  <c:v>20960</c:v>
                </c:pt>
                <c:pt idx="1">
                  <c:v>14250</c:v>
                </c:pt>
                <c:pt idx="2">
                  <c:v>16665</c:v>
                </c:pt>
                <c:pt idx="3">
                  <c:v>18475</c:v>
                </c:pt>
                <c:pt idx="4">
                  <c:v>20840</c:v>
                </c:pt>
                <c:pt idx="5">
                  <c:v>25220</c:v>
                </c:pt>
                <c:pt idx="6">
                  <c:v>25280</c:v>
                </c:pt>
                <c:pt idx="7">
                  <c:v>28485</c:v>
                </c:pt>
                <c:pt idx="8">
                  <c:v>27455</c:v>
                </c:pt>
                <c:pt idx="9">
                  <c:v>27285</c:v>
                </c:pt>
                <c:pt idx="10">
                  <c:v>29185</c:v>
                </c:pt>
                <c:pt idx="11">
                  <c:v>32575</c:v>
                </c:pt>
                <c:pt idx="12">
                  <c:v>35985</c:v>
                </c:pt>
                <c:pt idx="13">
                  <c:v>35225</c:v>
                </c:pt>
                <c:pt idx="14">
                  <c:v>40865</c:v>
                </c:pt>
                <c:pt idx="15">
                  <c:v>45310</c:v>
                </c:pt>
                <c:pt idx="16">
                  <c:v>50385</c:v>
                </c:pt>
                <c:pt idx="17">
                  <c:v>41075</c:v>
                </c:pt>
                <c:pt idx="18">
                  <c:v>53840</c:v>
                </c:pt>
                <c:pt idx="19">
                  <c:v>62730</c:v>
                </c:pt>
                <c:pt idx="20">
                  <c:v>55210</c:v>
                </c:pt>
                <c:pt idx="21">
                  <c:v>59640</c:v>
                </c:pt>
                <c:pt idx="22">
                  <c:v>68470</c:v>
                </c:pt>
                <c:pt idx="23">
                  <c:v>81390</c:v>
                </c:pt>
                <c:pt idx="24">
                  <c:v>87815</c:v>
                </c:pt>
                <c:pt idx="25">
                  <c:v>85810</c:v>
                </c:pt>
                <c:pt idx="26">
                  <c:v>90040</c:v>
                </c:pt>
                <c:pt idx="27">
                  <c:v>87764</c:v>
                </c:pt>
                <c:pt idx="28">
                  <c:v>85432</c:v>
                </c:pt>
                <c:pt idx="29">
                  <c:v>90807</c:v>
                </c:pt>
                <c:pt idx="30">
                  <c:v>98229</c:v>
                </c:pt>
                <c:pt idx="31">
                  <c:v>96000</c:v>
                </c:pt>
                <c:pt idx="32">
                  <c:v>101590</c:v>
                </c:pt>
                <c:pt idx="33">
                  <c:v>106390</c:v>
                </c:pt>
                <c:pt idx="34">
                  <c:v>99300</c:v>
                </c:pt>
                <c:pt idx="35">
                  <c:v>102215</c:v>
                </c:pt>
                <c:pt idx="36">
                  <c:v>110570</c:v>
                </c:pt>
                <c:pt idx="37">
                  <c:v>123289</c:v>
                </c:pt>
                <c:pt idx="38">
                  <c:v>109726</c:v>
                </c:pt>
                <c:pt idx="39">
                  <c:v>113880</c:v>
                </c:pt>
                <c:pt idx="40">
                  <c:v>99640</c:v>
                </c:pt>
                <c:pt idx="41">
                  <c:v>93873</c:v>
                </c:pt>
                <c:pt idx="42">
                  <c:v>90290</c:v>
                </c:pt>
                <c:pt idx="43">
                  <c:v>86490</c:v>
                </c:pt>
                <c:pt idx="44">
                  <c:v>91952</c:v>
                </c:pt>
                <c:pt idx="45">
                  <c:v>97445</c:v>
                </c:pt>
                <c:pt idx="46">
                  <c:v>108466</c:v>
                </c:pt>
                <c:pt idx="47">
                  <c:v>109298</c:v>
                </c:pt>
                <c:pt idx="48">
                  <c:v>112464</c:v>
                </c:pt>
                <c:pt idx="49">
                  <c:v>115120</c:v>
                </c:pt>
                <c:pt idx="50" formatCode="_(* #,##0_);_(* \(#,##0\);_(* &quot;-&quot;??_);_(@_)">
                  <c:v>114500</c:v>
                </c:pt>
                <c:pt idx="51" formatCode="_(* #,##0_);_(* \(#,##0\);_(* &quot;-&quot;??_);_(@_)">
                  <c:v>117414.034</c:v>
                </c:pt>
                <c:pt idx="52" formatCode="_(* #,##0_);_(* \(#,##0\);_(* &quot;-&quot;??_);_(@_)">
                  <c:v>120586.859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Chi!$C$27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Chi!$D$27:$BD$27</c:f>
              <c:numCache>
                <c:formatCode>#,##0</c:formatCode>
                <c:ptCount val="53"/>
                <c:pt idx="0">
                  <c:v>1949</c:v>
                </c:pt>
                <c:pt idx="1">
                  <c:v>4893</c:v>
                </c:pt>
                <c:pt idx="2">
                  <c:v>4892</c:v>
                </c:pt>
                <c:pt idx="3">
                  <c:v>5208</c:v>
                </c:pt>
                <c:pt idx="4">
                  <c:v>5032</c:v>
                </c:pt>
                <c:pt idx="5">
                  <c:v>6282</c:v>
                </c:pt>
                <c:pt idx="6">
                  <c:v>5025</c:v>
                </c:pt>
                <c:pt idx="7">
                  <c:v>4156</c:v>
                </c:pt>
                <c:pt idx="8">
                  <c:v>3537</c:v>
                </c:pt>
                <c:pt idx="9">
                  <c:v>5125</c:v>
                </c:pt>
                <c:pt idx="10">
                  <c:v>3661</c:v>
                </c:pt>
                <c:pt idx="11">
                  <c:v>2968</c:v>
                </c:pt>
                <c:pt idx="12">
                  <c:v>5290</c:v>
                </c:pt>
                <c:pt idx="13">
                  <c:v>5645</c:v>
                </c:pt>
                <c:pt idx="14">
                  <c:v>5746</c:v>
                </c:pt>
                <c:pt idx="15">
                  <c:v>2200</c:v>
                </c:pt>
                <c:pt idx="16">
                  <c:v>3158</c:v>
                </c:pt>
                <c:pt idx="17">
                  <c:v>8600</c:v>
                </c:pt>
                <c:pt idx="18">
                  <c:v>8047</c:v>
                </c:pt>
                <c:pt idx="19">
                  <c:v>8865</c:v>
                </c:pt>
                <c:pt idx="20">
                  <c:v>13789</c:v>
                </c:pt>
                <c:pt idx="21">
                  <c:v>13200</c:v>
                </c:pt>
                <c:pt idx="22">
                  <c:v>13000</c:v>
                </c:pt>
                <c:pt idx="23">
                  <c:v>9600</c:v>
                </c:pt>
                <c:pt idx="24">
                  <c:v>7400</c:v>
                </c:pt>
                <c:pt idx="25">
                  <c:v>6600</c:v>
                </c:pt>
                <c:pt idx="26">
                  <c:v>8817</c:v>
                </c:pt>
                <c:pt idx="27">
                  <c:v>15327</c:v>
                </c:pt>
                <c:pt idx="28">
                  <c:v>15384</c:v>
                </c:pt>
                <c:pt idx="29">
                  <c:v>12800</c:v>
                </c:pt>
                <c:pt idx="30">
                  <c:v>9409</c:v>
                </c:pt>
                <c:pt idx="31">
                  <c:v>15863</c:v>
                </c:pt>
                <c:pt idx="32">
                  <c:v>6728</c:v>
                </c:pt>
                <c:pt idx="33">
                  <c:v>4320</c:v>
                </c:pt>
                <c:pt idx="34">
                  <c:v>10256</c:v>
                </c:pt>
                <c:pt idx="35">
                  <c:v>12531</c:v>
                </c:pt>
                <c:pt idx="36">
                  <c:v>2705</c:v>
                </c:pt>
                <c:pt idx="37">
                  <c:v>1916</c:v>
                </c:pt>
                <c:pt idx="38" formatCode="General">
                  <c:v>829</c:v>
                </c:pt>
                <c:pt idx="39">
                  <c:v>1010</c:v>
                </c:pt>
                <c:pt idx="40" formatCode="General">
                  <c:v>195</c:v>
                </c:pt>
                <c:pt idx="41">
                  <c:v>1092</c:v>
                </c:pt>
                <c:pt idx="42" formatCode="General">
                  <c:v>418</c:v>
                </c:pt>
                <c:pt idx="43">
                  <c:v>3749</c:v>
                </c:pt>
                <c:pt idx="44">
                  <c:v>6747</c:v>
                </c:pt>
                <c:pt idx="45">
                  <c:v>1018</c:v>
                </c:pt>
                <c:pt idx="46" formatCode="General">
                  <c:v>388</c:v>
                </c:pt>
                <c:pt idx="47" formatCode="General">
                  <c:v>49</c:v>
                </c:pt>
                <c:pt idx="48" formatCode="General">
                  <c:v>481</c:v>
                </c:pt>
                <c:pt idx="49">
                  <c:v>1394</c:v>
                </c:pt>
                <c:pt idx="50" formatCode="_(* #,##0_);_(* \(#,##0\);_(* &quot;-&quot;??_);_(@_)">
                  <c:v>1000</c:v>
                </c:pt>
                <c:pt idx="51" formatCode="_(* #,##0_);_(* \(#,##0\);_(* &quot;-&quot;??_);_(@_)">
                  <c:v>2612.288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Chi!$C$28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Chi!$D$28:$BD$28</c:f>
              <c:numCache>
                <c:formatCode>General</c:formatCode>
                <c:ptCount val="53"/>
                <c:pt idx="0">
                  <c:v>2</c:v>
                </c:pt>
                <c:pt idx="1">
                  <c:v>122</c:v>
                </c:pt>
                <c:pt idx="2">
                  <c:v>89</c:v>
                </c:pt>
                <c:pt idx="3">
                  <c:v>113</c:v>
                </c:pt>
                <c:pt idx="4">
                  <c:v>115</c:v>
                </c:pt>
                <c:pt idx="5">
                  <c:v>4</c:v>
                </c:pt>
                <c:pt idx="6">
                  <c:v>30</c:v>
                </c:pt>
                <c:pt idx="7">
                  <c:v>13</c:v>
                </c:pt>
                <c:pt idx="8">
                  <c:v>1</c:v>
                </c:pt>
                <c:pt idx="9">
                  <c:v>1</c:v>
                </c:pt>
                <c:pt idx="10">
                  <c:v>3</c:v>
                </c:pt>
                <c:pt idx="11">
                  <c:v>5</c:v>
                </c:pt>
                <c:pt idx="12">
                  <c:v>5</c:v>
                </c:pt>
                <c:pt idx="13">
                  <c:v>5</c:v>
                </c:pt>
                <c:pt idx="14">
                  <c:v>5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7</c:v>
                </c:pt>
                <c:pt idx="27">
                  <c:v>7</c:v>
                </c:pt>
                <c:pt idx="28">
                  <c:v>8</c:v>
                </c:pt>
                <c:pt idx="29">
                  <c:v>8</c:v>
                </c:pt>
                <c:pt idx="30">
                  <c:v>8</c:v>
                </c:pt>
                <c:pt idx="31">
                  <c:v>10</c:v>
                </c:pt>
                <c:pt idx="32">
                  <c:v>184</c:v>
                </c:pt>
                <c:pt idx="33">
                  <c:v>631</c:v>
                </c:pt>
                <c:pt idx="34">
                  <c:v>411</c:v>
                </c:pt>
                <c:pt idx="35">
                  <c:v>496</c:v>
                </c:pt>
                <c:pt idx="36">
                  <c:v>969</c:v>
                </c:pt>
                <c:pt idx="37" formatCode="#,##0">
                  <c:v>1162</c:v>
                </c:pt>
                <c:pt idx="38">
                  <c:v>542</c:v>
                </c:pt>
                <c:pt idx="39">
                  <c:v>542</c:v>
                </c:pt>
                <c:pt idx="40">
                  <c:v>623</c:v>
                </c:pt>
                <c:pt idx="41" formatCode="#,##0">
                  <c:v>1512</c:v>
                </c:pt>
                <c:pt idx="42" formatCode="#,##0">
                  <c:v>1718</c:v>
                </c:pt>
                <c:pt idx="43" formatCode="#,##0">
                  <c:v>2824</c:v>
                </c:pt>
                <c:pt idx="44" formatCode="#,##0">
                  <c:v>1171</c:v>
                </c:pt>
                <c:pt idx="45" formatCode="#,##0">
                  <c:v>1397</c:v>
                </c:pt>
                <c:pt idx="46" formatCode="#,##0">
                  <c:v>2783</c:v>
                </c:pt>
                <c:pt idx="47" formatCode="#,##0">
                  <c:v>2835</c:v>
                </c:pt>
                <c:pt idx="48">
                  <c:v>723</c:v>
                </c:pt>
                <c:pt idx="49">
                  <c:v>892</c:v>
                </c:pt>
                <c:pt idx="50" formatCode="_(* #,##0_);_(* \(#,##0\);_(* &quot;-&quot;??_);_(@_)">
                  <c:v>1000</c:v>
                </c:pt>
                <c:pt idx="51" formatCode="_(* #,##0_);_(* \(#,##0\);_(* &quot;-&quot;??_);_(@_)">
                  <c:v>39.808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Chi!$C$29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Chi!$D$1:$BD$1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Chi!$D$29:$BD$29</c:f>
              <c:numCache>
                <c:formatCode>#,##0</c:formatCode>
                <c:ptCount val="53"/>
                <c:pt idx="0">
                  <c:v>23907</c:v>
                </c:pt>
                <c:pt idx="1">
                  <c:v>20521</c:v>
                </c:pt>
                <c:pt idx="2">
                  <c:v>19268</c:v>
                </c:pt>
                <c:pt idx="3">
                  <c:v>23070</c:v>
                </c:pt>
                <c:pt idx="4">
                  <c:v>26257</c:v>
                </c:pt>
                <c:pt idx="5">
                  <c:v>30998</c:v>
                </c:pt>
                <c:pt idx="6">
                  <c:v>30275</c:v>
                </c:pt>
                <c:pt idx="7">
                  <c:v>29628</c:v>
                </c:pt>
                <c:pt idx="8">
                  <c:v>30991</c:v>
                </c:pt>
                <c:pt idx="9">
                  <c:v>32909</c:v>
                </c:pt>
                <c:pt idx="10">
                  <c:v>32343</c:v>
                </c:pt>
                <c:pt idx="11">
                  <c:v>33538</c:v>
                </c:pt>
                <c:pt idx="12">
                  <c:v>37270</c:v>
                </c:pt>
                <c:pt idx="13">
                  <c:v>41365</c:v>
                </c:pt>
                <c:pt idx="14">
                  <c:v>41606</c:v>
                </c:pt>
                <c:pt idx="15">
                  <c:v>43510</c:v>
                </c:pt>
                <c:pt idx="16">
                  <c:v>48543</c:v>
                </c:pt>
                <c:pt idx="17">
                  <c:v>51675</c:v>
                </c:pt>
                <c:pt idx="18">
                  <c:v>52887</c:v>
                </c:pt>
                <c:pt idx="19">
                  <c:v>66595</c:v>
                </c:pt>
                <c:pt idx="20">
                  <c:v>75999</c:v>
                </c:pt>
                <c:pt idx="21">
                  <c:v>78840</c:v>
                </c:pt>
                <c:pt idx="22">
                  <c:v>79470</c:v>
                </c:pt>
                <c:pt idx="23">
                  <c:v>82990</c:v>
                </c:pt>
                <c:pt idx="24">
                  <c:v>89105</c:v>
                </c:pt>
                <c:pt idx="25">
                  <c:v>95155</c:v>
                </c:pt>
                <c:pt idx="26">
                  <c:v>97265</c:v>
                </c:pt>
                <c:pt idx="27">
                  <c:v>99040</c:v>
                </c:pt>
                <c:pt idx="28">
                  <c:v>101826</c:v>
                </c:pt>
                <c:pt idx="29">
                  <c:v>102367</c:v>
                </c:pt>
                <c:pt idx="30">
                  <c:v>102598</c:v>
                </c:pt>
                <c:pt idx="31">
                  <c:v>105429</c:v>
                </c:pt>
                <c:pt idx="32">
                  <c:v>104281</c:v>
                </c:pt>
                <c:pt idx="33">
                  <c:v>105343</c:v>
                </c:pt>
                <c:pt idx="34">
                  <c:v>105355</c:v>
                </c:pt>
                <c:pt idx="35">
                  <c:v>106499</c:v>
                </c:pt>
                <c:pt idx="36">
                  <c:v>107615</c:v>
                </c:pt>
                <c:pt idx="37">
                  <c:v>109056</c:v>
                </c:pt>
                <c:pt idx="38">
                  <c:v>108250</c:v>
                </c:pt>
                <c:pt idx="39">
                  <c:v>109340</c:v>
                </c:pt>
                <c:pt idx="40">
                  <c:v>110278</c:v>
                </c:pt>
                <c:pt idx="41">
                  <c:v>108742</c:v>
                </c:pt>
                <c:pt idx="42">
                  <c:v>105200</c:v>
                </c:pt>
                <c:pt idx="43">
                  <c:v>104500</c:v>
                </c:pt>
                <c:pt idx="44">
                  <c:v>102000</c:v>
                </c:pt>
                <c:pt idx="45">
                  <c:v>101500</c:v>
                </c:pt>
                <c:pt idx="46">
                  <c:v>102000</c:v>
                </c:pt>
                <c:pt idx="47">
                  <c:v>106000</c:v>
                </c:pt>
                <c:pt idx="48">
                  <c:v>105500</c:v>
                </c:pt>
                <c:pt idx="49">
                  <c:v>107000</c:v>
                </c:pt>
                <c:pt idx="50" formatCode="_(* #,##0_);_(* \(#,##0\);_(* &quot;-&quot;??_);_(@_)">
                  <c:v>109500</c:v>
                </c:pt>
                <c:pt idx="51" formatCode="_(* #,##0_);_(* \(#,##0\);_(* &quot;-&quot;??_);_(@_)">
                  <c:v>119986.514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702720"/>
        <c:axId val="133706248"/>
      </c:lineChart>
      <c:catAx>
        <c:axId val="133702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6248"/>
        <c:crosses val="autoZero"/>
        <c:auto val="1"/>
        <c:lblAlgn val="ctr"/>
        <c:lblOffset val="100"/>
        <c:noMultiLvlLbl val="0"/>
      </c:catAx>
      <c:valAx>
        <c:axId val="13370624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27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22"/>
          <c:w val="0.91165128933230188"/>
          <c:h val="0.1078068583210107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Egypt!$C$2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Egypt!$D$2:$BD$2</c:f>
              <c:numCache>
                <c:formatCode>#,##0</c:formatCode>
                <c:ptCount val="53"/>
                <c:pt idx="0">
                  <c:v>1691</c:v>
                </c:pt>
                <c:pt idx="1">
                  <c:v>1617</c:v>
                </c:pt>
                <c:pt idx="2">
                  <c:v>2004</c:v>
                </c:pt>
                <c:pt idx="3">
                  <c:v>1867</c:v>
                </c:pt>
                <c:pt idx="4">
                  <c:v>1934</c:v>
                </c:pt>
                <c:pt idx="5">
                  <c:v>2141</c:v>
                </c:pt>
                <c:pt idx="6">
                  <c:v>2376</c:v>
                </c:pt>
                <c:pt idx="7">
                  <c:v>2167</c:v>
                </c:pt>
                <c:pt idx="8">
                  <c:v>2300</c:v>
                </c:pt>
                <c:pt idx="9">
                  <c:v>2368</c:v>
                </c:pt>
                <c:pt idx="10">
                  <c:v>2397</c:v>
                </c:pt>
                <c:pt idx="11">
                  <c:v>2342</c:v>
                </c:pt>
                <c:pt idx="12">
                  <c:v>2417</c:v>
                </c:pt>
                <c:pt idx="13">
                  <c:v>2500</c:v>
                </c:pt>
                <c:pt idx="14">
                  <c:v>2641</c:v>
                </c:pt>
                <c:pt idx="15">
                  <c:v>2781</c:v>
                </c:pt>
                <c:pt idx="16">
                  <c:v>2710</c:v>
                </c:pt>
                <c:pt idx="17">
                  <c:v>2724</c:v>
                </c:pt>
                <c:pt idx="18">
                  <c:v>3117</c:v>
                </c:pt>
                <c:pt idx="19">
                  <c:v>2938</c:v>
                </c:pt>
                <c:pt idx="20">
                  <c:v>3231</c:v>
                </c:pt>
                <c:pt idx="21">
                  <c:v>3232</c:v>
                </c:pt>
                <c:pt idx="22">
                  <c:v>3347</c:v>
                </c:pt>
                <c:pt idx="23">
                  <c:v>3509</c:v>
                </c:pt>
                <c:pt idx="24">
                  <c:v>3698</c:v>
                </c:pt>
                <c:pt idx="25">
                  <c:v>3699</c:v>
                </c:pt>
                <c:pt idx="26">
                  <c:v>3900</c:v>
                </c:pt>
                <c:pt idx="27">
                  <c:v>4087</c:v>
                </c:pt>
                <c:pt idx="28">
                  <c:v>4287</c:v>
                </c:pt>
                <c:pt idx="29">
                  <c:v>4524</c:v>
                </c:pt>
                <c:pt idx="30">
                  <c:v>4598</c:v>
                </c:pt>
                <c:pt idx="31">
                  <c:v>4431</c:v>
                </c:pt>
                <c:pt idx="32">
                  <c:v>4500</c:v>
                </c:pt>
                <c:pt idx="33">
                  <c:v>4980</c:v>
                </c:pt>
                <c:pt idx="34">
                  <c:v>5650</c:v>
                </c:pt>
                <c:pt idx="35">
                  <c:v>5353</c:v>
                </c:pt>
                <c:pt idx="36">
                  <c:v>5825</c:v>
                </c:pt>
                <c:pt idx="37">
                  <c:v>6010</c:v>
                </c:pt>
                <c:pt idx="38">
                  <c:v>5605</c:v>
                </c:pt>
                <c:pt idx="39">
                  <c:v>5678</c:v>
                </c:pt>
                <c:pt idx="40">
                  <c:v>5636</c:v>
                </c:pt>
                <c:pt idx="41">
                  <c:v>6160</c:v>
                </c:pt>
                <c:pt idx="42">
                  <c:v>6000</c:v>
                </c:pt>
                <c:pt idx="43">
                  <c:v>5740</c:v>
                </c:pt>
                <c:pt idx="44">
                  <c:v>5840</c:v>
                </c:pt>
                <c:pt idx="45">
                  <c:v>5932</c:v>
                </c:pt>
                <c:pt idx="46">
                  <c:v>6149</c:v>
                </c:pt>
                <c:pt idx="47">
                  <c:v>6174</c:v>
                </c:pt>
                <c:pt idx="48">
                  <c:v>6645</c:v>
                </c:pt>
                <c:pt idx="49">
                  <c:v>6280</c:v>
                </c:pt>
                <c:pt idx="50" formatCode="_(* #,##0_);_(* \(#,##0\);_(* &quot;-&quot;??_);_(@_)">
                  <c:v>6876.473</c:v>
                </c:pt>
                <c:pt idx="51" formatCode="_(* #,##0_);_(* \(#,##0\);_(* &quot;-&quot;??_);_(@_)">
                  <c:v>8093.6459999999997</c:v>
                </c:pt>
                <c:pt idx="52" formatCode="_(* #,##0_);_(* \(#,##0\);_(* &quot;-&quot;??_);_(@_)">
                  <c:v>5800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Egypt!$C$3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Egypt!$D$3:$BD$3</c:f>
              <c:numCache>
                <c:formatCode>General</c:formatCode>
                <c:ptCount val="53"/>
                <c:pt idx="0">
                  <c:v>55</c:v>
                </c:pt>
                <c:pt idx="1">
                  <c:v>416</c:v>
                </c:pt>
                <c:pt idx="2">
                  <c:v>183</c:v>
                </c:pt>
                <c:pt idx="3">
                  <c:v>436</c:v>
                </c:pt>
                <c:pt idx="4">
                  <c:v>220</c:v>
                </c:pt>
                <c:pt idx="5">
                  <c:v>237</c:v>
                </c:pt>
                <c:pt idx="6">
                  <c:v>112</c:v>
                </c:pt>
                <c:pt idx="7">
                  <c:v>269</c:v>
                </c:pt>
                <c:pt idx="8">
                  <c:v>15</c:v>
                </c:pt>
                <c:pt idx="9">
                  <c:v>64</c:v>
                </c:pt>
                <c:pt idx="10">
                  <c:v>76</c:v>
                </c:pt>
                <c:pt idx="11">
                  <c:v>48</c:v>
                </c:pt>
                <c:pt idx="12">
                  <c:v>130</c:v>
                </c:pt>
                <c:pt idx="13">
                  <c:v>450</c:v>
                </c:pt>
                <c:pt idx="14">
                  <c:v>465</c:v>
                </c:pt>
                <c:pt idx="15">
                  <c:v>511</c:v>
                </c:pt>
                <c:pt idx="16">
                  <c:v>644</c:v>
                </c:pt>
                <c:pt idx="17">
                  <c:v>533</c:v>
                </c:pt>
                <c:pt idx="18">
                  <c:v>806</c:v>
                </c:pt>
                <c:pt idx="19">
                  <c:v>465</c:v>
                </c:pt>
                <c:pt idx="20">
                  <c:v>984</c:v>
                </c:pt>
                <c:pt idx="21" formatCode="#,##0">
                  <c:v>1344</c:v>
                </c:pt>
                <c:pt idx="22" formatCode="#,##0">
                  <c:v>1215</c:v>
                </c:pt>
                <c:pt idx="23" formatCode="#,##0">
                  <c:v>1563</c:v>
                </c:pt>
                <c:pt idx="24" formatCode="#,##0">
                  <c:v>1722</c:v>
                </c:pt>
                <c:pt idx="25" formatCode="#,##0">
                  <c:v>1881</c:v>
                </c:pt>
                <c:pt idx="26" formatCode="#,##0">
                  <c:v>2035</c:v>
                </c:pt>
                <c:pt idx="27" formatCode="#,##0">
                  <c:v>1399</c:v>
                </c:pt>
                <c:pt idx="28" formatCode="#,##0">
                  <c:v>1255</c:v>
                </c:pt>
                <c:pt idx="29" formatCode="#,##0">
                  <c:v>1254</c:v>
                </c:pt>
                <c:pt idx="30" formatCode="#,##0">
                  <c:v>1943</c:v>
                </c:pt>
                <c:pt idx="31" formatCode="#,##0">
                  <c:v>1442</c:v>
                </c:pt>
                <c:pt idx="32" formatCode="#,##0">
                  <c:v>1797</c:v>
                </c:pt>
                <c:pt idx="33" formatCode="#,##0">
                  <c:v>2095</c:v>
                </c:pt>
                <c:pt idx="34" formatCode="#,##0">
                  <c:v>2648</c:v>
                </c:pt>
                <c:pt idx="35" formatCode="#,##0">
                  <c:v>2257</c:v>
                </c:pt>
                <c:pt idx="36" formatCode="#,##0">
                  <c:v>3201</c:v>
                </c:pt>
                <c:pt idx="37" formatCode="#,##0">
                  <c:v>3245</c:v>
                </c:pt>
                <c:pt idx="38" formatCode="#,##0">
                  <c:v>3687</c:v>
                </c:pt>
                <c:pt idx="39" formatCode="#,##0">
                  <c:v>4600</c:v>
                </c:pt>
                <c:pt idx="40" formatCode="#,##0">
                  <c:v>5268</c:v>
                </c:pt>
                <c:pt idx="41" formatCode="#,##0">
                  <c:v>4905</c:v>
                </c:pt>
                <c:pt idx="42" formatCode="#,##0">
                  <c:v>4848</c:v>
                </c:pt>
                <c:pt idx="43" formatCode="#,##0">
                  <c:v>3743</c:v>
                </c:pt>
                <c:pt idx="44" formatCode="#,##0">
                  <c:v>5398</c:v>
                </c:pt>
                <c:pt idx="45" formatCode="#,##0">
                  <c:v>4397</c:v>
                </c:pt>
                <c:pt idx="46" formatCode="#,##0">
                  <c:v>4826</c:v>
                </c:pt>
                <c:pt idx="47" formatCode="#,##0">
                  <c:v>4151</c:v>
                </c:pt>
                <c:pt idx="48" formatCode="#,##0">
                  <c:v>5031</c:v>
                </c:pt>
                <c:pt idx="49" formatCode="#,##0">
                  <c:v>5832</c:v>
                </c:pt>
                <c:pt idx="50" formatCode="_(* #,##0_);_(* \(#,##0\);_(* &quot;-&quot;??_);_(@_)">
                  <c:v>7047.8639999999996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Egypt!$C$4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Egypt!$D$4:$BD$4</c:f>
              <c:numCache>
                <c:formatCode>General</c:formatCode>
                <c:ptCount val="53"/>
                <c:pt idx="0">
                  <c:v>1</c:v>
                </c:pt>
                <c:pt idx="1">
                  <c:v>1</c:v>
                </c:pt>
                <c:pt idx="2">
                  <c:v>2</c:v>
                </c:pt>
                <c:pt idx="3">
                  <c:v>2</c:v>
                </c:pt>
                <c:pt idx="4">
                  <c:v>0</c:v>
                </c:pt>
                <c:pt idx="5">
                  <c:v>0</c:v>
                </c:pt>
                <c:pt idx="6">
                  <c:v>2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4</c:v>
                </c:pt>
                <c:pt idx="46">
                  <c:v>4</c:v>
                </c:pt>
                <c:pt idx="47">
                  <c:v>11</c:v>
                </c:pt>
                <c:pt idx="48">
                  <c:v>7</c:v>
                </c:pt>
                <c:pt idx="49">
                  <c:v>17</c:v>
                </c:pt>
                <c:pt idx="50" formatCode="_(* #,##0_);_(* \(#,##0\);_(* &quot;-&quot;??_);_(@_)">
                  <c:v>2.2549999999999999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Egypt!$C$5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Egypt!$D$5:$BD$5</c:f>
              <c:numCache>
                <c:formatCode>#,##0</c:formatCode>
                <c:ptCount val="53"/>
                <c:pt idx="0">
                  <c:v>1745</c:v>
                </c:pt>
                <c:pt idx="1">
                  <c:v>2032</c:v>
                </c:pt>
                <c:pt idx="2">
                  <c:v>2185</c:v>
                </c:pt>
                <c:pt idx="3">
                  <c:v>2301</c:v>
                </c:pt>
                <c:pt idx="4">
                  <c:v>2154</c:v>
                </c:pt>
                <c:pt idx="5">
                  <c:v>2378</c:v>
                </c:pt>
                <c:pt idx="6">
                  <c:v>2486</c:v>
                </c:pt>
                <c:pt idx="7">
                  <c:v>2435</c:v>
                </c:pt>
                <c:pt idx="8">
                  <c:v>2315</c:v>
                </c:pt>
                <c:pt idx="9">
                  <c:v>2432</c:v>
                </c:pt>
                <c:pt idx="10">
                  <c:v>2473</c:v>
                </c:pt>
                <c:pt idx="11">
                  <c:v>2390</c:v>
                </c:pt>
                <c:pt idx="12">
                  <c:v>2547</c:v>
                </c:pt>
                <c:pt idx="13">
                  <c:v>1450</c:v>
                </c:pt>
                <c:pt idx="14">
                  <c:v>2929</c:v>
                </c:pt>
                <c:pt idx="15">
                  <c:v>3248</c:v>
                </c:pt>
                <c:pt idx="16">
                  <c:v>3480</c:v>
                </c:pt>
                <c:pt idx="17">
                  <c:v>3335</c:v>
                </c:pt>
                <c:pt idx="18">
                  <c:v>3659</c:v>
                </c:pt>
                <c:pt idx="19">
                  <c:v>3732</c:v>
                </c:pt>
                <c:pt idx="20">
                  <c:v>4100</c:v>
                </c:pt>
                <c:pt idx="21">
                  <c:v>4400</c:v>
                </c:pt>
                <c:pt idx="22">
                  <c:v>5100</c:v>
                </c:pt>
                <c:pt idx="23">
                  <c:v>5400</c:v>
                </c:pt>
                <c:pt idx="24">
                  <c:v>6247</c:v>
                </c:pt>
                <c:pt idx="25">
                  <c:v>5580</c:v>
                </c:pt>
                <c:pt idx="26">
                  <c:v>5985</c:v>
                </c:pt>
                <c:pt idx="27">
                  <c:v>5486</c:v>
                </c:pt>
                <c:pt idx="28">
                  <c:v>5542</c:v>
                </c:pt>
                <c:pt idx="29">
                  <c:v>5778</c:v>
                </c:pt>
                <c:pt idx="30">
                  <c:v>6541</c:v>
                </c:pt>
                <c:pt idx="31">
                  <c:v>5873</c:v>
                </c:pt>
                <c:pt idx="32">
                  <c:v>6297</c:v>
                </c:pt>
                <c:pt idx="33">
                  <c:v>6875</c:v>
                </c:pt>
                <c:pt idx="34">
                  <c:v>7998</c:v>
                </c:pt>
                <c:pt idx="35">
                  <c:v>7810</c:v>
                </c:pt>
                <c:pt idx="36">
                  <c:v>9026</c:v>
                </c:pt>
                <c:pt idx="37">
                  <c:v>9255</c:v>
                </c:pt>
                <c:pt idx="38">
                  <c:v>9292</c:v>
                </c:pt>
                <c:pt idx="39">
                  <c:v>10200</c:v>
                </c:pt>
                <c:pt idx="40">
                  <c:v>10900</c:v>
                </c:pt>
                <c:pt idx="41">
                  <c:v>11200</c:v>
                </c:pt>
                <c:pt idx="42">
                  <c:v>10900</c:v>
                </c:pt>
                <c:pt idx="43">
                  <c:v>9200</c:v>
                </c:pt>
                <c:pt idx="44">
                  <c:v>11300</c:v>
                </c:pt>
                <c:pt idx="45">
                  <c:v>10100</c:v>
                </c:pt>
                <c:pt idx="46">
                  <c:v>10700</c:v>
                </c:pt>
                <c:pt idx="47">
                  <c:v>10400</c:v>
                </c:pt>
                <c:pt idx="48">
                  <c:v>11100</c:v>
                </c:pt>
                <c:pt idx="49">
                  <c:v>12000</c:v>
                </c:pt>
                <c:pt idx="50" formatCode="_(* #,##0_);_(* \(#,##0\);_(* &quot;-&quot;??_);_(@_)">
                  <c:v>13922.082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703112"/>
        <c:axId val="133707816"/>
      </c:lineChart>
      <c:catAx>
        <c:axId val="1337031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7816"/>
        <c:crosses val="autoZero"/>
        <c:auto val="1"/>
        <c:lblAlgn val="ctr"/>
        <c:lblOffset val="100"/>
        <c:noMultiLvlLbl val="0"/>
      </c:catAx>
      <c:valAx>
        <c:axId val="13370781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311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91165128933230188"/>
          <c:h val="0.10780685832101061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2"/>
          <c:order val="1"/>
          <c:tx>
            <c:strRef>
              <c:f>Egypt!$C$6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Egypt!$D$6:$BD$6</c:f>
              <c:numCache>
                <c:formatCode>#,##0</c:formatCode>
                <c:ptCount val="53"/>
                <c:pt idx="0">
                  <c:v>2196</c:v>
                </c:pt>
                <c:pt idx="1">
                  <c:v>1542</c:v>
                </c:pt>
                <c:pt idx="2">
                  <c:v>2100</c:v>
                </c:pt>
                <c:pt idx="3">
                  <c:v>2029</c:v>
                </c:pt>
                <c:pt idx="4">
                  <c:v>2315</c:v>
                </c:pt>
                <c:pt idx="5">
                  <c:v>2392</c:v>
                </c:pt>
                <c:pt idx="6">
                  <c:v>2089</c:v>
                </c:pt>
                <c:pt idx="7">
                  <c:v>2006</c:v>
                </c:pt>
                <c:pt idx="8">
                  <c:v>2005</c:v>
                </c:pt>
                <c:pt idx="9">
                  <c:v>2487</c:v>
                </c:pt>
                <c:pt idx="10">
                  <c:v>2336</c:v>
                </c:pt>
                <c:pt idx="11">
                  <c:v>2341</c:v>
                </c:pt>
                <c:pt idx="12">
                  <c:v>2359</c:v>
                </c:pt>
                <c:pt idx="13">
                  <c:v>2249</c:v>
                </c:pt>
                <c:pt idx="14">
                  <c:v>2010</c:v>
                </c:pt>
                <c:pt idx="15">
                  <c:v>1755</c:v>
                </c:pt>
                <c:pt idx="16">
                  <c:v>1820</c:v>
                </c:pt>
                <c:pt idx="17">
                  <c:v>1831</c:v>
                </c:pt>
                <c:pt idx="18">
                  <c:v>2013</c:v>
                </c:pt>
                <c:pt idx="19">
                  <c:v>2221</c:v>
                </c:pt>
                <c:pt idx="20">
                  <c:v>2428</c:v>
                </c:pt>
                <c:pt idx="21">
                  <c:v>2292</c:v>
                </c:pt>
                <c:pt idx="22">
                  <c:v>2117</c:v>
                </c:pt>
                <c:pt idx="23">
                  <c:v>1934</c:v>
                </c:pt>
                <c:pt idx="24">
                  <c:v>1840</c:v>
                </c:pt>
                <c:pt idx="25">
                  <c:v>1999</c:v>
                </c:pt>
                <c:pt idx="26">
                  <c:v>1850</c:v>
                </c:pt>
                <c:pt idx="27">
                  <c:v>1614</c:v>
                </c:pt>
                <c:pt idx="28">
                  <c:v>1405</c:v>
                </c:pt>
                <c:pt idx="29">
                  <c:v>1324</c:v>
                </c:pt>
                <c:pt idx="30">
                  <c:v>1378</c:v>
                </c:pt>
                <c:pt idx="31">
                  <c:v>1338</c:v>
                </c:pt>
                <c:pt idx="32">
                  <c:v>1620</c:v>
                </c:pt>
                <c:pt idx="33">
                  <c:v>1909</c:v>
                </c:pt>
                <c:pt idx="34">
                  <c:v>1170</c:v>
                </c:pt>
                <c:pt idx="35">
                  <c:v>1088</c:v>
                </c:pt>
                <c:pt idx="36">
                  <c:v>1568</c:v>
                </c:pt>
                <c:pt idx="37">
                  <c:v>1532</c:v>
                </c:pt>
                <c:pt idx="38">
                  <c:v>1055</c:v>
                </c:pt>
                <c:pt idx="39">
                  <c:v>1068</c:v>
                </c:pt>
                <c:pt idx="40" formatCode="General">
                  <c:v>965</c:v>
                </c:pt>
                <c:pt idx="41">
                  <c:v>1454</c:v>
                </c:pt>
                <c:pt idx="42">
                  <c:v>1331</c:v>
                </c:pt>
                <c:pt idx="43" formatCode="General">
                  <c:v>920</c:v>
                </c:pt>
                <c:pt idx="44">
                  <c:v>1356</c:v>
                </c:pt>
                <c:pt idx="45" formatCode="General">
                  <c:v>938</c:v>
                </c:pt>
                <c:pt idx="46" formatCode="General">
                  <c:v>975</c:v>
                </c:pt>
                <c:pt idx="47" formatCode="General">
                  <c:v>970</c:v>
                </c:pt>
                <c:pt idx="48" formatCode="General">
                  <c:v>483</c:v>
                </c:pt>
                <c:pt idx="49" formatCode="General">
                  <c:v>432</c:v>
                </c:pt>
                <c:pt idx="50" formatCode="_(* #,##0_);_(* \(#,##0\);_(* &quot;-&quot;??_);_(@_)">
                  <c:v>600</c:v>
                </c:pt>
                <c:pt idx="51" formatCode="_(* #,##0_);_(* \(#,##0\);_(* &quot;-&quot;??_);_(@_)">
                  <c:v>181</c:v>
                </c:pt>
                <c:pt idx="52" formatCode="_(* #,##0_);_(* \(#,##0\);_(* &quot;-&quot;??_);_(@_)">
                  <c:v>109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Egypt!$C$7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Egypt!$D$7:$BD$7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18</c:v>
                </c:pt>
                <c:pt idx="16">
                  <c:v>110</c:v>
                </c:pt>
                <c:pt idx="17">
                  <c:v>72</c:v>
                </c:pt>
                <c:pt idx="18">
                  <c:v>134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158</c:v>
                </c:pt>
                <c:pt idx="25">
                  <c:v>170</c:v>
                </c:pt>
                <c:pt idx="26">
                  <c:v>176</c:v>
                </c:pt>
                <c:pt idx="27">
                  <c:v>184</c:v>
                </c:pt>
                <c:pt idx="28">
                  <c:v>117</c:v>
                </c:pt>
                <c:pt idx="29">
                  <c:v>242</c:v>
                </c:pt>
                <c:pt idx="30">
                  <c:v>244</c:v>
                </c:pt>
                <c:pt idx="31">
                  <c:v>340</c:v>
                </c:pt>
                <c:pt idx="32">
                  <c:v>170</c:v>
                </c:pt>
                <c:pt idx="33">
                  <c:v>60</c:v>
                </c:pt>
                <c:pt idx="34">
                  <c:v>207</c:v>
                </c:pt>
                <c:pt idx="35">
                  <c:v>92</c:v>
                </c:pt>
                <c:pt idx="36">
                  <c:v>21</c:v>
                </c:pt>
                <c:pt idx="37">
                  <c:v>18</c:v>
                </c:pt>
                <c:pt idx="38">
                  <c:v>10</c:v>
                </c:pt>
                <c:pt idx="39">
                  <c:v>130</c:v>
                </c:pt>
                <c:pt idx="40">
                  <c:v>130</c:v>
                </c:pt>
                <c:pt idx="41">
                  <c:v>130</c:v>
                </c:pt>
                <c:pt idx="42">
                  <c:v>150</c:v>
                </c:pt>
                <c:pt idx="43">
                  <c:v>375</c:v>
                </c:pt>
                <c:pt idx="44">
                  <c:v>400</c:v>
                </c:pt>
                <c:pt idx="45">
                  <c:v>525</c:v>
                </c:pt>
                <c:pt idx="46">
                  <c:v>500</c:v>
                </c:pt>
                <c:pt idx="47">
                  <c:v>390</c:v>
                </c:pt>
                <c:pt idx="48">
                  <c:v>425</c:v>
                </c:pt>
                <c:pt idx="49">
                  <c:v>550</c:v>
                </c:pt>
                <c:pt idx="50" formatCode="_(* #,##0_);_(* \(#,##0\);_(* &quot;-&quot;??_);_(@_)">
                  <c:v>450</c:v>
                </c:pt>
                <c:pt idx="51" formatCode="_(* #,##0_);_(* \(#,##0\);_(* &quot;-&quot;??_);_(@_)">
                  <c:v>43.649000000000001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Egypt!$C$8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Egypt!$D$8:$BD$8</c:f>
              <c:numCache>
                <c:formatCode>#,##0</c:formatCode>
                <c:ptCount val="53"/>
                <c:pt idx="0">
                  <c:v>1582</c:v>
                </c:pt>
                <c:pt idx="1">
                  <c:v>1121</c:v>
                </c:pt>
                <c:pt idx="2">
                  <c:v>1361</c:v>
                </c:pt>
                <c:pt idx="3">
                  <c:v>1372</c:v>
                </c:pt>
                <c:pt idx="4">
                  <c:v>1558</c:v>
                </c:pt>
                <c:pt idx="5">
                  <c:v>1575</c:v>
                </c:pt>
                <c:pt idx="6">
                  <c:v>1428</c:v>
                </c:pt>
                <c:pt idx="7">
                  <c:v>1171</c:v>
                </c:pt>
                <c:pt idx="8">
                  <c:v>1087</c:v>
                </c:pt>
                <c:pt idx="9">
                  <c:v>1463</c:v>
                </c:pt>
                <c:pt idx="10">
                  <c:v>1397</c:v>
                </c:pt>
                <c:pt idx="11">
                  <c:v>1366</c:v>
                </c:pt>
                <c:pt idx="12">
                  <c:v>1387</c:v>
                </c:pt>
                <c:pt idx="13">
                  <c:v>1199</c:v>
                </c:pt>
                <c:pt idx="14" formatCode="General">
                  <c:v>878</c:v>
                </c:pt>
                <c:pt idx="15" formatCode="General">
                  <c:v>775</c:v>
                </c:pt>
                <c:pt idx="16" formatCode="General">
                  <c:v>606</c:v>
                </c:pt>
                <c:pt idx="17" formatCode="General">
                  <c:v>686</c:v>
                </c:pt>
                <c:pt idx="18" formatCode="General">
                  <c:v>690</c:v>
                </c:pt>
                <c:pt idx="19" formatCode="General">
                  <c:v>876</c:v>
                </c:pt>
                <c:pt idx="20" formatCode="General">
                  <c:v>749</c:v>
                </c:pt>
                <c:pt idx="21" formatCode="General">
                  <c:v>898</c:v>
                </c:pt>
                <c:pt idx="22" formatCode="General">
                  <c:v>920</c:v>
                </c:pt>
                <c:pt idx="23" formatCode="General">
                  <c:v>780</c:v>
                </c:pt>
                <c:pt idx="24" formatCode="General">
                  <c:v>560</c:v>
                </c:pt>
                <c:pt idx="25" formatCode="General">
                  <c:v>837</c:v>
                </c:pt>
                <c:pt idx="26" formatCode="General">
                  <c:v>586</c:v>
                </c:pt>
                <c:pt idx="27" formatCode="General">
                  <c:v>436</c:v>
                </c:pt>
                <c:pt idx="28" formatCode="General">
                  <c:v>294</c:v>
                </c:pt>
                <c:pt idx="29" formatCode="General">
                  <c:v>211</c:v>
                </c:pt>
                <c:pt idx="30" formatCode="General">
                  <c:v>90</c:v>
                </c:pt>
                <c:pt idx="31" formatCode="General">
                  <c:v>90</c:v>
                </c:pt>
                <c:pt idx="32" formatCode="General">
                  <c:v>85</c:v>
                </c:pt>
                <c:pt idx="33" formatCode="General">
                  <c:v>525</c:v>
                </c:pt>
                <c:pt idx="34" formatCode="General">
                  <c:v>307</c:v>
                </c:pt>
                <c:pt idx="35" formatCode="General">
                  <c:v>87</c:v>
                </c:pt>
                <c:pt idx="36" formatCode="General">
                  <c:v>211</c:v>
                </c:pt>
                <c:pt idx="37" formatCode="General">
                  <c:v>322</c:v>
                </c:pt>
                <c:pt idx="38" formatCode="General">
                  <c:v>450</c:v>
                </c:pt>
                <c:pt idx="39" formatCode="General">
                  <c:v>455</c:v>
                </c:pt>
                <c:pt idx="40" formatCode="General">
                  <c:v>300</c:v>
                </c:pt>
                <c:pt idx="41" formatCode="General">
                  <c:v>490</c:v>
                </c:pt>
                <c:pt idx="42" formatCode="General">
                  <c:v>825</c:v>
                </c:pt>
                <c:pt idx="43" formatCode="General">
                  <c:v>325</c:v>
                </c:pt>
                <c:pt idx="44" formatCode="General">
                  <c:v>660</c:v>
                </c:pt>
                <c:pt idx="45" formatCode="General">
                  <c:v>435</c:v>
                </c:pt>
                <c:pt idx="46" formatCode="General">
                  <c:v>370</c:v>
                </c:pt>
                <c:pt idx="47" formatCode="General">
                  <c:v>619</c:v>
                </c:pt>
                <c:pt idx="48" formatCode="General">
                  <c:v>100</c:v>
                </c:pt>
                <c:pt idx="49" formatCode="General">
                  <c:v>350</c:v>
                </c:pt>
                <c:pt idx="50" formatCode="_(* #,##0_);_(* \(#,##0\);_(* &quot;-&quot;??_);_(@_)">
                  <c:v>275</c:v>
                </c:pt>
                <c:pt idx="51" formatCode="_(* #,##0_);_(* \(#,##0\);_(* &quot;-&quot;??_);_(@_)">
                  <c:v>61.216999999999999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Egypt!$C$9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Egypt!$D$9:$BD$9</c:f>
              <c:numCache>
                <c:formatCode>General</c:formatCode>
                <c:ptCount val="53"/>
                <c:pt idx="0">
                  <c:v>574</c:v>
                </c:pt>
                <c:pt idx="1">
                  <c:v>645</c:v>
                </c:pt>
                <c:pt idx="2">
                  <c:v>639</c:v>
                </c:pt>
                <c:pt idx="3">
                  <c:v>647</c:v>
                </c:pt>
                <c:pt idx="4">
                  <c:v>717</c:v>
                </c:pt>
                <c:pt idx="5">
                  <c:v>788</c:v>
                </c:pt>
                <c:pt idx="6">
                  <c:v>835</c:v>
                </c:pt>
                <c:pt idx="7">
                  <c:v>850</c:v>
                </c:pt>
                <c:pt idx="8">
                  <c:v>848</c:v>
                </c:pt>
                <c:pt idx="9">
                  <c:v>885</c:v>
                </c:pt>
                <c:pt idx="10">
                  <c:v>969</c:v>
                </c:pt>
                <c:pt idx="11">
                  <c:v>985</c:v>
                </c:pt>
                <c:pt idx="12">
                  <c:v>997</c:v>
                </c:pt>
                <c:pt idx="13" formatCode="#,##0">
                  <c:v>1035</c:v>
                </c:pt>
                <c:pt idx="14" formatCode="#,##0">
                  <c:v>1022</c:v>
                </c:pt>
                <c:pt idx="15" formatCode="#,##0">
                  <c:v>1090</c:v>
                </c:pt>
                <c:pt idx="16" formatCode="#,##0">
                  <c:v>1170</c:v>
                </c:pt>
                <c:pt idx="17" formatCode="#,##0">
                  <c:v>1305</c:v>
                </c:pt>
                <c:pt idx="18" formatCode="#,##0">
                  <c:v>1350</c:v>
                </c:pt>
                <c:pt idx="19" formatCode="#,##0">
                  <c:v>1300</c:v>
                </c:pt>
                <c:pt idx="20" formatCode="#,##0">
                  <c:v>1662</c:v>
                </c:pt>
                <c:pt idx="21" formatCode="#,##0">
                  <c:v>1395</c:v>
                </c:pt>
                <c:pt idx="22" formatCode="#,##0">
                  <c:v>1245</c:v>
                </c:pt>
                <c:pt idx="23" formatCode="#,##0">
                  <c:v>1255</c:v>
                </c:pt>
                <c:pt idx="24" formatCode="#,##0">
                  <c:v>1553</c:v>
                </c:pt>
                <c:pt idx="25" formatCode="#,##0">
                  <c:v>1440</c:v>
                </c:pt>
                <c:pt idx="26" formatCode="#,##0">
                  <c:v>1427</c:v>
                </c:pt>
                <c:pt idx="27" formatCode="#,##0">
                  <c:v>1403</c:v>
                </c:pt>
                <c:pt idx="28" formatCode="#,##0">
                  <c:v>1317</c:v>
                </c:pt>
                <c:pt idx="29" formatCode="#,##0">
                  <c:v>1427</c:v>
                </c:pt>
                <c:pt idx="30" formatCode="#,##0">
                  <c:v>1532</c:v>
                </c:pt>
                <c:pt idx="31" formatCode="#,##0">
                  <c:v>1486</c:v>
                </c:pt>
                <c:pt idx="32" formatCode="#,##0">
                  <c:v>1664</c:v>
                </c:pt>
                <c:pt idx="33" formatCode="#,##0">
                  <c:v>1366</c:v>
                </c:pt>
                <c:pt idx="34" formatCode="#,##0">
                  <c:v>1165</c:v>
                </c:pt>
                <c:pt idx="35" formatCode="#,##0">
                  <c:v>1033</c:v>
                </c:pt>
                <c:pt idx="36">
                  <c:v>942</c:v>
                </c:pt>
                <c:pt idx="37" formatCode="#,##0">
                  <c:v>1056</c:v>
                </c:pt>
                <c:pt idx="38">
                  <c:v>973</c:v>
                </c:pt>
                <c:pt idx="39">
                  <c:v>823</c:v>
                </c:pt>
                <c:pt idx="40">
                  <c:v>773</c:v>
                </c:pt>
                <c:pt idx="41">
                  <c:v>798</c:v>
                </c:pt>
                <c:pt idx="42">
                  <c:v>913</c:v>
                </c:pt>
                <c:pt idx="43">
                  <c:v>913</c:v>
                </c:pt>
                <c:pt idx="44">
                  <c:v>963</c:v>
                </c:pt>
                <c:pt idx="45" formatCode="#,##0">
                  <c:v>1013</c:v>
                </c:pt>
                <c:pt idx="46" formatCode="#,##0">
                  <c:v>1013</c:v>
                </c:pt>
                <c:pt idx="47">
                  <c:v>963</c:v>
                </c:pt>
                <c:pt idx="48">
                  <c:v>938</c:v>
                </c:pt>
                <c:pt idx="49">
                  <c:v>863</c:v>
                </c:pt>
                <c:pt idx="50" formatCode="_(* #,##0_);_(* \(#,##0\);_(* &quot;-&quot;??_);_(@_)">
                  <c:v>813</c:v>
                </c:pt>
                <c:pt idx="51" formatCode="_(* #,##0_);_(* \(#,##0\);_(* &quot;-&quot;??_);_(@_)">
                  <c:v>163.43200000000002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703504"/>
        <c:axId val="13370664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Egypt!$C$1</c15:sqref>
                        </c15:formulaRef>
                      </c:ext>
                    </c:extLst>
                    <c:strCache>
                      <c:ptCount val="1"/>
                      <c:pt idx="0">
                        <c:v>Attribute</c:v>
                      </c:pt>
                    </c:strCache>
                  </c:strRef>
                </c:tx>
                <c:spPr>
                  <a:ln>
                    <a:solidFill>
                      <a:srgbClr val="C00000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Egypt!$D$1:$BD$1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Egypt!$D$1:$BD$1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133703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6640"/>
        <c:crosses val="autoZero"/>
        <c:auto val="1"/>
        <c:lblAlgn val="ctr"/>
        <c:lblOffset val="100"/>
        <c:noMultiLvlLbl val="0"/>
      </c:catAx>
      <c:valAx>
        <c:axId val="13370664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350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2688117309631253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Egypt!$C$10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Egypt!$D$10:$BD$10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2</c:v>
                </c:pt>
                <c:pt idx="14">
                  <c:v>2</c:v>
                </c:pt>
                <c:pt idx="15">
                  <c:v>5</c:v>
                </c:pt>
                <c:pt idx="16">
                  <c:v>11</c:v>
                </c:pt>
                <c:pt idx="17">
                  <c:v>27</c:v>
                </c:pt>
                <c:pt idx="18">
                  <c:v>79</c:v>
                </c:pt>
                <c:pt idx="19">
                  <c:v>106</c:v>
                </c:pt>
                <c:pt idx="20">
                  <c:v>92</c:v>
                </c:pt>
                <c:pt idx="21">
                  <c:v>130</c:v>
                </c:pt>
                <c:pt idx="22">
                  <c:v>166</c:v>
                </c:pt>
                <c:pt idx="23">
                  <c:v>162</c:v>
                </c:pt>
                <c:pt idx="24">
                  <c:v>143</c:v>
                </c:pt>
                <c:pt idx="25">
                  <c:v>133</c:v>
                </c:pt>
                <c:pt idx="26">
                  <c:v>140</c:v>
                </c:pt>
                <c:pt idx="27">
                  <c:v>140</c:v>
                </c:pt>
                <c:pt idx="28">
                  <c:v>130</c:v>
                </c:pt>
                <c:pt idx="29">
                  <c:v>91</c:v>
                </c:pt>
                <c:pt idx="30">
                  <c:v>106</c:v>
                </c:pt>
                <c:pt idx="31">
                  <c:v>120</c:v>
                </c:pt>
                <c:pt idx="32">
                  <c:v>59</c:v>
                </c:pt>
                <c:pt idx="33">
                  <c:v>50</c:v>
                </c:pt>
                <c:pt idx="34">
                  <c:v>67</c:v>
                </c:pt>
                <c:pt idx="35">
                  <c:v>64</c:v>
                </c:pt>
                <c:pt idx="36">
                  <c:v>39</c:v>
                </c:pt>
                <c:pt idx="37">
                  <c:v>35</c:v>
                </c:pt>
                <c:pt idx="38">
                  <c:v>47</c:v>
                </c:pt>
                <c:pt idx="39">
                  <c:v>19</c:v>
                </c:pt>
                <c:pt idx="40">
                  <c:v>16</c:v>
                </c:pt>
                <c:pt idx="41">
                  <c:v>10</c:v>
                </c:pt>
                <c:pt idx="42">
                  <c:v>8</c:v>
                </c:pt>
                <c:pt idx="43">
                  <c:v>18</c:v>
                </c:pt>
                <c:pt idx="44">
                  <c:v>34</c:v>
                </c:pt>
                <c:pt idx="45">
                  <c:v>36</c:v>
                </c:pt>
                <c:pt idx="46">
                  <c:v>32</c:v>
                </c:pt>
                <c:pt idx="47">
                  <c:v>32</c:v>
                </c:pt>
                <c:pt idx="48">
                  <c:v>32</c:v>
                </c:pt>
                <c:pt idx="49">
                  <c:v>32</c:v>
                </c:pt>
                <c:pt idx="50" formatCode="_(* #,##0_);_(* \(#,##0\);_(* &quot;-&quot;??_);_(@_)">
                  <c:v>32</c:v>
                </c:pt>
                <c:pt idx="51" formatCode="_(* #,##0_);_(* \(#,##0\);_(* &quot;-&quot;??_);_(@_)">
                  <c:v>29.785</c:v>
                </c:pt>
                <c:pt idx="52" formatCode="_(* #,##0_);_(* \(#,##0\);_(* &quot;-&quot;??_);_(@_)">
                  <c:v>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Egypt!$C$11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chemeClr val="accent4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Egypt!$D$11:$BD$11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35</c:v>
                </c:pt>
                <c:pt idx="16">
                  <c:v>21</c:v>
                </c:pt>
                <c:pt idx="17">
                  <c:v>41</c:v>
                </c:pt>
                <c:pt idx="18">
                  <c:v>38</c:v>
                </c:pt>
                <c:pt idx="19">
                  <c:v>18</c:v>
                </c:pt>
                <c:pt idx="20">
                  <c:v>18</c:v>
                </c:pt>
                <c:pt idx="21">
                  <c:v>53</c:v>
                </c:pt>
                <c:pt idx="22">
                  <c:v>60</c:v>
                </c:pt>
                <c:pt idx="23">
                  <c:v>60</c:v>
                </c:pt>
                <c:pt idx="24">
                  <c:v>28</c:v>
                </c:pt>
                <c:pt idx="25">
                  <c:v>51</c:v>
                </c:pt>
                <c:pt idx="26">
                  <c:v>115</c:v>
                </c:pt>
                <c:pt idx="27">
                  <c:v>65</c:v>
                </c:pt>
                <c:pt idx="28">
                  <c:v>76</c:v>
                </c:pt>
                <c:pt idx="29">
                  <c:v>67</c:v>
                </c:pt>
                <c:pt idx="30">
                  <c:v>28</c:v>
                </c:pt>
                <c:pt idx="31">
                  <c:v>0</c:v>
                </c:pt>
                <c:pt idx="32">
                  <c:v>60</c:v>
                </c:pt>
                <c:pt idx="33">
                  <c:v>70</c:v>
                </c:pt>
                <c:pt idx="34">
                  <c:v>95</c:v>
                </c:pt>
                <c:pt idx="35">
                  <c:v>88</c:v>
                </c:pt>
                <c:pt idx="36">
                  <c:v>115</c:v>
                </c:pt>
                <c:pt idx="37">
                  <c:v>160</c:v>
                </c:pt>
                <c:pt idx="38">
                  <c:v>145</c:v>
                </c:pt>
                <c:pt idx="39">
                  <c:v>230</c:v>
                </c:pt>
                <c:pt idx="40">
                  <c:v>277</c:v>
                </c:pt>
                <c:pt idx="41">
                  <c:v>446</c:v>
                </c:pt>
                <c:pt idx="42">
                  <c:v>270</c:v>
                </c:pt>
                <c:pt idx="43">
                  <c:v>243</c:v>
                </c:pt>
                <c:pt idx="44">
                  <c:v>762</c:v>
                </c:pt>
                <c:pt idx="45">
                  <c:v>776</c:v>
                </c:pt>
                <c:pt idx="46" formatCode="#,##0">
                  <c:v>1328</c:v>
                </c:pt>
                <c:pt idx="47" formatCode="#,##0">
                  <c:v>1061</c:v>
                </c:pt>
                <c:pt idx="48" formatCode="#,##0">
                  <c:v>1575</c:v>
                </c:pt>
                <c:pt idx="49" formatCode="#,##0">
                  <c:v>1638</c:v>
                </c:pt>
                <c:pt idx="50" formatCode="_(* #,##0_);_(* \(#,##0\);_(* &quot;-&quot;??_);_(@_)">
                  <c:v>1750</c:v>
                </c:pt>
                <c:pt idx="51" formatCode="_(* #,##0_);_(* \(#,##0\);_(* &quot;-&quot;??_);_(@_)">
                  <c:v>1115.797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Egypt!$C$12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Egypt!$D$12:$BD$12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2</c:v>
                </c:pt>
                <c:pt idx="14">
                  <c:v>2</c:v>
                </c:pt>
                <c:pt idx="15">
                  <c:v>40</c:v>
                </c:pt>
                <c:pt idx="16">
                  <c:v>32</c:v>
                </c:pt>
                <c:pt idx="17">
                  <c:v>68</c:v>
                </c:pt>
                <c:pt idx="18">
                  <c:v>117</c:v>
                </c:pt>
                <c:pt idx="19">
                  <c:v>124</c:v>
                </c:pt>
                <c:pt idx="20">
                  <c:v>110</c:v>
                </c:pt>
                <c:pt idx="21">
                  <c:v>183</c:v>
                </c:pt>
                <c:pt idx="22">
                  <c:v>226</c:v>
                </c:pt>
                <c:pt idx="23">
                  <c:v>222</c:v>
                </c:pt>
                <c:pt idx="24">
                  <c:v>171</c:v>
                </c:pt>
                <c:pt idx="25">
                  <c:v>184</c:v>
                </c:pt>
                <c:pt idx="26">
                  <c:v>255</c:v>
                </c:pt>
                <c:pt idx="27">
                  <c:v>205</c:v>
                </c:pt>
                <c:pt idx="28">
                  <c:v>206</c:v>
                </c:pt>
                <c:pt idx="29">
                  <c:v>158</c:v>
                </c:pt>
                <c:pt idx="30">
                  <c:v>134</c:v>
                </c:pt>
                <c:pt idx="31">
                  <c:v>120</c:v>
                </c:pt>
                <c:pt idx="32">
                  <c:v>119</c:v>
                </c:pt>
                <c:pt idx="33">
                  <c:v>120</c:v>
                </c:pt>
                <c:pt idx="34">
                  <c:v>162</c:v>
                </c:pt>
                <c:pt idx="35">
                  <c:v>152</c:v>
                </c:pt>
                <c:pt idx="36">
                  <c:v>154</c:v>
                </c:pt>
                <c:pt idx="37">
                  <c:v>195</c:v>
                </c:pt>
                <c:pt idx="38">
                  <c:v>192</c:v>
                </c:pt>
                <c:pt idx="39">
                  <c:v>249</c:v>
                </c:pt>
                <c:pt idx="40">
                  <c:v>293</c:v>
                </c:pt>
                <c:pt idx="41">
                  <c:v>456</c:v>
                </c:pt>
                <c:pt idx="42">
                  <c:v>278</c:v>
                </c:pt>
                <c:pt idx="43">
                  <c:v>261</c:v>
                </c:pt>
                <c:pt idx="44">
                  <c:v>756</c:v>
                </c:pt>
                <c:pt idx="45">
                  <c:v>832</c:v>
                </c:pt>
                <c:pt idx="46" formatCode="#,##0">
                  <c:v>1285</c:v>
                </c:pt>
                <c:pt idx="47" formatCode="#,##0">
                  <c:v>1165</c:v>
                </c:pt>
                <c:pt idx="48" formatCode="#,##0">
                  <c:v>1586</c:v>
                </c:pt>
                <c:pt idx="49" formatCode="#,##0">
                  <c:v>1673</c:v>
                </c:pt>
                <c:pt idx="50" formatCode="_(* #,##0_);_(* \(#,##0\);_(* &quot;-&quot;??_);_(@_)">
                  <c:v>1783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707032"/>
        <c:axId val="133700760"/>
      </c:lineChart>
      <c:catAx>
        <c:axId val="133707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0760"/>
        <c:crosses val="autoZero"/>
        <c:auto val="1"/>
        <c:lblAlgn val="ctr"/>
        <c:lblOffset val="100"/>
        <c:noMultiLvlLbl val="0"/>
      </c:catAx>
      <c:valAx>
        <c:axId val="13370076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703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209545728352E-2"/>
          <c:y val="0.83899770195281065"/>
          <c:w val="0.23010382826330711"/>
          <c:h val="0.16100229804718938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Egypt!$C$13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Egypt!$D$13:$BD$13</c:f>
              <c:numCache>
                <c:formatCode>General</c:formatCode>
                <c:ptCount val="53"/>
                <c:pt idx="0">
                  <c:v>996</c:v>
                </c:pt>
                <c:pt idx="1">
                  <c:v>765</c:v>
                </c:pt>
                <c:pt idx="2" formatCode="#,##0">
                  <c:v>1365</c:v>
                </c:pt>
                <c:pt idx="3" formatCode="#,##0">
                  <c:v>1487</c:v>
                </c:pt>
                <c:pt idx="4" formatCode="#,##0">
                  <c:v>1364</c:v>
                </c:pt>
                <c:pt idx="5" formatCode="#,##0">
                  <c:v>1199</c:v>
                </c:pt>
                <c:pt idx="6" formatCode="#,##0">
                  <c:v>1125</c:v>
                </c:pt>
                <c:pt idx="7" formatCode="#,##0">
                  <c:v>1527</c:v>
                </c:pt>
                <c:pt idx="8" formatCode="#,##0">
                  <c:v>1733</c:v>
                </c:pt>
                <c:pt idx="9" formatCode="#,##0">
                  <c:v>1713</c:v>
                </c:pt>
                <c:pt idx="10" formatCode="#,##0">
                  <c:v>1745</c:v>
                </c:pt>
                <c:pt idx="11" formatCode="#,##0">
                  <c:v>1796</c:v>
                </c:pt>
                <c:pt idx="12" formatCode="#,##0">
                  <c:v>1680</c:v>
                </c:pt>
                <c:pt idx="13" formatCode="#,##0">
                  <c:v>1524</c:v>
                </c:pt>
                <c:pt idx="14" formatCode="#,##0">
                  <c:v>1502</c:v>
                </c:pt>
                <c:pt idx="15" formatCode="#,##0">
                  <c:v>1624</c:v>
                </c:pt>
                <c:pt idx="16" formatCode="#,##0">
                  <c:v>1541</c:v>
                </c:pt>
                <c:pt idx="17" formatCode="#,##0">
                  <c:v>1522</c:v>
                </c:pt>
                <c:pt idx="18" formatCode="#,##0">
                  <c:v>1575</c:v>
                </c:pt>
                <c:pt idx="19" formatCode="#,##0">
                  <c:v>1682</c:v>
                </c:pt>
                <c:pt idx="20" formatCode="#,##0">
                  <c:v>1597</c:v>
                </c:pt>
                <c:pt idx="21" formatCode="#,##0">
                  <c:v>1498</c:v>
                </c:pt>
                <c:pt idx="22" formatCode="#,##0">
                  <c:v>1633</c:v>
                </c:pt>
                <c:pt idx="23" formatCode="#,##0">
                  <c:v>1636</c:v>
                </c:pt>
                <c:pt idx="24" formatCode="#,##0">
                  <c:v>1561</c:v>
                </c:pt>
                <c:pt idx="25" formatCode="#,##0">
                  <c:v>1549</c:v>
                </c:pt>
                <c:pt idx="26" formatCode="#,##0">
                  <c:v>1830</c:v>
                </c:pt>
                <c:pt idx="27" formatCode="#,##0">
                  <c:v>1562</c:v>
                </c:pt>
                <c:pt idx="28" formatCode="#,##0">
                  <c:v>1427</c:v>
                </c:pt>
                <c:pt idx="29" formatCode="#,##0">
                  <c:v>1427</c:v>
                </c:pt>
                <c:pt idx="30" formatCode="#,##0">
                  <c:v>2122</c:v>
                </c:pt>
                <c:pt idx="31" formatCode="#,##0">
                  <c:v>2313</c:v>
                </c:pt>
                <c:pt idx="32" formatCode="#,##0">
                  <c:v>2427</c:v>
                </c:pt>
                <c:pt idx="33" formatCode="#,##0">
                  <c:v>2540</c:v>
                </c:pt>
                <c:pt idx="34" formatCode="#,##0">
                  <c:v>2830</c:v>
                </c:pt>
                <c:pt idx="35" formatCode="#,##0">
                  <c:v>2600</c:v>
                </c:pt>
                <c:pt idx="36" formatCode="#,##0">
                  <c:v>2989</c:v>
                </c:pt>
                <c:pt idx="37" formatCode="#,##0">
                  <c:v>3510</c:v>
                </c:pt>
                <c:pt idx="38" formatCode="#,##0">
                  <c:v>2645</c:v>
                </c:pt>
                <c:pt idx="39" formatCode="#,##0">
                  <c:v>3787</c:v>
                </c:pt>
                <c:pt idx="40" formatCode="#,##0">
                  <c:v>3965</c:v>
                </c:pt>
                <c:pt idx="41" formatCode="#,##0">
                  <c:v>3575</c:v>
                </c:pt>
                <c:pt idx="42" formatCode="#,##0">
                  <c:v>3705</c:v>
                </c:pt>
                <c:pt idx="43" formatCode="#,##0">
                  <c:v>3900</c:v>
                </c:pt>
                <c:pt idx="44" formatCode="#,##0">
                  <c:v>4128</c:v>
                </c:pt>
                <c:pt idx="45" formatCode="#,##0">
                  <c:v>4135</c:v>
                </c:pt>
                <c:pt idx="46" formatCode="#,##0">
                  <c:v>4383</c:v>
                </c:pt>
                <c:pt idx="47" formatCode="#,##0">
                  <c:v>4385</c:v>
                </c:pt>
                <c:pt idx="48" formatCode="#,##0">
                  <c:v>4402</c:v>
                </c:pt>
                <c:pt idx="49" formatCode="#,##0">
                  <c:v>4300</c:v>
                </c:pt>
                <c:pt idx="50" formatCode="_(* #,##0_);_(* \(#,##0\);_(* &quot;-&quot;??_);_(@_)">
                  <c:v>3100</c:v>
                </c:pt>
                <c:pt idx="51" formatCode="_(* #,##0_);_(* \(#,##0\);_(* &quot;-&quot;??_);_(@_)">
                  <c:v>5675.027</c:v>
                </c:pt>
                <c:pt idx="52" formatCode="_(* #,##0_);_(* \(#,##0\);_(* &quot;-&quot;??_);_(@_)">
                  <c:v>5911.0860000000002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Egypt!$C$14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Egypt!$D$14:$BD$14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7</c:v>
                </c:pt>
                <c:pt idx="17">
                  <c:v>7</c:v>
                </c:pt>
                <c:pt idx="18">
                  <c:v>1</c:v>
                </c:pt>
                <c:pt idx="19">
                  <c:v>0</c:v>
                </c:pt>
                <c:pt idx="20">
                  <c:v>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3</c:v>
                </c:pt>
                <c:pt idx="25">
                  <c:v>61</c:v>
                </c:pt>
                <c:pt idx="26">
                  <c:v>11</c:v>
                </c:pt>
                <c:pt idx="27">
                  <c:v>15</c:v>
                </c:pt>
                <c:pt idx="28">
                  <c:v>1</c:v>
                </c:pt>
                <c:pt idx="29">
                  <c:v>3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3</c:v>
                </c:pt>
                <c:pt idx="34">
                  <c:v>2</c:v>
                </c:pt>
                <c:pt idx="35">
                  <c:v>1</c:v>
                </c:pt>
                <c:pt idx="36">
                  <c:v>0</c:v>
                </c:pt>
                <c:pt idx="37">
                  <c:v>16</c:v>
                </c:pt>
                <c:pt idx="38">
                  <c:v>46</c:v>
                </c:pt>
                <c:pt idx="39">
                  <c:v>35</c:v>
                </c:pt>
                <c:pt idx="40">
                  <c:v>11</c:v>
                </c:pt>
                <c:pt idx="41">
                  <c:v>0</c:v>
                </c:pt>
                <c:pt idx="42">
                  <c:v>50</c:v>
                </c:pt>
                <c:pt idx="43">
                  <c:v>0</c:v>
                </c:pt>
                <c:pt idx="44">
                  <c:v>0</c:v>
                </c:pt>
                <c:pt idx="45">
                  <c:v>28</c:v>
                </c:pt>
                <c:pt idx="46">
                  <c:v>100</c:v>
                </c:pt>
                <c:pt idx="47">
                  <c:v>20</c:v>
                </c:pt>
                <c:pt idx="48">
                  <c:v>20</c:v>
                </c:pt>
                <c:pt idx="49">
                  <c:v>12</c:v>
                </c:pt>
                <c:pt idx="50" formatCode="_(* #,##0_);_(* \(#,##0\);_(* &quot;-&quot;??_);_(@_)">
                  <c:v>15</c:v>
                </c:pt>
                <c:pt idx="51" formatCode="_(* #,##0_);_(* \(#,##0\);_(* &quot;-&quot;??_);_(@_)">
                  <c:v>93.721000000000004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Egypt!$C$15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Egypt!$D$15:$BD$15</c:f>
              <c:numCache>
                <c:formatCode>General</c:formatCode>
                <c:ptCount val="53"/>
                <c:pt idx="0">
                  <c:v>203</c:v>
                </c:pt>
                <c:pt idx="1">
                  <c:v>144</c:v>
                </c:pt>
                <c:pt idx="2">
                  <c:v>380</c:v>
                </c:pt>
                <c:pt idx="3">
                  <c:v>527</c:v>
                </c:pt>
                <c:pt idx="4">
                  <c:v>330</c:v>
                </c:pt>
                <c:pt idx="5">
                  <c:v>347</c:v>
                </c:pt>
                <c:pt idx="6">
                  <c:v>435</c:v>
                </c:pt>
                <c:pt idx="7">
                  <c:v>570</c:v>
                </c:pt>
                <c:pt idx="8">
                  <c:v>772</c:v>
                </c:pt>
                <c:pt idx="9">
                  <c:v>654</c:v>
                </c:pt>
                <c:pt idx="10">
                  <c:v>515</c:v>
                </c:pt>
                <c:pt idx="11">
                  <c:v>456</c:v>
                </c:pt>
                <c:pt idx="12">
                  <c:v>298</c:v>
                </c:pt>
                <c:pt idx="13">
                  <c:v>136</c:v>
                </c:pt>
                <c:pt idx="14">
                  <c:v>104</c:v>
                </c:pt>
                <c:pt idx="15">
                  <c:v>211</c:v>
                </c:pt>
                <c:pt idx="16">
                  <c:v>223</c:v>
                </c:pt>
                <c:pt idx="17">
                  <c:v>150</c:v>
                </c:pt>
                <c:pt idx="18">
                  <c:v>95</c:v>
                </c:pt>
                <c:pt idx="19">
                  <c:v>178</c:v>
                </c:pt>
                <c:pt idx="20">
                  <c:v>134</c:v>
                </c:pt>
                <c:pt idx="21">
                  <c:v>22</c:v>
                </c:pt>
                <c:pt idx="22">
                  <c:v>21</c:v>
                </c:pt>
                <c:pt idx="23">
                  <c:v>65</c:v>
                </c:pt>
                <c:pt idx="24">
                  <c:v>16</c:v>
                </c:pt>
                <c:pt idx="25">
                  <c:v>92</c:v>
                </c:pt>
                <c:pt idx="26">
                  <c:v>105</c:v>
                </c:pt>
                <c:pt idx="27">
                  <c:v>108</c:v>
                </c:pt>
                <c:pt idx="28">
                  <c:v>32</c:v>
                </c:pt>
                <c:pt idx="29">
                  <c:v>85</c:v>
                </c:pt>
                <c:pt idx="30">
                  <c:v>159</c:v>
                </c:pt>
                <c:pt idx="31">
                  <c:v>209</c:v>
                </c:pt>
                <c:pt idx="32">
                  <c:v>135</c:v>
                </c:pt>
                <c:pt idx="33">
                  <c:v>268</c:v>
                </c:pt>
                <c:pt idx="34">
                  <c:v>163</c:v>
                </c:pt>
                <c:pt idx="35">
                  <c:v>338</c:v>
                </c:pt>
                <c:pt idx="36">
                  <c:v>201</c:v>
                </c:pt>
                <c:pt idx="37">
                  <c:v>426</c:v>
                </c:pt>
                <c:pt idx="38">
                  <c:v>320</c:v>
                </c:pt>
                <c:pt idx="39">
                  <c:v>500</c:v>
                </c:pt>
                <c:pt idx="40">
                  <c:v>705</c:v>
                </c:pt>
                <c:pt idx="41">
                  <c:v>468</c:v>
                </c:pt>
                <c:pt idx="42">
                  <c:v>579</c:v>
                </c:pt>
                <c:pt idx="43">
                  <c:v>826</c:v>
                </c:pt>
                <c:pt idx="44" formatCode="#,##0">
                  <c:v>1095</c:v>
                </c:pt>
                <c:pt idx="45">
                  <c:v>979</c:v>
                </c:pt>
                <c:pt idx="46" formatCode="#,##0">
                  <c:v>1203</c:v>
                </c:pt>
                <c:pt idx="47">
                  <c:v>750</c:v>
                </c:pt>
                <c:pt idx="48">
                  <c:v>550</c:v>
                </c:pt>
                <c:pt idx="49">
                  <c:v>700</c:v>
                </c:pt>
                <c:pt idx="50" formatCode="_(* #,##0_);_(* \(#,##0\);_(* &quot;-&quot;??_);_(@_)">
                  <c:v>35</c:v>
                </c:pt>
                <c:pt idx="51" formatCode="_(* #,##0_);_(* \(#,##0\);_(* &quot;-&quot;??_);_(@_)">
                  <c:v>39.972000000000001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Egypt!$C$16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Egypt!$D$16:$BD$16</c:f>
              <c:numCache>
                <c:formatCode>General</c:formatCode>
                <c:ptCount val="53"/>
                <c:pt idx="0">
                  <c:v>793</c:v>
                </c:pt>
                <c:pt idx="1">
                  <c:v>621</c:v>
                </c:pt>
                <c:pt idx="2">
                  <c:v>985</c:v>
                </c:pt>
                <c:pt idx="3">
                  <c:v>960</c:v>
                </c:pt>
                <c:pt idx="4" formatCode="#,##0">
                  <c:v>1034</c:v>
                </c:pt>
                <c:pt idx="5">
                  <c:v>852</c:v>
                </c:pt>
                <c:pt idx="6">
                  <c:v>690</c:v>
                </c:pt>
                <c:pt idx="7">
                  <c:v>957</c:v>
                </c:pt>
                <c:pt idx="8">
                  <c:v>961</c:v>
                </c:pt>
                <c:pt idx="9" formatCode="#,##0">
                  <c:v>1059</c:v>
                </c:pt>
                <c:pt idx="10" formatCode="#,##0">
                  <c:v>1230</c:v>
                </c:pt>
                <c:pt idx="11" formatCode="#,##0">
                  <c:v>1340</c:v>
                </c:pt>
                <c:pt idx="12" formatCode="#,##0">
                  <c:v>1382</c:v>
                </c:pt>
                <c:pt idx="13" formatCode="#,##0">
                  <c:v>1388</c:v>
                </c:pt>
                <c:pt idx="14" formatCode="#,##0">
                  <c:v>1399</c:v>
                </c:pt>
                <c:pt idx="15" formatCode="#,##0">
                  <c:v>1413</c:v>
                </c:pt>
                <c:pt idx="16" formatCode="#,##0">
                  <c:v>1325</c:v>
                </c:pt>
                <c:pt idx="17" formatCode="#,##0">
                  <c:v>1379</c:v>
                </c:pt>
                <c:pt idx="18" formatCode="#,##0">
                  <c:v>1481</c:v>
                </c:pt>
                <c:pt idx="19" formatCode="#,##0">
                  <c:v>1504</c:v>
                </c:pt>
                <c:pt idx="20" formatCode="#,##0">
                  <c:v>1470</c:v>
                </c:pt>
                <c:pt idx="21" formatCode="#,##0">
                  <c:v>1476</c:v>
                </c:pt>
                <c:pt idx="22" formatCode="#,##0">
                  <c:v>1612</c:v>
                </c:pt>
                <c:pt idx="23" formatCode="#,##0">
                  <c:v>1571</c:v>
                </c:pt>
                <c:pt idx="24" formatCode="#,##0">
                  <c:v>1548</c:v>
                </c:pt>
                <c:pt idx="25" formatCode="#,##0">
                  <c:v>1518</c:v>
                </c:pt>
                <c:pt idx="26" formatCode="#,##0">
                  <c:v>1736</c:v>
                </c:pt>
                <c:pt idx="27" formatCode="#,##0">
                  <c:v>1469</c:v>
                </c:pt>
                <c:pt idx="28" formatCode="#,##0">
                  <c:v>1396</c:v>
                </c:pt>
                <c:pt idx="29" formatCode="#,##0">
                  <c:v>1345</c:v>
                </c:pt>
                <c:pt idx="30" formatCode="#,##0">
                  <c:v>1813</c:v>
                </c:pt>
                <c:pt idx="31" formatCode="#,##0">
                  <c:v>2054</c:v>
                </c:pt>
                <c:pt idx="32" formatCode="#,##0">
                  <c:v>2289</c:v>
                </c:pt>
                <c:pt idx="33" formatCode="#,##0">
                  <c:v>2375</c:v>
                </c:pt>
                <c:pt idx="34" formatCode="#,##0">
                  <c:v>2492</c:v>
                </c:pt>
                <c:pt idx="35" formatCode="#,##0">
                  <c:v>2443</c:v>
                </c:pt>
                <c:pt idx="36" formatCode="#,##0">
                  <c:v>2619</c:v>
                </c:pt>
                <c:pt idx="37" formatCode="#,##0">
                  <c:v>2769</c:v>
                </c:pt>
                <c:pt idx="38" formatCode="#,##0">
                  <c:v>2771</c:v>
                </c:pt>
                <c:pt idx="39" formatCode="#,##0">
                  <c:v>2891</c:v>
                </c:pt>
                <c:pt idx="40" formatCode="#,##0">
                  <c:v>3015</c:v>
                </c:pt>
                <c:pt idx="41" formatCode="#,##0">
                  <c:v>3100</c:v>
                </c:pt>
                <c:pt idx="42" formatCode="#,##0">
                  <c:v>3200</c:v>
                </c:pt>
                <c:pt idx="43" formatCode="#,##0">
                  <c:v>3225</c:v>
                </c:pt>
                <c:pt idx="44" formatCode="#,##0">
                  <c:v>3250</c:v>
                </c:pt>
                <c:pt idx="45" formatCode="#,##0">
                  <c:v>3320</c:v>
                </c:pt>
                <c:pt idx="46" formatCode="#,##0">
                  <c:v>3276</c:v>
                </c:pt>
                <c:pt idx="47" formatCode="#,##0">
                  <c:v>3340</c:v>
                </c:pt>
                <c:pt idx="48" formatCode="#,##0">
                  <c:v>4000</c:v>
                </c:pt>
                <c:pt idx="49" formatCode="#,##0">
                  <c:v>3670</c:v>
                </c:pt>
                <c:pt idx="50" formatCode="#,##0">
                  <c:v>3400</c:v>
                </c:pt>
                <c:pt idx="51" formatCode="_(* #,##0_);_(* \(#,##0\);_(* &quot;-&quot;??_);_(@_)">
                  <c:v>5728.7759999999998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701936"/>
        <c:axId val="133704288"/>
      </c:lineChart>
      <c:catAx>
        <c:axId val="133701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4288"/>
        <c:crosses val="autoZero"/>
        <c:auto val="1"/>
        <c:lblAlgn val="ctr"/>
        <c:lblOffset val="100"/>
        <c:noMultiLvlLbl val="0"/>
      </c:catAx>
      <c:valAx>
        <c:axId val="13370428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193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259502574676143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Egypt!$C$17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Egypt!$D$17:$BD$17</c:f>
              <c:numCache>
                <c:formatCode>General</c:formatCode>
                <c:ptCount val="53"/>
                <c:pt idx="0">
                  <c:v>631</c:v>
                </c:pt>
                <c:pt idx="1">
                  <c:v>631</c:v>
                </c:pt>
                <c:pt idx="2">
                  <c:v>659</c:v>
                </c:pt>
                <c:pt idx="3">
                  <c:v>729</c:v>
                </c:pt>
                <c:pt idx="4">
                  <c:v>740</c:v>
                </c:pt>
                <c:pt idx="5">
                  <c:v>806</c:v>
                </c:pt>
                <c:pt idx="6">
                  <c:v>859</c:v>
                </c:pt>
                <c:pt idx="7">
                  <c:v>881</c:v>
                </c:pt>
                <c:pt idx="8">
                  <c:v>906</c:v>
                </c:pt>
                <c:pt idx="9">
                  <c:v>813</c:v>
                </c:pt>
                <c:pt idx="10">
                  <c:v>874</c:v>
                </c:pt>
                <c:pt idx="11">
                  <c:v>854</c:v>
                </c:pt>
                <c:pt idx="12">
                  <c:v>831</c:v>
                </c:pt>
                <c:pt idx="13">
                  <c:v>915</c:v>
                </c:pt>
                <c:pt idx="14">
                  <c:v>824</c:v>
                </c:pt>
                <c:pt idx="15">
                  <c:v>775</c:v>
                </c:pt>
                <c:pt idx="16">
                  <c:v>800</c:v>
                </c:pt>
                <c:pt idx="17">
                  <c:v>648</c:v>
                </c:pt>
                <c:pt idx="18">
                  <c:v>681</c:v>
                </c:pt>
                <c:pt idx="19">
                  <c:v>635</c:v>
                </c:pt>
                <c:pt idx="20">
                  <c:v>643</c:v>
                </c:pt>
                <c:pt idx="21">
                  <c:v>653</c:v>
                </c:pt>
                <c:pt idx="22">
                  <c:v>596</c:v>
                </c:pt>
                <c:pt idx="23">
                  <c:v>622</c:v>
                </c:pt>
                <c:pt idx="24">
                  <c:v>540</c:v>
                </c:pt>
                <c:pt idx="25">
                  <c:v>551</c:v>
                </c:pt>
                <c:pt idx="26">
                  <c:v>600</c:v>
                </c:pt>
                <c:pt idx="27">
                  <c:v>540</c:v>
                </c:pt>
                <c:pt idx="28">
                  <c:v>578</c:v>
                </c:pt>
                <c:pt idx="29">
                  <c:v>586</c:v>
                </c:pt>
                <c:pt idx="30">
                  <c:v>611</c:v>
                </c:pt>
                <c:pt idx="31">
                  <c:v>620</c:v>
                </c:pt>
                <c:pt idx="32">
                  <c:v>615</c:v>
                </c:pt>
                <c:pt idx="33">
                  <c:v>745</c:v>
                </c:pt>
                <c:pt idx="34">
                  <c:v>760</c:v>
                </c:pt>
                <c:pt idx="35">
                  <c:v>775</c:v>
                </c:pt>
                <c:pt idx="36">
                  <c:v>766</c:v>
                </c:pt>
                <c:pt idx="37">
                  <c:v>764</c:v>
                </c:pt>
                <c:pt idx="38">
                  <c:v>765</c:v>
                </c:pt>
                <c:pt idx="39">
                  <c:v>750</c:v>
                </c:pt>
                <c:pt idx="40">
                  <c:v>750</c:v>
                </c:pt>
                <c:pt idx="41">
                  <c:v>750</c:v>
                </c:pt>
                <c:pt idx="42">
                  <c:v>900</c:v>
                </c:pt>
                <c:pt idx="43">
                  <c:v>900</c:v>
                </c:pt>
                <c:pt idx="44">
                  <c:v>900</c:v>
                </c:pt>
                <c:pt idx="45">
                  <c:v>900</c:v>
                </c:pt>
                <c:pt idx="46">
                  <c:v>900</c:v>
                </c:pt>
                <c:pt idx="47">
                  <c:v>900</c:v>
                </c:pt>
                <c:pt idx="48">
                  <c:v>900</c:v>
                </c:pt>
                <c:pt idx="49">
                  <c:v>900</c:v>
                </c:pt>
                <c:pt idx="50">
                  <c:v>900</c:v>
                </c:pt>
                <c:pt idx="51" formatCode="_(* #,##0_);_(* \(#,##0\);_(* &quot;-&quot;??_);_(@_)">
                  <c:v>8391.9500000000007</c:v>
                </c:pt>
                <c:pt idx="52" formatCode="_(* #,##0_);_(* \(#,##0\);_(* &quot;-&quot;??_);_(@_)">
                  <c:v>757.03499999999997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Egypt!$C$18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Egypt!$D$18:$BD$18</c:f>
              <c:numCache>
                <c:formatCode>General</c:formatCode>
                <c:ptCount val="53"/>
                <c:pt idx="0">
                  <c:v>1</c:v>
                </c:pt>
                <c:pt idx="1">
                  <c:v>10</c:v>
                </c:pt>
                <c:pt idx="2">
                  <c:v>7</c:v>
                </c:pt>
                <c:pt idx="3">
                  <c:v>14</c:v>
                </c:pt>
                <c:pt idx="4">
                  <c:v>6</c:v>
                </c:pt>
                <c:pt idx="5">
                  <c:v>14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6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100</c:v>
                </c:pt>
                <c:pt idx="31">
                  <c:v>0</c:v>
                </c:pt>
                <c:pt idx="32">
                  <c:v>11</c:v>
                </c:pt>
                <c:pt idx="33">
                  <c:v>0</c:v>
                </c:pt>
                <c:pt idx="34">
                  <c:v>0</c:v>
                </c:pt>
                <c:pt idx="35">
                  <c:v>18</c:v>
                </c:pt>
                <c:pt idx="36">
                  <c:v>1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2</c:v>
                </c:pt>
                <c:pt idx="48">
                  <c:v>41</c:v>
                </c:pt>
                <c:pt idx="49">
                  <c:v>22</c:v>
                </c:pt>
                <c:pt idx="50">
                  <c:v>5</c:v>
                </c:pt>
                <c:pt idx="51" formatCode="_(* #,##0_);_(* \(#,##0\);_(* &quot;-&quot;??_);_(@_)">
                  <c:v>25.699000000000002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Egypt!$C$19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Egypt!$D$19:$BD$19</c:f>
              <c:numCache>
                <c:formatCode>General</c:formatCode>
                <c:ptCount val="53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1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3</c:v>
                </c:pt>
                <c:pt idx="49">
                  <c:v>8</c:v>
                </c:pt>
                <c:pt idx="50">
                  <c:v>5</c:v>
                </c:pt>
                <c:pt idx="51" formatCode="_(* #,##0_);_(* \(#,##0\);_(* &quot;-&quot;??_);_(@_)">
                  <c:v>3.4660000000000002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Egypt!$C$20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Egypt!$D$20:$BD$20</c:f>
              <c:numCache>
                <c:formatCode>General</c:formatCode>
                <c:ptCount val="53"/>
                <c:pt idx="0">
                  <c:v>631</c:v>
                </c:pt>
                <c:pt idx="1">
                  <c:v>641</c:v>
                </c:pt>
                <c:pt idx="2">
                  <c:v>666</c:v>
                </c:pt>
                <c:pt idx="3">
                  <c:v>742</c:v>
                </c:pt>
                <c:pt idx="4">
                  <c:v>746</c:v>
                </c:pt>
                <c:pt idx="5">
                  <c:v>820</c:v>
                </c:pt>
                <c:pt idx="6">
                  <c:v>861</c:v>
                </c:pt>
                <c:pt idx="7">
                  <c:v>881</c:v>
                </c:pt>
                <c:pt idx="8">
                  <c:v>906</c:v>
                </c:pt>
                <c:pt idx="9">
                  <c:v>812</c:v>
                </c:pt>
                <c:pt idx="10">
                  <c:v>828</c:v>
                </c:pt>
                <c:pt idx="11">
                  <c:v>800</c:v>
                </c:pt>
                <c:pt idx="12">
                  <c:v>800</c:v>
                </c:pt>
                <c:pt idx="13">
                  <c:v>815</c:v>
                </c:pt>
                <c:pt idx="14">
                  <c:v>800</c:v>
                </c:pt>
                <c:pt idx="15">
                  <c:v>800</c:v>
                </c:pt>
                <c:pt idx="16">
                  <c:v>825</c:v>
                </c:pt>
                <c:pt idx="17">
                  <c:v>648</c:v>
                </c:pt>
                <c:pt idx="18">
                  <c:v>600</c:v>
                </c:pt>
                <c:pt idx="19">
                  <c:v>571</c:v>
                </c:pt>
                <c:pt idx="20">
                  <c:v>643</c:v>
                </c:pt>
                <c:pt idx="21">
                  <c:v>653</c:v>
                </c:pt>
                <c:pt idx="22">
                  <c:v>596</c:v>
                </c:pt>
                <c:pt idx="23">
                  <c:v>628</c:v>
                </c:pt>
                <c:pt idx="24">
                  <c:v>600</c:v>
                </c:pt>
                <c:pt idx="25">
                  <c:v>721</c:v>
                </c:pt>
                <c:pt idx="26">
                  <c:v>620</c:v>
                </c:pt>
                <c:pt idx="27">
                  <c:v>540</c:v>
                </c:pt>
                <c:pt idx="28">
                  <c:v>578</c:v>
                </c:pt>
                <c:pt idx="29">
                  <c:v>586</c:v>
                </c:pt>
                <c:pt idx="30">
                  <c:v>711</c:v>
                </c:pt>
                <c:pt idx="31">
                  <c:v>620</c:v>
                </c:pt>
                <c:pt idx="32">
                  <c:v>626</c:v>
                </c:pt>
                <c:pt idx="33">
                  <c:v>800</c:v>
                </c:pt>
                <c:pt idx="34">
                  <c:v>760</c:v>
                </c:pt>
                <c:pt idx="35">
                  <c:v>793</c:v>
                </c:pt>
                <c:pt idx="36">
                  <c:v>767</c:v>
                </c:pt>
                <c:pt idx="37">
                  <c:v>769</c:v>
                </c:pt>
                <c:pt idx="38">
                  <c:v>765</c:v>
                </c:pt>
                <c:pt idx="39">
                  <c:v>750</c:v>
                </c:pt>
                <c:pt idx="40">
                  <c:v>750</c:v>
                </c:pt>
                <c:pt idx="41">
                  <c:v>750</c:v>
                </c:pt>
                <c:pt idx="42">
                  <c:v>900</c:v>
                </c:pt>
                <c:pt idx="43">
                  <c:v>900</c:v>
                </c:pt>
                <c:pt idx="44">
                  <c:v>900</c:v>
                </c:pt>
                <c:pt idx="45">
                  <c:v>900</c:v>
                </c:pt>
                <c:pt idx="46">
                  <c:v>900</c:v>
                </c:pt>
                <c:pt idx="47">
                  <c:v>900</c:v>
                </c:pt>
                <c:pt idx="48">
                  <c:v>950</c:v>
                </c:pt>
                <c:pt idx="49">
                  <c:v>900</c:v>
                </c:pt>
                <c:pt idx="50">
                  <c:v>900</c:v>
                </c:pt>
                <c:pt idx="51" formatCode="_(* #,##0_);_(* \(#,##0\);_(* &quot;-&quot;??_);_(@_)">
                  <c:v>8414.1830000000009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705072"/>
        <c:axId val="133701152"/>
      </c:lineChart>
      <c:catAx>
        <c:axId val="1337050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1152"/>
        <c:crosses val="autoZero"/>
        <c:auto val="1"/>
        <c:lblAlgn val="ctr"/>
        <c:lblOffset val="100"/>
        <c:noMultiLvlLbl val="0"/>
      </c:catAx>
      <c:valAx>
        <c:axId val="13370115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13370507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78"/>
          <c:w val="0.2259502574676143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19"/>
          <c:w val="0.8452459084856948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Egypt!$C$21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Egypt!$D$1:$BB$1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Egypt!$D$21:$BB$21</c:f>
              <c:numCache>
                <c:formatCode>_(* #,##0_);_(* \(#,##0\);_(* "-"??_);_(@_)</c:formatCode>
                <c:ptCount val="51"/>
                <c:pt idx="0">
                  <c:v>4186</c:v>
                </c:pt>
                <c:pt idx="1">
                  <c:v>4808</c:v>
                </c:pt>
                <c:pt idx="2">
                  <c:v>5153</c:v>
                </c:pt>
                <c:pt idx="3">
                  <c:v>4890</c:v>
                </c:pt>
                <c:pt idx="4">
                  <c:v>4739</c:v>
                </c:pt>
                <c:pt idx="5">
                  <c:v>5189</c:v>
                </c:pt>
                <c:pt idx="6">
                  <c:v>5261</c:v>
                </c:pt>
                <c:pt idx="7">
                  <c:v>6073.9449999999997</c:v>
                </c:pt>
                <c:pt idx="8">
                  <c:v>6867</c:v>
                </c:pt>
                <c:pt idx="9">
                  <c:v>6934</c:v>
                </c:pt>
                <c:pt idx="10">
                  <c:v>7486</c:v>
                </c:pt>
                <c:pt idx="11">
                  <c:v>7701</c:v>
                </c:pt>
                <c:pt idx="12">
                  <c:v>7349</c:v>
                </c:pt>
                <c:pt idx="13">
                  <c:v>7018</c:v>
                </c:pt>
                <c:pt idx="14">
                  <c:v>7902</c:v>
                </c:pt>
                <c:pt idx="15">
                  <c:v>8445.759</c:v>
                </c:pt>
                <c:pt idx="16">
                  <c:v>8378.67</c:v>
                </c:pt>
                <c:pt idx="17">
                  <c:v>8296.32</c:v>
                </c:pt>
                <c:pt idx="18">
                  <c:v>8790.5159999999996</c:v>
                </c:pt>
                <c:pt idx="19">
                  <c:v>8618</c:v>
                </c:pt>
                <c:pt idx="20">
                  <c:v>8805</c:v>
                </c:pt>
                <c:pt idx="21">
                  <c:v>8740</c:v>
                </c:pt>
                <c:pt idx="22">
                  <c:v>8396</c:v>
                </c:pt>
                <c:pt idx="23">
                  <c:v>9142</c:v>
                </c:pt>
                <c:pt idx="24">
                  <c:v>9684</c:v>
                </c:pt>
                <c:pt idx="25">
                  <c:v>10832</c:v>
                </c:pt>
                <c:pt idx="26">
                  <c:v>8424</c:v>
                </c:pt>
                <c:pt idx="27">
                  <c:v>10795</c:v>
                </c:pt>
                <c:pt idx="28">
                  <c:v>11212.800999999999</c:v>
                </c:pt>
                <c:pt idx="29">
                  <c:v>11095.262000000001</c:v>
                </c:pt>
                <c:pt idx="30">
                  <c:v>11623.574000000001</c:v>
                </c:pt>
                <c:pt idx="31">
                  <c:v>11707.56</c:v>
                </c:pt>
                <c:pt idx="32">
                  <c:v>12411.82</c:v>
                </c:pt>
                <c:pt idx="33">
                  <c:v>13822.04</c:v>
                </c:pt>
                <c:pt idx="34">
                  <c:v>14104.772000000001</c:v>
                </c:pt>
                <c:pt idx="35">
                  <c:v>13958.413</c:v>
                </c:pt>
                <c:pt idx="36">
                  <c:v>13725.525</c:v>
                </c:pt>
                <c:pt idx="37">
                  <c:v>14352.78</c:v>
                </c:pt>
                <c:pt idx="38">
                  <c:v>15253.620999999999</c:v>
                </c:pt>
                <c:pt idx="39">
                  <c:v>15705.8</c:v>
                </c:pt>
                <c:pt idx="40">
                  <c:v>15571.5</c:v>
                </c:pt>
                <c:pt idx="41">
                  <c:v>16016.757</c:v>
                </c:pt>
                <c:pt idx="42">
                  <c:v>16245.46</c:v>
                </c:pt>
                <c:pt idx="43">
                  <c:v>16230.438</c:v>
                </c:pt>
                <c:pt idx="44">
                  <c:v>16317.32</c:v>
                </c:pt>
                <c:pt idx="45">
                  <c:v>1665.33</c:v>
                </c:pt>
                <c:pt idx="46">
                  <c:v>17014.272000000001</c:v>
                </c:pt>
                <c:pt idx="47">
                  <c:v>16470.221000000001</c:v>
                </c:pt>
                <c:pt idx="48">
                  <c:v>15482.17</c:v>
                </c:pt>
                <c:pt idx="49">
                  <c:v>15708.879000000001</c:v>
                </c:pt>
                <c:pt idx="50">
                  <c:v>15765.213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Egypt!$C$22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Egypt!$D$1:$BB$1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Egypt!$D$22:$BB$22</c:f>
              <c:numCache>
                <c:formatCode>General</c:formatCode>
                <c:ptCount val="51"/>
                <c:pt idx="0">
                  <c:v>19</c:v>
                </c:pt>
                <c:pt idx="1">
                  <c:v>116</c:v>
                </c:pt>
                <c:pt idx="2">
                  <c:v>0</c:v>
                </c:pt>
                <c:pt idx="3">
                  <c:v>90</c:v>
                </c:pt>
                <c:pt idx="4">
                  <c:v>44</c:v>
                </c:pt>
                <c:pt idx="5">
                  <c:v>140</c:v>
                </c:pt>
                <c:pt idx="6">
                  <c:v>187</c:v>
                </c:pt>
                <c:pt idx="7">
                  <c:v>153</c:v>
                </c:pt>
                <c:pt idx="8">
                  <c:v>136</c:v>
                </c:pt>
                <c:pt idx="9">
                  <c:v>105</c:v>
                </c:pt>
                <c:pt idx="10">
                  <c:v>72</c:v>
                </c:pt>
                <c:pt idx="11">
                  <c:v>50</c:v>
                </c:pt>
                <c:pt idx="12">
                  <c:v>63</c:v>
                </c:pt>
                <c:pt idx="13">
                  <c:v>90</c:v>
                </c:pt>
                <c:pt idx="14">
                  <c:v>253</c:v>
                </c:pt>
                <c:pt idx="15">
                  <c:v>222</c:v>
                </c:pt>
                <c:pt idx="16">
                  <c:v>210</c:v>
                </c:pt>
                <c:pt idx="17">
                  <c:v>310</c:v>
                </c:pt>
                <c:pt idx="18">
                  <c:v>392</c:v>
                </c:pt>
                <c:pt idx="19">
                  <c:v>522</c:v>
                </c:pt>
                <c:pt idx="20">
                  <c:v>693</c:v>
                </c:pt>
                <c:pt idx="21">
                  <c:v>650</c:v>
                </c:pt>
                <c:pt idx="22">
                  <c:v>750</c:v>
                </c:pt>
                <c:pt idx="23">
                  <c:v>780</c:v>
                </c:pt>
                <c:pt idx="24">
                  <c:v>728</c:v>
                </c:pt>
                <c:pt idx="25">
                  <c:v>750</c:v>
                </c:pt>
                <c:pt idx="26">
                  <c:v>606</c:v>
                </c:pt>
                <c:pt idx="27">
                  <c:v>635</c:v>
                </c:pt>
                <c:pt idx="28">
                  <c:v>733</c:v>
                </c:pt>
                <c:pt idx="29">
                  <c:v>595</c:v>
                </c:pt>
                <c:pt idx="30">
                  <c:v>525</c:v>
                </c:pt>
                <c:pt idx="31">
                  <c:v>570</c:v>
                </c:pt>
                <c:pt idx="32">
                  <c:v>550</c:v>
                </c:pt>
                <c:pt idx="33">
                  <c:v>550</c:v>
                </c:pt>
                <c:pt idx="34">
                  <c:v>584</c:v>
                </c:pt>
                <c:pt idx="35">
                  <c:v>617</c:v>
                </c:pt>
                <c:pt idx="36" formatCode="#,##0">
                  <c:v>1305</c:v>
                </c:pt>
                <c:pt idx="37">
                  <c:v>915</c:v>
                </c:pt>
                <c:pt idx="38">
                  <c:v>653</c:v>
                </c:pt>
                <c:pt idx="39">
                  <c:v>292</c:v>
                </c:pt>
                <c:pt idx="40">
                  <c:v>946</c:v>
                </c:pt>
                <c:pt idx="41" formatCode="#,##0">
                  <c:v>1102</c:v>
                </c:pt>
                <c:pt idx="42" formatCode="#,##0">
                  <c:v>1100</c:v>
                </c:pt>
                <c:pt idx="43">
                  <c:v>900</c:v>
                </c:pt>
                <c:pt idx="44">
                  <c:v>905</c:v>
                </c:pt>
                <c:pt idx="45" formatCode="#,##0">
                  <c:v>1003</c:v>
                </c:pt>
                <c:pt idx="46">
                  <c:v>936</c:v>
                </c:pt>
                <c:pt idx="47" formatCode="#,##0">
                  <c:v>1390</c:v>
                </c:pt>
                <c:pt idx="48" formatCode="#,##0">
                  <c:v>1382</c:v>
                </c:pt>
                <c:pt idx="49">
                  <c:v>978</c:v>
                </c:pt>
                <c:pt idx="50" formatCode="#,##0">
                  <c:v>1120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Egypt!$C$23</c:f>
              <c:strCache>
                <c:ptCount val="1"/>
                <c:pt idx="0">
                  <c:v>Total 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Egypt!$D$1:$BB$1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Egypt!$D$23:$BB$23</c:f>
              <c:numCache>
                <c:formatCode>General</c:formatCode>
                <c:ptCount val="51"/>
                <c:pt idx="0">
                  <c:v>73</c:v>
                </c:pt>
                <c:pt idx="1">
                  <c:v>52</c:v>
                </c:pt>
                <c:pt idx="2">
                  <c:v>30</c:v>
                </c:pt>
                <c:pt idx="3">
                  <c:v>25</c:v>
                </c:pt>
                <c:pt idx="4">
                  <c:v>16</c:v>
                </c:pt>
                <c:pt idx="5">
                  <c:v>6</c:v>
                </c:pt>
                <c:pt idx="6">
                  <c:v>11</c:v>
                </c:pt>
                <c:pt idx="7">
                  <c:v>32</c:v>
                </c:pt>
                <c:pt idx="8">
                  <c:v>66</c:v>
                </c:pt>
                <c:pt idx="9">
                  <c:v>58</c:v>
                </c:pt>
                <c:pt idx="10">
                  <c:v>70</c:v>
                </c:pt>
                <c:pt idx="11">
                  <c:v>23</c:v>
                </c:pt>
                <c:pt idx="12">
                  <c:v>32</c:v>
                </c:pt>
                <c:pt idx="13">
                  <c:v>12</c:v>
                </c:pt>
                <c:pt idx="14">
                  <c:v>0</c:v>
                </c:pt>
                <c:pt idx="15">
                  <c:v>0</c:v>
                </c:pt>
                <c:pt idx="16">
                  <c:v>51</c:v>
                </c:pt>
                <c:pt idx="17">
                  <c:v>48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63</c:v>
                </c:pt>
                <c:pt idx="35">
                  <c:v>3</c:v>
                </c:pt>
                <c:pt idx="36">
                  <c:v>206</c:v>
                </c:pt>
                <c:pt idx="37">
                  <c:v>118</c:v>
                </c:pt>
                <c:pt idx="38">
                  <c:v>150</c:v>
                </c:pt>
                <c:pt idx="39">
                  <c:v>65</c:v>
                </c:pt>
                <c:pt idx="40">
                  <c:v>84</c:v>
                </c:pt>
                <c:pt idx="41">
                  <c:v>52</c:v>
                </c:pt>
                <c:pt idx="42">
                  <c:v>0</c:v>
                </c:pt>
                <c:pt idx="43">
                  <c:v>150</c:v>
                </c:pt>
                <c:pt idx="44">
                  <c:v>0</c:v>
                </c:pt>
                <c:pt idx="45">
                  <c:v>100</c:v>
                </c:pt>
                <c:pt idx="46">
                  <c:v>100</c:v>
                </c:pt>
                <c:pt idx="47">
                  <c:v>50</c:v>
                </c:pt>
                <c:pt idx="48">
                  <c:v>100</c:v>
                </c:pt>
                <c:pt idx="49">
                  <c:v>0</c:v>
                </c:pt>
                <c:pt idx="50">
                  <c:v>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Egypt!$C$24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Egypt!$D$1:$BB$1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Egypt!$D$24:$BB$24</c:f>
              <c:numCache>
                <c:formatCode>General</c:formatCode>
                <c:ptCount val="51"/>
                <c:pt idx="0">
                  <c:v>4132</c:v>
                </c:pt>
                <c:pt idx="1">
                  <c:v>4872</c:v>
                </c:pt>
                <c:pt idx="2">
                  <c:v>5123</c:v>
                </c:pt>
                <c:pt idx="3">
                  <c:v>4955</c:v>
                </c:pt>
                <c:pt idx="4">
                  <c:v>4767</c:v>
                </c:pt>
                <c:pt idx="5">
                  <c:v>5323</c:v>
                </c:pt>
                <c:pt idx="6">
                  <c:v>5437</c:v>
                </c:pt>
                <c:pt idx="7">
                  <c:v>6194.9449999999997</c:v>
                </c:pt>
                <c:pt idx="8">
                  <c:v>6937</c:v>
                </c:pt>
                <c:pt idx="9">
                  <c:v>6981</c:v>
                </c:pt>
                <c:pt idx="10">
                  <c:v>7488</c:v>
                </c:pt>
                <c:pt idx="11">
                  <c:v>7728</c:v>
                </c:pt>
                <c:pt idx="12">
                  <c:v>7380</c:v>
                </c:pt>
                <c:pt idx="13">
                  <c:v>7096</c:v>
                </c:pt>
                <c:pt idx="14">
                  <c:v>8155</c:v>
                </c:pt>
                <c:pt idx="15">
                  <c:v>8667.759</c:v>
                </c:pt>
                <c:pt idx="16">
                  <c:v>8537.67</c:v>
                </c:pt>
                <c:pt idx="17">
                  <c:v>8558.32</c:v>
                </c:pt>
                <c:pt idx="18">
                  <c:v>9182.5159999999996</c:v>
                </c:pt>
                <c:pt idx="19">
                  <c:v>9140</c:v>
                </c:pt>
                <c:pt idx="20">
                  <c:v>9498</c:v>
                </c:pt>
                <c:pt idx="21">
                  <c:v>9390</c:v>
                </c:pt>
                <c:pt idx="22">
                  <c:v>9146</c:v>
                </c:pt>
                <c:pt idx="23">
                  <c:v>9922</c:v>
                </c:pt>
                <c:pt idx="24">
                  <c:v>10412</c:v>
                </c:pt>
                <c:pt idx="25">
                  <c:v>11582</c:v>
                </c:pt>
                <c:pt idx="26">
                  <c:v>9030</c:v>
                </c:pt>
                <c:pt idx="27">
                  <c:v>11430</c:v>
                </c:pt>
                <c:pt idx="28">
                  <c:v>11945.800999999999</c:v>
                </c:pt>
                <c:pt idx="29">
                  <c:v>11690.262000000001</c:v>
                </c:pt>
                <c:pt idx="30">
                  <c:v>12148.574000000001</c:v>
                </c:pt>
                <c:pt idx="31">
                  <c:v>12277.56</c:v>
                </c:pt>
                <c:pt idx="32">
                  <c:v>12961.82</c:v>
                </c:pt>
                <c:pt idx="33">
                  <c:v>14372.04</c:v>
                </c:pt>
                <c:pt idx="34">
                  <c:v>14625.772000000001</c:v>
                </c:pt>
                <c:pt idx="35">
                  <c:v>14572.413</c:v>
                </c:pt>
                <c:pt idx="36">
                  <c:v>14824.525</c:v>
                </c:pt>
                <c:pt idx="37">
                  <c:v>15149.78</c:v>
                </c:pt>
                <c:pt idx="38">
                  <c:v>15756.620999999999</c:v>
                </c:pt>
                <c:pt idx="39">
                  <c:v>15932.8</c:v>
                </c:pt>
                <c:pt idx="40">
                  <c:v>16433.5</c:v>
                </c:pt>
                <c:pt idx="41">
                  <c:v>17066.756999999998</c:v>
                </c:pt>
                <c:pt idx="42">
                  <c:v>17345.46</c:v>
                </c:pt>
                <c:pt idx="43">
                  <c:v>16980.438000000002</c:v>
                </c:pt>
                <c:pt idx="44">
                  <c:v>17222.32</c:v>
                </c:pt>
                <c:pt idx="45">
                  <c:v>2568.33</c:v>
                </c:pt>
                <c:pt idx="46">
                  <c:v>17850.272000000001</c:v>
                </c:pt>
                <c:pt idx="47">
                  <c:v>17810.221000000001</c:v>
                </c:pt>
                <c:pt idx="48">
                  <c:v>16764.169999999998</c:v>
                </c:pt>
                <c:pt idx="49">
                  <c:v>16686.879000000001</c:v>
                </c:pt>
                <c:pt idx="50">
                  <c:v>16885.213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066232"/>
        <c:axId val="313068584"/>
      </c:lineChart>
      <c:catAx>
        <c:axId val="3130662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68584"/>
        <c:crosses val="autoZero"/>
        <c:auto val="1"/>
        <c:lblAlgn val="ctr"/>
        <c:lblOffset val="100"/>
        <c:noMultiLvlLbl val="0"/>
      </c:catAx>
      <c:valAx>
        <c:axId val="3130685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6623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"/>
          <c:w val="0.91165128933230188"/>
          <c:h val="0.107806858321010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27"/>
          <c:w val="0.845245908485695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Egypt!$C$1</c:f>
              <c:strCache>
                <c:ptCount val="1"/>
                <c:pt idx="0">
                  <c:v>Attribute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Egypt!$C$25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Egypt!$D$25:$BD$25</c:f>
              <c:numCache>
                <c:formatCode>#,##0</c:formatCode>
                <c:ptCount val="53"/>
                <c:pt idx="0">
                  <c:v>1499</c:v>
                </c:pt>
                <c:pt idx="1">
                  <c:v>1436</c:v>
                </c:pt>
                <c:pt idx="2">
                  <c:v>1593</c:v>
                </c:pt>
                <c:pt idx="3">
                  <c:v>1493</c:v>
                </c:pt>
                <c:pt idx="4">
                  <c:v>1500</c:v>
                </c:pt>
                <c:pt idx="5">
                  <c:v>1272</c:v>
                </c:pt>
                <c:pt idx="6">
                  <c:v>1465</c:v>
                </c:pt>
                <c:pt idx="7">
                  <c:v>1299</c:v>
                </c:pt>
                <c:pt idx="8">
                  <c:v>1526</c:v>
                </c:pt>
                <c:pt idx="9">
                  <c:v>1277</c:v>
                </c:pt>
                <c:pt idx="10">
                  <c:v>1519</c:v>
                </c:pt>
                <c:pt idx="11">
                  <c:v>1729</c:v>
                </c:pt>
                <c:pt idx="12">
                  <c:v>1616</c:v>
                </c:pt>
                <c:pt idx="13">
                  <c:v>1837</c:v>
                </c:pt>
                <c:pt idx="14">
                  <c:v>1883</c:v>
                </c:pt>
                <c:pt idx="15">
                  <c:v>2033</c:v>
                </c:pt>
                <c:pt idx="16">
                  <c:v>1960</c:v>
                </c:pt>
                <c:pt idx="17">
                  <c:v>1697</c:v>
                </c:pt>
                <c:pt idx="18">
                  <c:v>1933</c:v>
                </c:pt>
                <c:pt idx="19">
                  <c:v>1856</c:v>
                </c:pt>
                <c:pt idx="20">
                  <c:v>1796</c:v>
                </c:pt>
                <c:pt idx="21">
                  <c:v>1938</c:v>
                </c:pt>
                <c:pt idx="22">
                  <c:v>2017</c:v>
                </c:pt>
                <c:pt idx="23">
                  <c:v>1996</c:v>
                </c:pt>
                <c:pt idx="24">
                  <c:v>1815</c:v>
                </c:pt>
                <c:pt idx="25">
                  <c:v>1873</c:v>
                </c:pt>
                <c:pt idx="26">
                  <c:v>1929</c:v>
                </c:pt>
                <c:pt idx="27">
                  <c:v>2443</c:v>
                </c:pt>
                <c:pt idx="28">
                  <c:v>2839</c:v>
                </c:pt>
                <c:pt idx="29">
                  <c:v>3183</c:v>
                </c:pt>
                <c:pt idx="30">
                  <c:v>4286</c:v>
                </c:pt>
                <c:pt idx="31">
                  <c:v>4482</c:v>
                </c:pt>
                <c:pt idx="32">
                  <c:v>4617</c:v>
                </c:pt>
                <c:pt idx="33">
                  <c:v>4780</c:v>
                </c:pt>
                <c:pt idx="34">
                  <c:v>4100</c:v>
                </c:pt>
                <c:pt idx="35">
                  <c:v>5700</c:v>
                </c:pt>
                <c:pt idx="36">
                  <c:v>5735</c:v>
                </c:pt>
                <c:pt idx="37">
                  <c:v>5850</c:v>
                </c:pt>
                <c:pt idx="38">
                  <c:v>6104</c:v>
                </c:pt>
                <c:pt idx="39">
                  <c:v>6350</c:v>
                </c:pt>
                <c:pt idx="40">
                  <c:v>6350</c:v>
                </c:pt>
                <c:pt idx="41">
                  <c:v>6130</c:v>
                </c:pt>
                <c:pt idx="42">
                  <c:v>6300</c:v>
                </c:pt>
                <c:pt idx="43">
                  <c:v>6443</c:v>
                </c:pt>
                <c:pt idx="44">
                  <c:v>7177</c:v>
                </c:pt>
                <c:pt idx="45">
                  <c:v>8184</c:v>
                </c:pt>
                <c:pt idx="46">
                  <c:v>8274</c:v>
                </c:pt>
                <c:pt idx="47">
                  <c:v>8275</c:v>
                </c:pt>
                <c:pt idx="48">
                  <c:v>7977</c:v>
                </c:pt>
                <c:pt idx="49">
                  <c:v>8523</c:v>
                </c:pt>
                <c:pt idx="50">
                  <c:v>7200</c:v>
                </c:pt>
                <c:pt idx="51" formatCode="_(* #,##0_);_(* \(#,##0\);_(* &quot;-&quot;??_);_(@_)">
                  <c:v>8407.1260000000002</c:v>
                </c:pt>
                <c:pt idx="52" formatCode="_(* #,##0_);_(* \(#,##0\);_(* &quot;-&quot;??_);_(@_)">
                  <c:v>8795.4830000000002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Egypt!$C$26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Egypt!$D$26:$BD$26</c:f>
              <c:numCache>
                <c:formatCode>#,##0</c:formatCode>
                <c:ptCount val="53"/>
                <c:pt idx="0" formatCode="General">
                  <c:v>996</c:v>
                </c:pt>
                <c:pt idx="1">
                  <c:v>1709</c:v>
                </c:pt>
                <c:pt idx="2">
                  <c:v>1730</c:v>
                </c:pt>
                <c:pt idx="3">
                  <c:v>1933</c:v>
                </c:pt>
                <c:pt idx="4">
                  <c:v>1977</c:v>
                </c:pt>
                <c:pt idx="5">
                  <c:v>2344</c:v>
                </c:pt>
                <c:pt idx="6">
                  <c:v>2498</c:v>
                </c:pt>
                <c:pt idx="7">
                  <c:v>2782</c:v>
                </c:pt>
                <c:pt idx="8">
                  <c:v>1940</c:v>
                </c:pt>
                <c:pt idx="9">
                  <c:v>2220</c:v>
                </c:pt>
                <c:pt idx="10">
                  <c:v>2835</c:v>
                </c:pt>
                <c:pt idx="11">
                  <c:v>2590</c:v>
                </c:pt>
                <c:pt idx="12">
                  <c:v>3040</c:v>
                </c:pt>
                <c:pt idx="13">
                  <c:v>3180</c:v>
                </c:pt>
                <c:pt idx="14">
                  <c:v>3490</c:v>
                </c:pt>
                <c:pt idx="15">
                  <c:v>3800</c:v>
                </c:pt>
                <c:pt idx="16">
                  <c:v>3883</c:v>
                </c:pt>
                <c:pt idx="17">
                  <c:v>4344</c:v>
                </c:pt>
                <c:pt idx="18">
                  <c:v>5119</c:v>
                </c:pt>
                <c:pt idx="19">
                  <c:v>4906</c:v>
                </c:pt>
                <c:pt idx="20">
                  <c:v>5423</c:v>
                </c:pt>
                <c:pt idx="21">
                  <c:v>5878</c:v>
                </c:pt>
                <c:pt idx="22">
                  <c:v>5503</c:v>
                </c:pt>
                <c:pt idx="23">
                  <c:v>5857</c:v>
                </c:pt>
                <c:pt idx="24">
                  <c:v>6302</c:v>
                </c:pt>
                <c:pt idx="25">
                  <c:v>6236</c:v>
                </c:pt>
                <c:pt idx="26">
                  <c:v>7022</c:v>
                </c:pt>
                <c:pt idx="27">
                  <c:v>7473</c:v>
                </c:pt>
                <c:pt idx="28">
                  <c:v>7408</c:v>
                </c:pt>
                <c:pt idx="29">
                  <c:v>7258</c:v>
                </c:pt>
                <c:pt idx="30">
                  <c:v>5680</c:v>
                </c:pt>
                <c:pt idx="31">
                  <c:v>5807</c:v>
                </c:pt>
                <c:pt idx="32">
                  <c:v>6004</c:v>
                </c:pt>
                <c:pt idx="33">
                  <c:v>5866</c:v>
                </c:pt>
                <c:pt idx="34">
                  <c:v>5856</c:v>
                </c:pt>
                <c:pt idx="35">
                  <c:v>5932</c:v>
                </c:pt>
                <c:pt idx="36">
                  <c:v>6893</c:v>
                </c:pt>
                <c:pt idx="37">
                  <c:v>7134</c:v>
                </c:pt>
                <c:pt idx="38">
                  <c:v>7454</c:v>
                </c:pt>
                <c:pt idx="39">
                  <c:v>5872</c:v>
                </c:pt>
                <c:pt idx="40">
                  <c:v>6050</c:v>
                </c:pt>
                <c:pt idx="41">
                  <c:v>6944</c:v>
                </c:pt>
                <c:pt idx="42">
                  <c:v>6327</c:v>
                </c:pt>
                <c:pt idx="43">
                  <c:v>7295</c:v>
                </c:pt>
                <c:pt idx="44">
                  <c:v>8150</c:v>
                </c:pt>
                <c:pt idx="45">
                  <c:v>7771</c:v>
                </c:pt>
                <c:pt idx="46">
                  <c:v>7300</c:v>
                </c:pt>
                <c:pt idx="47">
                  <c:v>7700</c:v>
                </c:pt>
                <c:pt idx="48">
                  <c:v>9900</c:v>
                </c:pt>
                <c:pt idx="49">
                  <c:v>10300</c:v>
                </c:pt>
                <c:pt idx="50">
                  <c:v>10000</c:v>
                </c:pt>
                <c:pt idx="51" formatCode="_(* #,##0_);_(* \(#,##0\);_(* &quot;-&quot;??_);_(@_)">
                  <c:v>9800.0609999999997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Egypt!$C$27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Egypt!$D$27:$BD$27</c:f>
              <c:numCache>
                <c:formatCode>General</c:formatCode>
                <c:ptCount val="53"/>
                <c:pt idx="0">
                  <c:v>5</c:v>
                </c:pt>
                <c:pt idx="1">
                  <c:v>6</c:v>
                </c:pt>
                <c:pt idx="2">
                  <c:v>15</c:v>
                </c:pt>
                <c:pt idx="3">
                  <c:v>19</c:v>
                </c:pt>
                <c:pt idx="4">
                  <c:v>12</c:v>
                </c:pt>
                <c:pt idx="5">
                  <c:v>21</c:v>
                </c:pt>
                <c:pt idx="6">
                  <c:v>29</c:v>
                </c:pt>
                <c:pt idx="7">
                  <c:v>12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2</c:v>
                </c:pt>
                <c:pt idx="34">
                  <c:v>3</c:v>
                </c:pt>
                <c:pt idx="35">
                  <c:v>10</c:v>
                </c:pt>
                <c:pt idx="36">
                  <c:v>3</c:v>
                </c:pt>
                <c:pt idx="37">
                  <c:v>1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11</c:v>
                </c:pt>
                <c:pt idx="42">
                  <c:v>10</c:v>
                </c:pt>
                <c:pt idx="43">
                  <c:v>10</c:v>
                </c:pt>
                <c:pt idx="44">
                  <c:v>10</c:v>
                </c:pt>
                <c:pt idx="45">
                  <c:v>10</c:v>
                </c:pt>
                <c:pt idx="46">
                  <c:v>12</c:v>
                </c:pt>
                <c:pt idx="47">
                  <c:v>62</c:v>
                </c:pt>
                <c:pt idx="48">
                  <c:v>114</c:v>
                </c:pt>
                <c:pt idx="49">
                  <c:v>9</c:v>
                </c:pt>
                <c:pt idx="50">
                  <c:v>10</c:v>
                </c:pt>
                <c:pt idx="51" formatCode="_(* #,##0_);_(* \(#,##0\);_(* &quot;-&quot;??_);_(@_)">
                  <c:v>2.665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Egypt!$C$28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Egypt!$D$1:$BD$1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Egypt!$D$28:$BD$28</c:f>
              <c:numCache>
                <c:formatCode>#,##0</c:formatCode>
                <c:ptCount val="53"/>
                <c:pt idx="0">
                  <c:v>2490</c:v>
                </c:pt>
                <c:pt idx="1">
                  <c:v>3139</c:v>
                </c:pt>
                <c:pt idx="2">
                  <c:v>3308</c:v>
                </c:pt>
                <c:pt idx="3">
                  <c:v>3407</c:v>
                </c:pt>
                <c:pt idx="4">
                  <c:v>3465</c:v>
                </c:pt>
                <c:pt idx="5">
                  <c:v>3595</c:v>
                </c:pt>
                <c:pt idx="6">
                  <c:v>3934</c:v>
                </c:pt>
                <c:pt idx="7">
                  <c:v>4069</c:v>
                </c:pt>
                <c:pt idx="8">
                  <c:v>3466</c:v>
                </c:pt>
                <c:pt idx="9">
                  <c:v>3497</c:v>
                </c:pt>
                <c:pt idx="10">
                  <c:v>4354</c:v>
                </c:pt>
                <c:pt idx="11">
                  <c:v>4319</c:v>
                </c:pt>
                <c:pt idx="12">
                  <c:v>4656</c:v>
                </c:pt>
                <c:pt idx="13">
                  <c:v>4217</c:v>
                </c:pt>
                <c:pt idx="14">
                  <c:v>5373</c:v>
                </c:pt>
                <c:pt idx="15">
                  <c:v>5733</c:v>
                </c:pt>
                <c:pt idx="16">
                  <c:v>5793</c:v>
                </c:pt>
                <c:pt idx="17">
                  <c:v>6091</c:v>
                </c:pt>
                <c:pt idx="18">
                  <c:v>7052</c:v>
                </c:pt>
                <c:pt idx="19">
                  <c:v>7162</c:v>
                </c:pt>
                <c:pt idx="20">
                  <c:v>7469</c:v>
                </c:pt>
                <c:pt idx="21">
                  <c:v>7670</c:v>
                </c:pt>
                <c:pt idx="22">
                  <c:v>7576</c:v>
                </c:pt>
                <c:pt idx="23">
                  <c:v>7950</c:v>
                </c:pt>
                <c:pt idx="24">
                  <c:v>8150</c:v>
                </c:pt>
                <c:pt idx="25">
                  <c:v>8169</c:v>
                </c:pt>
                <c:pt idx="26">
                  <c:v>8601</c:v>
                </c:pt>
                <c:pt idx="27">
                  <c:v>9616</c:v>
                </c:pt>
                <c:pt idx="28">
                  <c:v>10247</c:v>
                </c:pt>
                <c:pt idx="29">
                  <c:v>10441</c:v>
                </c:pt>
                <c:pt idx="30">
                  <c:v>10266</c:v>
                </c:pt>
                <c:pt idx="31">
                  <c:v>10289</c:v>
                </c:pt>
                <c:pt idx="32">
                  <c:v>10421</c:v>
                </c:pt>
                <c:pt idx="33">
                  <c:v>10514</c:v>
                </c:pt>
                <c:pt idx="34">
                  <c:v>10383</c:v>
                </c:pt>
                <c:pt idx="35">
                  <c:v>11300</c:v>
                </c:pt>
                <c:pt idx="36">
                  <c:v>11600</c:v>
                </c:pt>
                <c:pt idx="37">
                  <c:v>12100</c:v>
                </c:pt>
                <c:pt idx="38">
                  <c:v>13000</c:v>
                </c:pt>
                <c:pt idx="39">
                  <c:v>13300</c:v>
                </c:pt>
                <c:pt idx="40">
                  <c:v>12800</c:v>
                </c:pt>
                <c:pt idx="41">
                  <c:v>12900</c:v>
                </c:pt>
                <c:pt idx="42">
                  <c:v>13300</c:v>
                </c:pt>
                <c:pt idx="43">
                  <c:v>13600</c:v>
                </c:pt>
                <c:pt idx="44">
                  <c:v>14000</c:v>
                </c:pt>
                <c:pt idx="45">
                  <c:v>14700</c:v>
                </c:pt>
                <c:pt idx="46">
                  <c:v>15300</c:v>
                </c:pt>
                <c:pt idx="47">
                  <c:v>15800</c:v>
                </c:pt>
                <c:pt idx="48">
                  <c:v>17200</c:v>
                </c:pt>
                <c:pt idx="49">
                  <c:v>17900</c:v>
                </c:pt>
                <c:pt idx="50">
                  <c:v>17500</c:v>
                </c:pt>
                <c:pt idx="51" formatCode="_(* #,##0_);_(* \(#,##0\);_(* &quot;-&quot;??_);_(@_)">
                  <c:v>18204.521999999997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065840"/>
        <c:axId val="313070936"/>
      </c:lineChart>
      <c:catAx>
        <c:axId val="313065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70936"/>
        <c:crosses val="autoZero"/>
        <c:auto val="1"/>
        <c:lblAlgn val="ctr"/>
        <c:lblOffset val="100"/>
        <c:noMultiLvlLbl val="0"/>
      </c:catAx>
      <c:valAx>
        <c:axId val="3130709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6584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22"/>
          <c:w val="0.2259502574676143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  <c:userShapes r:id="rId1"/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1"/>
          <c:order val="1"/>
          <c:tx>
            <c:strRef>
              <c:f>'EU-28'!$C$2</c:f>
              <c:strCache>
                <c:ptCount val="1"/>
                <c:pt idx="0">
                  <c:v>Production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'EU-28'!$D$2:$Q$2</c:f>
              <c:numCache>
                <c:formatCode>#,##0</c:formatCode>
                <c:ptCount val="14"/>
                <c:pt idx="0">
                  <c:v>57339</c:v>
                </c:pt>
                <c:pt idx="1">
                  <c:v>50089</c:v>
                </c:pt>
                <c:pt idx="2">
                  <c:v>58022</c:v>
                </c:pt>
                <c:pt idx="3">
                  <c:v>57660</c:v>
                </c:pt>
                <c:pt idx="4">
                  <c:v>47905</c:v>
                </c:pt>
                <c:pt idx="5">
                  <c:v>66471</c:v>
                </c:pt>
                <c:pt idx="6">
                  <c:v>60668</c:v>
                </c:pt>
                <c:pt idx="7">
                  <c:v>53829</c:v>
                </c:pt>
                <c:pt idx="8">
                  <c:v>47555</c:v>
                </c:pt>
                <c:pt idx="9">
                  <c:v>62321</c:v>
                </c:pt>
                <c:pt idx="10">
                  <c:v>57147</c:v>
                </c:pt>
                <c:pt idx="11" formatCode="_(* #,##0_);_(* \(#,##0\);_(* &quot;-&quot;??_);_(@_)">
                  <c:v>110655.321</c:v>
                </c:pt>
                <c:pt idx="12" formatCode="_(* #,##0_);_(* \(#,##0\);_(* &quot;-&quot;??_);_(@_)">
                  <c:v>95316.15</c:v>
                </c:pt>
                <c:pt idx="13" formatCode="_(* #,##0_);_(* \(#,##0\);_(* &quot;-&quot;??_);_(@_)">
                  <c:v>118922.268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'EU-28'!$C$3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'EU-28'!$D$3:$Q$3</c:f>
              <c:numCache>
                <c:formatCode>#,##0</c:formatCode>
                <c:ptCount val="14"/>
                <c:pt idx="0">
                  <c:v>2384</c:v>
                </c:pt>
                <c:pt idx="1">
                  <c:v>3689</c:v>
                </c:pt>
                <c:pt idx="2">
                  <c:v>2201</c:v>
                </c:pt>
                <c:pt idx="3">
                  <c:v>2824</c:v>
                </c:pt>
                <c:pt idx="4">
                  <c:v>5859</c:v>
                </c:pt>
                <c:pt idx="5">
                  <c:v>2469</c:v>
                </c:pt>
                <c:pt idx="6">
                  <c:v>2673</c:v>
                </c:pt>
                <c:pt idx="7">
                  <c:v>7172</c:v>
                </c:pt>
                <c:pt idx="8">
                  <c:v>14016</c:v>
                </c:pt>
                <c:pt idx="9">
                  <c:v>2754</c:v>
                </c:pt>
                <c:pt idx="10">
                  <c:v>2931</c:v>
                </c:pt>
                <c:pt idx="11" formatCode="_(* #,##0_);_(* \(#,##0\);_(* &quot;-&quot;??_);_(@_)">
                  <c:v>21283.977999999999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'EU-28'!$C$4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'EU-28'!$D$4:$Q$4</c:f>
              <c:numCache>
                <c:formatCode>General</c:formatCode>
                <c:ptCount val="14"/>
                <c:pt idx="0" formatCode="#,##0">
                  <c:v>1408</c:v>
                </c:pt>
                <c:pt idx="1">
                  <c:v>585</c:v>
                </c:pt>
                <c:pt idx="2" formatCode="#,##0">
                  <c:v>1258</c:v>
                </c:pt>
                <c:pt idx="3">
                  <c:v>756</c:v>
                </c:pt>
                <c:pt idx="4">
                  <c:v>455</c:v>
                </c:pt>
                <c:pt idx="5">
                  <c:v>678</c:v>
                </c:pt>
                <c:pt idx="6">
                  <c:v>449</c:v>
                </c:pt>
                <c:pt idx="7">
                  <c:v>664</c:v>
                </c:pt>
                <c:pt idx="8">
                  <c:v>591</c:v>
                </c:pt>
                <c:pt idx="9" formatCode="#,##0">
                  <c:v>1743</c:v>
                </c:pt>
                <c:pt idx="10" formatCode="#,##0">
                  <c:v>1519</c:v>
                </c:pt>
                <c:pt idx="11" formatCode="_(* #,##0_);_(* \(#,##0\);_(* &quot;-&quot;??_);_(@_)">
                  <c:v>26972.945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'EU-28'!$C$5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'EU-28'!$D$5:$Q$5</c:f>
              <c:numCache>
                <c:formatCode>#,##0</c:formatCode>
                <c:ptCount val="14"/>
                <c:pt idx="0">
                  <c:v>57582</c:v>
                </c:pt>
                <c:pt idx="1">
                  <c:v>55108</c:v>
                </c:pt>
                <c:pt idx="2">
                  <c:v>58288</c:v>
                </c:pt>
                <c:pt idx="3">
                  <c:v>57576</c:v>
                </c:pt>
                <c:pt idx="4">
                  <c:v>55764</c:v>
                </c:pt>
                <c:pt idx="5">
                  <c:v>63200</c:v>
                </c:pt>
                <c:pt idx="6">
                  <c:v>61500</c:v>
                </c:pt>
                <c:pt idx="7">
                  <c:v>62400</c:v>
                </c:pt>
                <c:pt idx="8">
                  <c:v>64000</c:v>
                </c:pt>
                <c:pt idx="9">
                  <c:v>61600</c:v>
                </c:pt>
                <c:pt idx="10">
                  <c:v>60000</c:v>
                </c:pt>
                <c:pt idx="11" formatCode="_(* #,##0_);_(* \(#,##0\);_(* &quot;-&quot;??_);_(@_)">
                  <c:v>104966.35399999999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069368"/>
        <c:axId val="3130697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'EU-28'!$C$1</c15:sqref>
                        </c15:formulaRef>
                      </c:ext>
                    </c:extLst>
                    <c:strCache>
                      <c:ptCount val="1"/>
                      <c:pt idx="0">
                        <c:v>Attribute</c:v>
                      </c:pt>
                    </c:strCache>
                  </c:strRef>
                </c:tx>
                <c:spPr>
                  <a:ln>
                    <a:solidFill>
                      <a:srgbClr val="C00000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'EU-28'!$D$1:$Q$1</c15:sqref>
                        </c15:formulaRef>
                      </c:ext>
                    </c:extLst>
                    <c:numCache>
                      <c:formatCode>General</c:formatCode>
                      <c:ptCount val="14"/>
                      <c:pt idx="0">
                        <c:v>2000</c:v>
                      </c:pt>
                      <c:pt idx="1">
                        <c:v>2001</c:v>
                      </c:pt>
                      <c:pt idx="2">
                        <c:v>2002</c:v>
                      </c:pt>
                      <c:pt idx="3">
                        <c:v>2003</c:v>
                      </c:pt>
                      <c:pt idx="4">
                        <c:v>2004</c:v>
                      </c:pt>
                      <c:pt idx="5">
                        <c:v>2005</c:v>
                      </c:pt>
                      <c:pt idx="6">
                        <c:v>2006</c:v>
                      </c:pt>
                      <c:pt idx="7">
                        <c:v>2007</c:v>
                      </c:pt>
                      <c:pt idx="8">
                        <c:v>2008</c:v>
                      </c:pt>
                      <c:pt idx="9">
                        <c:v>2009</c:v>
                      </c:pt>
                      <c:pt idx="10">
                        <c:v>2010</c:v>
                      </c:pt>
                      <c:pt idx="11">
                        <c:v>2011</c:v>
                      </c:pt>
                      <c:pt idx="12">
                        <c:v>2012</c:v>
                      </c:pt>
                      <c:pt idx="13">
                        <c:v>2013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'EU-28'!$D$1:$Q$1</c15:sqref>
                        </c15:formulaRef>
                      </c:ext>
                    </c:extLst>
                    <c:numCache>
                      <c:formatCode>General</c:formatCode>
                      <c:ptCount val="14"/>
                      <c:pt idx="0">
                        <c:v>2000</c:v>
                      </c:pt>
                      <c:pt idx="1">
                        <c:v>2001</c:v>
                      </c:pt>
                      <c:pt idx="2">
                        <c:v>2002</c:v>
                      </c:pt>
                      <c:pt idx="3">
                        <c:v>2003</c:v>
                      </c:pt>
                      <c:pt idx="4">
                        <c:v>2004</c:v>
                      </c:pt>
                      <c:pt idx="5">
                        <c:v>2005</c:v>
                      </c:pt>
                      <c:pt idx="6">
                        <c:v>2006</c:v>
                      </c:pt>
                      <c:pt idx="7">
                        <c:v>2007</c:v>
                      </c:pt>
                      <c:pt idx="8">
                        <c:v>2008</c:v>
                      </c:pt>
                      <c:pt idx="9">
                        <c:v>2009</c:v>
                      </c:pt>
                      <c:pt idx="10">
                        <c:v>2010</c:v>
                      </c:pt>
                      <c:pt idx="11">
                        <c:v>2011</c:v>
                      </c:pt>
                      <c:pt idx="12">
                        <c:v>2012</c:v>
                      </c:pt>
                      <c:pt idx="13">
                        <c:v>2013</c:v>
                      </c:pt>
                    </c:numCache>
                  </c:numRef>
                </c:val>
                <c:smooth val="0"/>
              </c15:ser>
            </c15:filteredLineSeries>
            <c15:filteredLine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'EU-28'!$C$6</c15:sqref>
                        </c15:formulaRef>
                      </c:ext>
                    </c:extLst>
                    <c:strCache>
                      <c:ptCount val="1"/>
                      <c:pt idx="0">
                        <c:v>Production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'EU-28'!$D$1:$Q$1</c15:sqref>
                        </c15:formulaRef>
                      </c:ext>
                    </c:extLst>
                    <c:numCache>
                      <c:formatCode>General</c:formatCode>
                      <c:ptCount val="14"/>
                      <c:pt idx="0">
                        <c:v>2000</c:v>
                      </c:pt>
                      <c:pt idx="1">
                        <c:v>2001</c:v>
                      </c:pt>
                      <c:pt idx="2">
                        <c:v>2002</c:v>
                      </c:pt>
                      <c:pt idx="3">
                        <c:v>2003</c:v>
                      </c:pt>
                      <c:pt idx="4">
                        <c:v>2004</c:v>
                      </c:pt>
                      <c:pt idx="5">
                        <c:v>2005</c:v>
                      </c:pt>
                      <c:pt idx="6">
                        <c:v>2006</c:v>
                      </c:pt>
                      <c:pt idx="7">
                        <c:v>2007</c:v>
                      </c:pt>
                      <c:pt idx="8">
                        <c:v>2008</c:v>
                      </c:pt>
                      <c:pt idx="9">
                        <c:v>2009</c:v>
                      </c:pt>
                      <c:pt idx="10">
                        <c:v>2010</c:v>
                      </c:pt>
                      <c:pt idx="11">
                        <c:v>2011</c:v>
                      </c:pt>
                      <c:pt idx="12">
                        <c:v>2012</c:v>
                      </c:pt>
                      <c:pt idx="13">
                        <c:v>2013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'EU-28'!$D$6:$Q$6</c15:sqref>
                        </c15:formulaRef>
                      </c:ext>
                    </c:extLst>
                    <c:numCache>
                      <c:formatCode>#,##0</c:formatCode>
                      <c:ptCount val="14"/>
                      <c:pt idx="0">
                        <c:v>1406</c:v>
                      </c:pt>
                      <c:pt idx="1">
                        <c:v>1258</c:v>
                      </c:pt>
                      <c:pt idx="2">
                        <c:v>1375</c:v>
                      </c:pt>
                      <c:pt idx="3" formatCode="General">
                        <c:v>993</c:v>
                      </c:pt>
                      <c:pt idx="4" formatCode="General">
                        <c:v>825</c:v>
                      </c:pt>
                      <c:pt idx="5">
                        <c:v>1086</c:v>
                      </c:pt>
                      <c:pt idx="6">
                        <c:v>1174</c:v>
                      </c:pt>
                      <c:pt idx="7">
                        <c:v>1228</c:v>
                      </c:pt>
                      <c:pt idx="8" formatCode="General">
                        <c:v>723</c:v>
                      </c:pt>
                      <c:pt idx="9" formatCode="General">
                        <c:v>639</c:v>
                      </c:pt>
                      <c:pt idx="10" formatCode="General">
                        <c:v>835</c:v>
                      </c:pt>
                      <c:pt idx="11" formatCode="_(* #,##0_);_(* \(#,##0\);_(* &quot;-&quot;??_);_(@_)">
                        <c:v>5796.7219999999998</c:v>
                      </c:pt>
                      <c:pt idx="12" formatCode="_(* #,##0_);_(* \(#,##0\);_(* &quot;-&quot;??_);_(@_)">
                        <c:v>5518.6319999999996</c:v>
                      </c:pt>
                      <c:pt idx="13" formatCode="_(* #,##0_);_(* \(#,##0\);_(* &quot;-&quot;??_);_(@_)">
                        <c:v>6095.57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313069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69760"/>
        <c:crosses val="autoZero"/>
        <c:auto val="1"/>
        <c:lblAlgn val="ctr"/>
        <c:lblOffset val="100"/>
        <c:noMultiLvlLbl val="0"/>
      </c:catAx>
      <c:valAx>
        <c:axId val="31306976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6936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24604868082751516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'EU-28'!$C$6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'EU-28'!$D$6:$Q$6</c:f>
              <c:numCache>
                <c:formatCode>#,##0</c:formatCode>
                <c:ptCount val="14"/>
                <c:pt idx="0">
                  <c:v>1406</c:v>
                </c:pt>
                <c:pt idx="1">
                  <c:v>1258</c:v>
                </c:pt>
                <c:pt idx="2">
                  <c:v>1375</c:v>
                </c:pt>
                <c:pt idx="3" formatCode="General">
                  <c:v>993</c:v>
                </c:pt>
                <c:pt idx="4" formatCode="General">
                  <c:v>825</c:v>
                </c:pt>
                <c:pt idx="5">
                  <c:v>1086</c:v>
                </c:pt>
                <c:pt idx="6">
                  <c:v>1174</c:v>
                </c:pt>
                <c:pt idx="7">
                  <c:v>1228</c:v>
                </c:pt>
                <c:pt idx="8" formatCode="General">
                  <c:v>723</c:v>
                </c:pt>
                <c:pt idx="9" formatCode="General">
                  <c:v>639</c:v>
                </c:pt>
                <c:pt idx="10" formatCode="General">
                  <c:v>835</c:v>
                </c:pt>
                <c:pt idx="11" formatCode="_(* #,##0_);_(* \(#,##0\);_(* &quot;-&quot;??_);_(@_)">
                  <c:v>5796.7219999999998</c:v>
                </c:pt>
                <c:pt idx="12" formatCode="_(* #,##0_);_(* \(#,##0\);_(* &quot;-&quot;??_);_(@_)">
                  <c:v>5518.6319999999996</c:v>
                </c:pt>
                <c:pt idx="13" formatCode="_(* #,##0_);_(* \(#,##0\);_(* &quot;-&quot;??_);_(@_)">
                  <c:v>6095.57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'EU-28'!$C$7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'EU-28'!$D$7:$Q$7</c:f>
              <c:numCache>
                <c:formatCode>#,##0</c:formatCode>
                <c:ptCount val="14"/>
                <c:pt idx="0">
                  <c:v>14122</c:v>
                </c:pt>
                <c:pt idx="1">
                  <c:v>17602</c:v>
                </c:pt>
                <c:pt idx="2">
                  <c:v>18675</c:v>
                </c:pt>
                <c:pt idx="3">
                  <c:v>16943</c:v>
                </c:pt>
                <c:pt idx="4">
                  <c:v>14675</c:v>
                </c:pt>
                <c:pt idx="5">
                  <c:v>14539</c:v>
                </c:pt>
                <c:pt idx="6">
                  <c:v>13937</c:v>
                </c:pt>
                <c:pt idx="7">
                  <c:v>15291</c:v>
                </c:pt>
                <c:pt idx="8">
                  <c:v>15123</c:v>
                </c:pt>
                <c:pt idx="9">
                  <c:v>13213</c:v>
                </c:pt>
                <c:pt idx="10">
                  <c:v>12301</c:v>
                </c:pt>
                <c:pt idx="11" formatCode="_(* #,##0_);_(* \(#,##0\);_(* &quot;-&quot;??_);_(@_)">
                  <c:v>15675.745000000001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'EU-28'!$C$8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'EU-28'!$D$8:$Q$8</c:f>
              <c:numCache>
                <c:formatCode>General</c:formatCode>
                <c:ptCount val="14"/>
                <c:pt idx="0">
                  <c:v>29</c:v>
                </c:pt>
                <c:pt idx="1">
                  <c:v>22</c:v>
                </c:pt>
                <c:pt idx="2">
                  <c:v>41</c:v>
                </c:pt>
                <c:pt idx="3">
                  <c:v>23</c:v>
                </c:pt>
                <c:pt idx="4">
                  <c:v>25</c:v>
                </c:pt>
                <c:pt idx="5">
                  <c:v>35</c:v>
                </c:pt>
                <c:pt idx="6">
                  <c:v>49</c:v>
                </c:pt>
                <c:pt idx="7">
                  <c:v>47</c:v>
                </c:pt>
                <c:pt idx="8">
                  <c:v>37</c:v>
                </c:pt>
                <c:pt idx="9">
                  <c:v>22</c:v>
                </c:pt>
                <c:pt idx="10">
                  <c:v>36</c:v>
                </c:pt>
                <c:pt idx="11" formatCode="_(* #,##0_);_(* \(#,##0\);_(* &quot;-&quot;??_);_(@_)">
                  <c:v>2981.5639999999999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'EU-28'!$C$9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'EU-28'!$D$9:$Q$9</c:f>
              <c:numCache>
                <c:formatCode>#,##0</c:formatCode>
                <c:ptCount val="14"/>
                <c:pt idx="0">
                  <c:v>15446</c:v>
                </c:pt>
                <c:pt idx="1">
                  <c:v>18546</c:v>
                </c:pt>
                <c:pt idx="2">
                  <c:v>19894</c:v>
                </c:pt>
                <c:pt idx="3">
                  <c:v>18111</c:v>
                </c:pt>
                <c:pt idx="4">
                  <c:v>15445</c:v>
                </c:pt>
                <c:pt idx="5">
                  <c:v>15739</c:v>
                </c:pt>
                <c:pt idx="6">
                  <c:v>15086</c:v>
                </c:pt>
                <c:pt idx="7">
                  <c:v>16087</c:v>
                </c:pt>
                <c:pt idx="8">
                  <c:v>16113</c:v>
                </c:pt>
                <c:pt idx="9">
                  <c:v>14086</c:v>
                </c:pt>
                <c:pt idx="10">
                  <c:v>13381</c:v>
                </c:pt>
                <c:pt idx="11" formatCode="_(* #,##0_);_(* \(#,##0\);_(* &quot;-&quot;??_);_(@_)">
                  <c:v>18490.903000000002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070544"/>
        <c:axId val="313067800"/>
      </c:lineChart>
      <c:catAx>
        <c:axId val="313070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67800"/>
        <c:crosses val="autoZero"/>
        <c:auto val="1"/>
        <c:lblAlgn val="ctr"/>
        <c:lblOffset val="100"/>
        <c:noMultiLvlLbl val="0"/>
      </c:catAx>
      <c:valAx>
        <c:axId val="31306780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705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4925795281010044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'EU-28'!$C$10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'EU-28'!$D$10:$Q$10</c:f>
              <c:numCache>
                <c:formatCode>#,##0</c:formatCode>
                <c:ptCount val="14"/>
                <c:pt idx="0">
                  <c:v>1768</c:v>
                </c:pt>
                <c:pt idx="1">
                  <c:v>1584</c:v>
                </c:pt>
                <c:pt idx="2">
                  <c:v>1639</c:v>
                </c:pt>
                <c:pt idx="3">
                  <c:v>1741</c:v>
                </c:pt>
                <c:pt idx="4">
                  <c:v>1741</c:v>
                </c:pt>
                <c:pt idx="5">
                  <c:v>1880</c:v>
                </c:pt>
                <c:pt idx="6">
                  <c:v>1731</c:v>
                </c:pt>
                <c:pt idx="7">
                  <c:v>1676</c:v>
                </c:pt>
                <c:pt idx="8">
                  <c:v>1757</c:v>
                </c:pt>
                <c:pt idx="9">
                  <c:v>1620</c:v>
                </c:pt>
                <c:pt idx="10">
                  <c:v>1995</c:v>
                </c:pt>
                <c:pt idx="11" formatCode="_(* #,##0_);_(* \(#,##0\);_(* &quot;-&quot;??_);_(@_)">
                  <c:v>4338.9440000000004</c:v>
                </c:pt>
                <c:pt idx="12" formatCode="_(* #,##0_);_(* \(#,##0\);_(* &quot;-&quot;??_);_(@_)">
                  <c:v>4338.9440000000004</c:v>
                </c:pt>
                <c:pt idx="13" formatCode="_(* #,##0_);_(* \(#,##0\);_(* &quot;-&quot;??_);_(@_)">
                  <c:v>3895.06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'EU-28'!$C$11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'EU-28'!$D$11:$Q$11</c:f>
              <c:numCache>
                <c:formatCode>#,##0</c:formatCode>
                <c:ptCount val="14"/>
                <c:pt idx="0">
                  <c:v>1207</c:v>
                </c:pt>
                <c:pt idx="1">
                  <c:v>1310</c:v>
                </c:pt>
                <c:pt idx="2">
                  <c:v>1254</c:v>
                </c:pt>
                <c:pt idx="3">
                  <c:v>1288</c:v>
                </c:pt>
                <c:pt idx="4">
                  <c:v>1125</c:v>
                </c:pt>
                <c:pt idx="5">
                  <c:v>1095</c:v>
                </c:pt>
                <c:pt idx="6">
                  <c:v>1124</c:v>
                </c:pt>
                <c:pt idx="7">
                  <c:v>1340</c:v>
                </c:pt>
                <c:pt idx="8">
                  <c:v>1568</c:v>
                </c:pt>
                <c:pt idx="9">
                  <c:v>1339</c:v>
                </c:pt>
                <c:pt idx="10">
                  <c:v>1242</c:v>
                </c:pt>
                <c:pt idx="11" formatCode="_(* #,##0_);_(* \(#,##0\);_(* &quot;-&quot;??_);_(@_)">
                  <c:v>3578.8229999999999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'EU-28'!$C$12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'EU-28'!$D$12:$Q$12</c:f>
              <c:numCache>
                <c:formatCode>General</c:formatCode>
                <c:ptCount val="14"/>
                <c:pt idx="0">
                  <c:v>364</c:v>
                </c:pt>
                <c:pt idx="1">
                  <c:v>286</c:v>
                </c:pt>
                <c:pt idx="2">
                  <c:v>336</c:v>
                </c:pt>
                <c:pt idx="3">
                  <c:v>250</c:v>
                </c:pt>
                <c:pt idx="4">
                  <c:v>225</c:v>
                </c:pt>
                <c:pt idx="5">
                  <c:v>175</c:v>
                </c:pt>
                <c:pt idx="6">
                  <c:v>161</c:v>
                </c:pt>
                <c:pt idx="7">
                  <c:v>148</c:v>
                </c:pt>
                <c:pt idx="8">
                  <c:v>152</c:v>
                </c:pt>
                <c:pt idx="9">
                  <c:v>140</c:v>
                </c:pt>
                <c:pt idx="10">
                  <c:v>228</c:v>
                </c:pt>
                <c:pt idx="11" formatCode="_(* #,##0_);_(* \(#,##0\);_(* &quot;-&quot;??_);_(@_)">
                  <c:v>2030.308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'EU-28'!$C$13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'EU-28'!$D$13:$Q$13</c:f>
              <c:numCache>
                <c:formatCode>#,##0</c:formatCode>
                <c:ptCount val="14"/>
                <c:pt idx="0">
                  <c:v>2544</c:v>
                </c:pt>
                <c:pt idx="1">
                  <c:v>2608</c:v>
                </c:pt>
                <c:pt idx="2">
                  <c:v>2567</c:v>
                </c:pt>
                <c:pt idx="3">
                  <c:v>2697</c:v>
                </c:pt>
                <c:pt idx="4">
                  <c:v>2627</c:v>
                </c:pt>
                <c:pt idx="5">
                  <c:v>2636</c:v>
                </c:pt>
                <c:pt idx="6">
                  <c:v>2651</c:v>
                </c:pt>
                <c:pt idx="7">
                  <c:v>2911</c:v>
                </c:pt>
                <c:pt idx="8">
                  <c:v>3185</c:v>
                </c:pt>
                <c:pt idx="9">
                  <c:v>2925</c:v>
                </c:pt>
                <c:pt idx="10">
                  <c:v>3000</c:v>
                </c:pt>
                <c:pt idx="11" formatCode="_(* #,##0_);_(* \(#,##0\);_(* &quot;-&quot;??_);_(@_)">
                  <c:v>5887.4589999999998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071328"/>
        <c:axId val="313071720"/>
      </c:lineChart>
      <c:catAx>
        <c:axId val="313071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71720"/>
        <c:crosses val="autoZero"/>
        <c:auto val="1"/>
        <c:lblAlgn val="ctr"/>
        <c:lblOffset val="100"/>
        <c:noMultiLvlLbl val="0"/>
      </c:catAx>
      <c:valAx>
        <c:axId val="31307172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7132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4925795281010044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'EU-28'!$C$14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'EU-28'!$D$14:$Q$14</c:f>
              <c:numCache>
                <c:formatCode>General</c:formatCode>
                <c:ptCount val="14"/>
                <c:pt idx="0">
                  <c:v>562</c:v>
                </c:pt>
                <c:pt idx="1">
                  <c:v>633</c:v>
                </c:pt>
                <c:pt idx="2">
                  <c:v>658</c:v>
                </c:pt>
                <c:pt idx="3">
                  <c:v>706</c:v>
                </c:pt>
                <c:pt idx="4">
                  <c:v>385</c:v>
                </c:pt>
                <c:pt idx="5">
                  <c:v>499</c:v>
                </c:pt>
                <c:pt idx="6">
                  <c:v>489</c:v>
                </c:pt>
                <c:pt idx="7">
                  <c:v>542</c:v>
                </c:pt>
                <c:pt idx="8">
                  <c:v>525</c:v>
                </c:pt>
                <c:pt idx="9">
                  <c:v>517</c:v>
                </c:pt>
                <c:pt idx="10">
                  <c:v>615</c:v>
                </c:pt>
                <c:pt idx="11" formatCode="_(* #,##0_);_(* \(#,##0\);_(* &quot;-&quot;??_);_(@_)">
                  <c:v>933.37199999999996</c:v>
                </c:pt>
                <c:pt idx="12" formatCode="_(* #,##0_);_(* \(#,##0\);_(* &quot;-&quot;??_);_(@_)">
                  <c:v>775.96</c:v>
                </c:pt>
                <c:pt idx="13" formatCode="_(* #,##0_);_(* \(#,##0\);_(* &quot;-&quot;??_);_(@_)">
                  <c:v>1251.8689999999999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'EU-28'!$C$15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'EU-28'!$D$15:$Q$15</c:f>
              <c:numCache>
                <c:formatCode>General</c:formatCode>
                <c:ptCount val="14"/>
                <c:pt idx="0">
                  <c:v>265</c:v>
                </c:pt>
                <c:pt idx="1">
                  <c:v>11</c:v>
                </c:pt>
                <c:pt idx="2">
                  <c:v>42</c:v>
                </c:pt>
                <c:pt idx="3">
                  <c:v>17</c:v>
                </c:pt>
                <c:pt idx="4" formatCode="#,##0">
                  <c:v>1556</c:v>
                </c:pt>
                <c:pt idx="5">
                  <c:v>227</c:v>
                </c:pt>
                <c:pt idx="6">
                  <c:v>51</c:v>
                </c:pt>
                <c:pt idx="7">
                  <c:v>653</c:v>
                </c:pt>
                <c:pt idx="8" formatCode="#,##0">
                  <c:v>5841</c:v>
                </c:pt>
                <c:pt idx="9">
                  <c:v>359</c:v>
                </c:pt>
                <c:pt idx="10">
                  <c:v>6</c:v>
                </c:pt>
                <c:pt idx="11" formatCode="_(* #,##0_);_(* \(#,##0\);_(* &quot;-&quot;??_);_(@_)">
                  <c:v>768.851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'EU-28'!$C$16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'EU-28'!$D$16:$Q$16</c:f>
              <c:numCache>
                <c:formatCode>General</c:formatCode>
                <c:ptCount val="14"/>
                <c:pt idx="0">
                  <c:v>53</c:v>
                </c:pt>
                <c:pt idx="1">
                  <c:v>12</c:v>
                </c:pt>
                <c:pt idx="2">
                  <c:v>3</c:v>
                </c:pt>
                <c:pt idx="3">
                  <c:v>13</c:v>
                </c:pt>
                <c:pt idx="4">
                  <c:v>6</c:v>
                </c:pt>
                <c:pt idx="5">
                  <c:v>3</c:v>
                </c:pt>
                <c:pt idx="6">
                  <c:v>1</c:v>
                </c:pt>
                <c:pt idx="7">
                  <c:v>1</c:v>
                </c:pt>
                <c:pt idx="8">
                  <c:v>4</c:v>
                </c:pt>
                <c:pt idx="9">
                  <c:v>8</c:v>
                </c:pt>
                <c:pt idx="10">
                  <c:v>7</c:v>
                </c:pt>
                <c:pt idx="11" formatCode="_(* #,##0_);_(* \(#,##0\);_(* &quot;-&quot;??_);_(@_)">
                  <c:v>171.24700000000001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'EU-28'!$C$17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'EU-28'!$D$17:$Q$17</c:f>
              <c:numCache>
                <c:formatCode>General</c:formatCode>
                <c:ptCount val="14"/>
                <c:pt idx="0">
                  <c:v>780</c:v>
                </c:pt>
                <c:pt idx="1">
                  <c:v>645</c:v>
                </c:pt>
                <c:pt idx="2">
                  <c:v>684</c:v>
                </c:pt>
                <c:pt idx="3">
                  <c:v>682</c:v>
                </c:pt>
                <c:pt idx="4" formatCode="#,##0">
                  <c:v>1980</c:v>
                </c:pt>
                <c:pt idx="5">
                  <c:v>505</c:v>
                </c:pt>
                <c:pt idx="6">
                  <c:v>680</c:v>
                </c:pt>
                <c:pt idx="7" formatCode="#,##0">
                  <c:v>1280</c:v>
                </c:pt>
                <c:pt idx="8" formatCode="#,##0">
                  <c:v>6305</c:v>
                </c:pt>
                <c:pt idx="9">
                  <c:v>905</c:v>
                </c:pt>
                <c:pt idx="10">
                  <c:v>630</c:v>
                </c:pt>
                <c:pt idx="11" formatCode="_(* #,##0_);_(* \(#,##0\);_(* &quot;-&quot;??_);_(@_)">
                  <c:v>1530.9759999999999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065448"/>
        <c:axId val="313072504"/>
      </c:lineChart>
      <c:catAx>
        <c:axId val="3130654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72504"/>
        <c:crosses val="autoZero"/>
        <c:auto val="1"/>
        <c:lblAlgn val="ctr"/>
        <c:lblOffset val="100"/>
        <c:noMultiLvlLbl val="0"/>
      </c:catAx>
      <c:valAx>
        <c:axId val="31307250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6544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78"/>
          <c:w val="0.24906298394441945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19"/>
          <c:w val="0.84524590848569481"/>
          <c:h val="0.50084542299840173"/>
        </c:manualLayout>
      </c:layout>
      <c:lineChart>
        <c:grouping val="standard"/>
        <c:varyColors val="0"/>
        <c:ser>
          <c:idx val="0"/>
          <c:order val="0"/>
          <c:tx>
            <c:strRef>
              <c:f>'EU-28'!$C$18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'EU-28'!$D$18:$Q$18</c:f>
              <c:numCache>
                <c:formatCode>_(* #,##0_);_(* \(#,##0\);_(* "-"??_);_(@_)</c:formatCode>
                <c:ptCount val="14"/>
                <c:pt idx="0">
                  <c:v>110.178</c:v>
                </c:pt>
                <c:pt idx="1">
                  <c:v>89.844999999999999</c:v>
                </c:pt>
                <c:pt idx="2">
                  <c:v>82.603999999999999</c:v>
                </c:pt>
                <c:pt idx="3">
                  <c:v>87.349000000000004</c:v>
                </c:pt>
                <c:pt idx="4">
                  <c:v>70.81</c:v>
                </c:pt>
                <c:pt idx="5">
                  <c:v>47.405000000000001</c:v>
                </c:pt>
                <c:pt idx="6">
                  <c:v>21.425000000000001</c:v>
                </c:pt>
                <c:pt idx="7">
                  <c:v>5.6219999999999999</c:v>
                </c:pt>
                <c:pt idx="8">
                  <c:v>5.0999999999999996</c:v>
                </c:pt>
                <c:pt idx="9">
                  <c:v>5.15</c:v>
                </c:pt>
                <c:pt idx="10">
                  <c:v>5.32</c:v>
                </c:pt>
                <c:pt idx="11">
                  <c:v>5.3</c:v>
                </c:pt>
                <c:pt idx="12">
                  <c:v>5.4</c:v>
                </c:pt>
                <c:pt idx="13">
                  <c:v>5.45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'EU-28'!$C$19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'EU-28'!$D$19:$Q$19</c:f>
              <c:numCache>
                <c:formatCode>_(* #,##0_);_(* \(#,##0\);_(* "-"??_);_(@_)</c:formatCode>
                <c:ptCount val="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3530</c:v>
                </c:pt>
                <c:pt idx="8">
                  <c:v>2948</c:v>
                </c:pt>
                <c:pt idx="9">
                  <c:v>3180</c:v>
                </c:pt>
                <c:pt idx="10">
                  <c:v>2620</c:v>
                </c:pt>
                <c:pt idx="11">
                  <c:v>3575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'EU-28'!$C$20</c:f>
              <c:strCache>
                <c:ptCount val="1"/>
                <c:pt idx="0">
                  <c:v>Total 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'EU-28'!$D$20:$Q$20</c:f>
              <c:numCache>
                <c:formatCode>_(* #,##0_);_(* \(#,##0\);_(* "-"??_);_(@_)</c:formatCode>
                <c:ptCount val="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2439</c:v>
                </c:pt>
                <c:pt idx="8">
                  <c:v>1656</c:v>
                </c:pt>
                <c:pt idx="9">
                  <c:v>1332</c:v>
                </c:pt>
                <c:pt idx="10">
                  <c:v>2407</c:v>
                </c:pt>
                <c:pt idx="11">
                  <c:v>1460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'EU-28'!$C$21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'EU-28'!$D$21:$Q$21</c:f>
              <c:numCache>
                <c:formatCode>_(* #,##0_);_(* \(#,##0\);_(* "-"??_);_(@_)</c:formatCode>
                <c:ptCount val="14"/>
                <c:pt idx="0">
                  <c:v>110.178</c:v>
                </c:pt>
                <c:pt idx="1">
                  <c:v>89.844999999999999</c:v>
                </c:pt>
                <c:pt idx="2">
                  <c:v>82.603999999999999</c:v>
                </c:pt>
                <c:pt idx="3">
                  <c:v>87.349000000000004</c:v>
                </c:pt>
                <c:pt idx="4">
                  <c:v>70.81</c:v>
                </c:pt>
                <c:pt idx="5">
                  <c:v>47.405000000000001</c:v>
                </c:pt>
                <c:pt idx="6">
                  <c:v>21.425000000000001</c:v>
                </c:pt>
                <c:pt idx="7">
                  <c:v>1096.6219999999998</c:v>
                </c:pt>
                <c:pt idx="8">
                  <c:v>1297.0999999999999</c:v>
                </c:pt>
                <c:pt idx="9">
                  <c:v>1853.15</c:v>
                </c:pt>
                <c:pt idx="10">
                  <c:v>218.32000000000016</c:v>
                </c:pt>
                <c:pt idx="11">
                  <c:v>2120.3000000000002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066624"/>
        <c:axId val="312809120"/>
      </c:lineChart>
      <c:catAx>
        <c:axId val="313066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09120"/>
        <c:crosses val="autoZero"/>
        <c:auto val="1"/>
        <c:lblAlgn val="ctr"/>
        <c:lblOffset val="100"/>
        <c:noMultiLvlLbl val="0"/>
      </c:catAx>
      <c:valAx>
        <c:axId val="31280912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306662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0115291779528253"/>
          <c:w val="0.12333276398022382"/>
          <c:h val="0.19884705777075068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27"/>
          <c:w val="0.845245908485695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'EU-28'!$C$22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'EU-28'!$D$22:$Q$22</c:f>
              <c:numCache>
                <c:formatCode>#,##0</c:formatCode>
                <c:ptCount val="14"/>
                <c:pt idx="0">
                  <c:v>122441</c:v>
                </c:pt>
                <c:pt idx="1">
                  <c:v>131697</c:v>
                </c:pt>
                <c:pt idx="2">
                  <c:v>123353</c:v>
                </c:pt>
                <c:pt idx="3">
                  <c:v>132579</c:v>
                </c:pt>
                <c:pt idx="4">
                  <c:v>110578</c:v>
                </c:pt>
                <c:pt idx="5">
                  <c:v>146886</c:v>
                </c:pt>
                <c:pt idx="6">
                  <c:v>132356</c:v>
                </c:pt>
                <c:pt idx="7">
                  <c:v>124870</c:v>
                </c:pt>
                <c:pt idx="8">
                  <c:v>120133</c:v>
                </c:pt>
                <c:pt idx="9">
                  <c:v>151122</c:v>
                </c:pt>
                <c:pt idx="10">
                  <c:v>138051</c:v>
                </c:pt>
                <c:pt idx="11" formatCode="_(* #,##0_);_(* \(#,##0\);_(* &quot;-&quot;??_);_(@_)">
                  <c:v>223885.07</c:v>
                </c:pt>
                <c:pt idx="12" formatCode="_(* #,##0_);_(* \(#,##0\);_(* &quot;-&quot;??_);_(@_)">
                  <c:v>196013.71299999999</c:v>
                </c:pt>
                <c:pt idx="13" formatCode="_(* #,##0_);_(* \(#,##0\);_(* &quot;-&quot;??_);_(@_)">
                  <c:v>225741.31599999999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'EU-28'!$C$23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'EU-28'!$D$23:$Q$23</c:f>
              <c:numCache>
                <c:formatCode>#,##0</c:formatCode>
                <c:ptCount val="14"/>
                <c:pt idx="0">
                  <c:v>3956</c:v>
                </c:pt>
                <c:pt idx="1">
                  <c:v>3536</c:v>
                </c:pt>
                <c:pt idx="2">
                  <c:v>8720</c:v>
                </c:pt>
                <c:pt idx="3">
                  <c:v>10686</c:v>
                </c:pt>
                <c:pt idx="4">
                  <c:v>7374</c:v>
                </c:pt>
                <c:pt idx="5">
                  <c:v>7061</c:v>
                </c:pt>
                <c:pt idx="6">
                  <c:v>6755</c:v>
                </c:pt>
                <c:pt idx="7">
                  <c:v>5233</c:v>
                </c:pt>
                <c:pt idx="8">
                  <c:v>6933</c:v>
                </c:pt>
                <c:pt idx="9">
                  <c:v>7737</c:v>
                </c:pt>
                <c:pt idx="10">
                  <c:v>5480</c:v>
                </c:pt>
                <c:pt idx="11" formatCode="_(* #,##0_);_(* \(#,##0\);_(* &quot;-&quot;??_);_(@_)">
                  <c:v>32277.358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'EU-28'!$C$24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'EU-28'!$D$24:$Q$24</c:f>
              <c:numCache>
                <c:formatCode>#,##0</c:formatCode>
                <c:ptCount val="14"/>
                <c:pt idx="0">
                  <c:v>20380</c:v>
                </c:pt>
                <c:pt idx="1">
                  <c:v>15675</c:v>
                </c:pt>
                <c:pt idx="2">
                  <c:v>12751</c:v>
                </c:pt>
                <c:pt idx="3">
                  <c:v>18132</c:v>
                </c:pt>
                <c:pt idx="4">
                  <c:v>9834</c:v>
                </c:pt>
                <c:pt idx="5">
                  <c:v>14745</c:v>
                </c:pt>
                <c:pt idx="6">
                  <c:v>15701</c:v>
                </c:pt>
                <c:pt idx="7">
                  <c:v>13813</c:v>
                </c:pt>
                <c:pt idx="8">
                  <c:v>12272</c:v>
                </c:pt>
                <c:pt idx="9">
                  <c:v>25319</c:v>
                </c:pt>
                <c:pt idx="10">
                  <c:v>22117</c:v>
                </c:pt>
                <c:pt idx="11" formatCode="_(* #,##0_);_(* \(#,##0\);_(* &quot;-&quot;??_);_(@_)">
                  <c:v>62311.463000000003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'EU-28'!$C$25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'EU-28'!$D$1:$Q$1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'EU-28'!$D$25:$Q$25</c:f>
              <c:numCache>
                <c:formatCode>#,##0</c:formatCode>
                <c:ptCount val="14"/>
                <c:pt idx="0">
                  <c:v>113228</c:v>
                </c:pt>
                <c:pt idx="1">
                  <c:v>118354</c:v>
                </c:pt>
                <c:pt idx="2">
                  <c:v>118456</c:v>
                </c:pt>
                <c:pt idx="3">
                  <c:v>124991</c:v>
                </c:pt>
                <c:pt idx="4">
                  <c:v>115095</c:v>
                </c:pt>
                <c:pt idx="5">
                  <c:v>123220</c:v>
                </c:pt>
                <c:pt idx="6">
                  <c:v>127525</c:v>
                </c:pt>
                <c:pt idx="7">
                  <c:v>125500</c:v>
                </c:pt>
                <c:pt idx="8">
                  <c:v>116536</c:v>
                </c:pt>
                <c:pt idx="9">
                  <c:v>127000</c:v>
                </c:pt>
                <c:pt idx="10">
                  <c:v>124500</c:v>
                </c:pt>
                <c:pt idx="11" formatCode="_(* #,##0_);_(* \(#,##0\);_(* &quot;-&quot;??_);_(@_)">
                  <c:v>193850.96500000003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15392"/>
        <c:axId val="312808728"/>
      </c:lineChart>
      <c:catAx>
        <c:axId val="3128153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08728"/>
        <c:crosses val="autoZero"/>
        <c:auto val="1"/>
        <c:lblAlgn val="ctr"/>
        <c:lblOffset val="100"/>
        <c:noMultiLvlLbl val="0"/>
      </c:catAx>
      <c:valAx>
        <c:axId val="31280872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1539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22"/>
          <c:w val="0.24585869829478679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  <c:userShapes r:id="rId1"/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India!$C$2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India!$D$2:$BD$2</c:f>
              <c:numCache>
                <c:formatCode>#,##0</c:formatCode>
                <c:ptCount val="53"/>
                <c:pt idx="0">
                  <c:v>4109</c:v>
                </c:pt>
                <c:pt idx="1">
                  <c:v>4322</c:v>
                </c:pt>
                <c:pt idx="2">
                  <c:v>4616</c:v>
                </c:pt>
                <c:pt idx="3">
                  <c:v>4571</c:v>
                </c:pt>
                <c:pt idx="4">
                  <c:v>4663</c:v>
                </c:pt>
                <c:pt idx="5">
                  <c:v>4823</c:v>
                </c:pt>
                <c:pt idx="6">
                  <c:v>4894</c:v>
                </c:pt>
                <c:pt idx="7">
                  <c:v>6269</c:v>
                </c:pt>
                <c:pt idx="8">
                  <c:v>5701</c:v>
                </c:pt>
                <c:pt idx="9">
                  <c:v>5674</c:v>
                </c:pt>
                <c:pt idx="10">
                  <c:v>7486</c:v>
                </c:pt>
                <c:pt idx="11">
                  <c:v>5101</c:v>
                </c:pt>
                <c:pt idx="12">
                  <c:v>6388</c:v>
                </c:pt>
                <c:pt idx="13">
                  <c:v>5804</c:v>
                </c:pt>
                <c:pt idx="14">
                  <c:v>5559</c:v>
                </c:pt>
                <c:pt idx="15">
                  <c:v>7256</c:v>
                </c:pt>
                <c:pt idx="16">
                  <c:v>6361</c:v>
                </c:pt>
                <c:pt idx="17">
                  <c:v>5973</c:v>
                </c:pt>
                <c:pt idx="18">
                  <c:v>6199</c:v>
                </c:pt>
                <c:pt idx="19">
                  <c:v>5603</c:v>
                </c:pt>
                <c:pt idx="20">
                  <c:v>6957</c:v>
                </c:pt>
                <c:pt idx="21">
                  <c:v>6897</c:v>
                </c:pt>
                <c:pt idx="22">
                  <c:v>6549</c:v>
                </c:pt>
                <c:pt idx="23">
                  <c:v>7922</c:v>
                </c:pt>
                <c:pt idx="24">
                  <c:v>8442</c:v>
                </c:pt>
                <c:pt idx="25">
                  <c:v>6643</c:v>
                </c:pt>
                <c:pt idx="26">
                  <c:v>7457</c:v>
                </c:pt>
                <c:pt idx="27">
                  <c:v>5721</c:v>
                </c:pt>
                <c:pt idx="28">
                  <c:v>8229</c:v>
                </c:pt>
                <c:pt idx="29">
                  <c:v>9651</c:v>
                </c:pt>
                <c:pt idx="30">
                  <c:v>8962</c:v>
                </c:pt>
                <c:pt idx="31">
                  <c:v>8060</c:v>
                </c:pt>
                <c:pt idx="32">
                  <c:v>9992</c:v>
                </c:pt>
                <c:pt idx="33">
                  <c:v>9600</c:v>
                </c:pt>
                <c:pt idx="34">
                  <c:v>8884</c:v>
                </c:pt>
                <c:pt idx="35">
                  <c:v>9530</c:v>
                </c:pt>
                <c:pt idx="36">
                  <c:v>10612</c:v>
                </c:pt>
                <c:pt idx="37">
                  <c:v>10852</c:v>
                </c:pt>
                <c:pt idx="38">
                  <c:v>10680</c:v>
                </c:pt>
                <c:pt idx="39">
                  <c:v>11470</c:v>
                </c:pt>
                <c:pt idx="40">
                  <c:v>12068</c:v>
                </c:pt>
                <c:pt idx="41">
                  <c:v>13510</c:v>
                </c:pt>
                <c:pt idx="42">
                  <c:v>11100</c:v>
                </c:pt>
                <c:pt idx="43">
                  <c:v>14980</c:v>
                </c:pt>
                <c:pt idx="44">
                  <c:v>14180</c:v>
                </c:pt>
                <c:pt idx="45">
                  <c:v>14710</c:v>
                </c:pt>
                <c:pt idx="46">
                  <c:v>15100</c:v>
                </c:pt>
                <c:pt idx="47">
                  <c:v>18960</c:v>
                </c:pt>
                <c:pt idx="48">
                  <c:v>19730</c:v>
                </c:pt>
                <c:pt idx="49">
                  <c:v>16720</c:v>
                </c:pt>
                <c:pt idx="50" formatCode="_(* #,##0_);_(* \(#,##0\);_(* &quot;-&quot;??_);_(@_)">
                  <c:v>21760</c:v>
                </c:pt>
                <c:pt idx="51" formatCode="_(* #,##0_);_(* \(#,##0\);_(* &quot;-&quot;??_);_(@_)">
                  <c:v>22260</c:v>
                </c:pt>
                <c:pt idx="52" formatCode="_(* #,##0_);_(* \(#,##0\);_(* &quot;-&quot;??_);_(@_)">
                  <c:v>23290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India!$C$3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India!$D$3:$BD$3</c:f>
              <c:numCache>
                <c:formatCode>General</c:formatCode>
                <c:ptCount val="53"/>
                <c:pt idx="0">
                  <c:v>138</c:v>
                </c:pt>
                <c:pt idx="1">
                  <c:v>91</c:v>
                </c:pt>
                <c:pt idx="2">
                  <c:v>110</c:v>
                </c:pt>
                <c:pt idx="3">
                  <c:v>82</c:v>
                </c:pt>
                <c:pt idx="4">
                  <c:v>136</c:v>
                </c:pt>
                <c:pt idx="5">
                  <c:v>123</c:v>
                </c:pt>
                <c:pt idx="6">
                  <c:v>107</c:v>
                </c:pt>
                <c:pt idx="7">
                  <c:v>75</c:v>
                </c:pt>
                <c:pt idx="8">
                  <c:v>1</c:v>
                </c:pt>
                <c:pt idx="9">
                  <c:v>39</c:v>
                </c:pt>
                <c:pt idx="10">
                  <c:v>14</c:v>
                </c:pt>
                <c:pt idx="11">
                  <c:v>0</c:v>
                </c:pt>
                <c:pt idx="12">
                  <c:v>0</c:v>
                </c:pt>
                <c:pt idx="13">
                  <c:v>6</c:v>
                </c:pt>
                <c:pt idx="14">
                  <c:v>0</c:v>
                </c:pt>
                <c:pt idx="15">
                  <c:v>0</c:v>
                </c:pt>
                <c:pt idx="16">
                  <c:v>47</c:v>
                </c:pt>
                <c:pt idx="17">
                  <c:v>0</c:v>
                </c:pt>
                <c:pt idx="18">
                  <c:v>6</c:v>
                </c:pt>
                <c:pt idx="19">
                  <c:v>16</c:v>
                </c:pt>
                <c:pt idx="20">
                  <c:v>10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275</c:v>
                </c:pt>
                <c:pt idx="28">
                  <c:v>200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1</c:v>
                </c:pt>
                <c:pt idx="38">
                  <c:v>175</c:v>
                </c:pt>
                <c:pt idx="39">
                  <c:v>250</c:v>
                </c:pt>
                <c:pt idx="40">
                  <c:v>50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3</c:v>
                </c:pt>
                <c:pt idx="45">
                  <c:v>4</c:v>
                </c:pt>
                <c:pt idx="46">
                  <c:v>4</c:v>
                </c:pt>
                <c:pt idx="47">
                  <c:v>4</c:v>
                </c:pt>
                <c:pt idx="48">
                  <c:v>13</c:v>
                </c:pt>
                <c:pt idx="49">
                  <c:v>20</c:v>
                </c:pt>
                <c:pt idx="50" formatCode="_(* #,##0_);_(* \(#,##0\);_(* &quot;-&quot;??_);_(@_)">
                  <c:v>12.260999999999999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India!$C$4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India!$D$4:$BD$4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10</c:v>
                </c:pt>
                <c:pt idx="21">
                  <c:v>10</c:v>
                </c:pt>
                <c:pt idx="22">
                  <c:v>0</c:v>
                </c:pt>
                <c:pt idx="23">
                  <c:v>5</c:v>
                </c:pt>
                <c:pt idx="24">
                  <c:v>6</c:v>
                </c:pt>
                <c:pt idx="25">
                  <c:v>5</c:v>
                </c:pt>
                <c:pt idx="26">
                  <c:v>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</c:v>
                </c:pt>
                <c:pt idx="31">
                  <c:v>4</c:v>
                </c:pt>
                <c:pt idx="32">
                  <c:v>28</c:v>
                </c:pt>
                <c:pt idx="33">
                  <c:v>36</c:v>
                </c:pt>
                <c:pt idx="34">
                  <c:v>17</c:v>
                </c:pt>
                <c:pt idx="35">
                  <c:v>42</c:v>
                </c:pt>
                <c:pt idx="36">
                  <c:v>8</c:v>
                </c:pt>
                <c:pt idx="37">
                  <c:v>7</c:v>
                </c:pt>
                <c:pt idx="38">
                  <c:v>2</c:v>
                </c:pt>
                <c:pt idx="39">
                  <c:v>17</c:v>
                </c:pt>
                <c:pt idx="40">
                  <c:v>95</c:v>
                </c:pt>
                <c:pt idx="41">
                  <c:v>25</c:v>
                </c:pt>
                <c:pt idx="42">
                  <c:v>50</c:v>
                </c:pt>
                <c:pt idx="43" formatCode="#,##0">
                  <c:v>1257</c:v>
                </c:pt>
                <c:pt idx="44">
                  <c:v>448</c:v>
                </c:pt>
                <c:pt idx="45">
                  <c:v>521</c:v>
                </c:pt>
                <c:pt idx="46" formatCode="#,##0">
                  <c:v>1208</c:v>
                </c:pt>
                <c:pt idx="47" formatCode="#,##0">
                  <c:v>4473</c:v>
                </c:pt>
                <c:pt idx="48" formatCode="#,##0">
                  <c:v>2608</c:v>
                </c:pt>
                <c:pt idx="49" formatCode="#,##0">
                  <c:v>1850</c:v>
                </c:pt>
                <c:pt idx="50" formatCode="_(* #,##0_);_(* \(#,##0\);_(* &quot;-&quot;??_);_(@_)">
                  <c:v>3952.1019999999999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India!$C$5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India!$D$5:$BD$5</c:f>
              <c:numCache>
                <c:formatCode>#,##0</c:formatCode>
                <c:ptCount val="53"/>
                <c:pt idx="0">
                  <c:v>4255</c:v>
                </c:pt>
                <c:pt idx="1">
                  <c:v>4364</c:v>
                </c:pt>
                <c:pt idx="2">
                  <c:v>4676</c:v>
                </c:pt>
                <c:pt idx="3">
                  <c:v>4589</c:v>
                </c:pt>
                <c:pt idx="4">
                  <c:v>4749</c:v>
                </c:pt>
                <c:pt idx="5">
                  <c:v>4946</c:v>
                </c:pt>
                <c:pt idx="6">
                  <c:v>5051</c:v>
                </c:pt>
                <c:pt idx="7">
                  <c:v>6044</c:v>
                </c:pt>
                <c:pt idx="8">
                  <c:v>6002</c:v>
                </c:pt>
                <c:pt idx="9">
                  <c:v>6413</c:v>
                </c:pt>
                <c:pt idx="10">
                  <c:v>7500</c:v>
                </c:pt>
                <c:pt idx="11">
                  <c:v>5301</c:v>
                </c:pt>
                <c:pt idx="12">
                  <c:v>6288</c:v>
                </c:pt>
                <c:pt idx="13">
                  <c:v>5860</c:v>
                </c:pt>
                <c:pt idx="14">
                  <c:v>5709</c:v>
                </c:pt>
                <c:pt idx="15">
                  <c:v>6156</c:v>
                </c:pt>
                <c:pt idx="16">
                  <c:v>6408</c:v>
                </c:pt>
                <c:pt idx="17">
                  <c:v>6373</c:v>
                </c:pt>
                <c:pt idx="18">
                  <c:v>6605</c:v>
                </c:pt>
                <c:pt idx="19">
                  <c:v>5769</c:v>
                </c:pt>
                <c:pt idx="20">
                  <c:v>6807</c:v>
                </c:pt>
                <c:pt idx="21">
                  <c:v>6987</c:v>
                </c:pt>
                <c:pt idx="22">
                  <c:v>6649</c:v>
                </c:pt>
                <c:pt idx="23">
                  <c:v>7717</c:v>
                </c:pt>
                <c:pt idx="24">
                  <c:v>8436</c:v>
                </c:pt>
                <c:pt idx="25">
                  <c:v>7038</c:v>
                </c:pt>
                <c:pt idx="26">
                  <c:v>7502</c:v>
                </c:pt>
                <c:pt idx="27">
                  <c:v>5996</c:v>
                </c:pt>
                <c:pt idx="28">
                  <c:v>8179</c:v>
                </c:pt>
                <c:pt idx="29">
                  <c:v>9451</c:v>
                </c:pt>
                <c:pt idx="30">
                  <c:v>9261</c:v>
                </c:pt>
                <c:pt idx="31">
                  <c:v>8156</c:v>
                </c:pt>
                <c:pt idx="32">
                  <c:v>9965</c:v>
                </c:pt>
                <c:pt idx="33">
                  <c:v>9564</c:v>
                </c:pt>
                <c:pt idx="34">
                  <c:v>8868</c:v>
                </c:pt>
                <c:pt idx="35">
                  <c:v>9488</c:v>
                </c:pt>
                <c:pt idx="36">
                  <c:v>10304</c:v>
                </c:pt>
                <c:pt idx="37">
                  <c:v>10946</c:v>
                </c:pt>
                <c:pt idx="38">
                  <c:v>10853</c:v>
                </c:pt>
                <c:pt idx="39">
                  <c:v>11350</c:v>
                </c:pt>
                <c:pt idx="40">
                  <c:v>11950</c:v>
                </c:pt>
                <c:pt idx="41">
                  <c:v>13050</c:v>
                </c:pt>
                <c:pt idx="42">
                  <c:v>12000</c:v>
                </c:pt>
                <c:pt idx="43">
                  <c:v>13500</c:v>
                </c:pt>
                <c:pt idx="44">
                  <c:v>13900</c:v>
                </c:pt>
                <c:pt idx="45">
                  <c:v>14200</c:v>
                </c:pt>
                <c:pt idx="46">
                  <c:v>13900</c:v>
                </c:pt>
                <c:pt idx="47">
                  <c:v>14200</c:v>
                </c:pt>
                <c:pt idx="48">
                  <c:v>17000</c:v>
                </c:pt>
                <c:pt idx="49">
                  <c:v>15100</c:v>
                </c:pt>
                <c:pt idx="50" formatCode="_(* #,##0_);_(* \(#,##0\);_(* &quot;-&quot;??_);_(@_)">
                  <c:v>17820.159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09512"/>
        <c:axId val="312811080"/>
      </c:lineChart>
      <c:catAx>
        <c:axId val="312809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11080"/>
        <c:crosses val="autoZero"/>
        <c:auto val="1"/>
        <c:lblAlgn val="ctr"/>
        <c:lblOffset val="100"/>
        <c:noMultiLvlLbl val="0"/>
      </c:catAx>
      <c:valAx>
        <c:axId val="31281108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0951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91165128933230188"/>
          <c:h val="0.10780685832101061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India!$C$6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India!$D$6:$BD$6</c:f>
              <c:numCache>
                <c:formatCode>#,##0</c:formatCode>
                <c:ptCount val="53"/>
                <c:pt idx="0">
                  <c:v>4694</c:v>
                </c:pt>
                <c:pt idx="1">
                  <c:v>4109</c:v>
                </c:pt>
                <c:pt idx="2">
                  <c:v>4989</c:v>
                </c:pt>
                <c:pt idx="3">
                  <c:v>5068</c:v>
                </c:pt>
                <c:pt idx="4">
                  <c:v>4737</c:v>
                </c:pt>
                <c:pt idx="5">
                  <c:v>4413</c:v>
                </c:pt>
                <c:pt idx="6">
                  <c:v>4407</c:v>
                </c:pt>
                <c:pt idx="7">
                  <c:v>5184</c:v>
                </c:pt>
                <c:pt idx="8">
                  <c:v>4754</c:v>
                </c:pt>
                <c:pt idx="9">
                  <c:v>4795</c:v>
                </c:pt>
                <c:pt idx="10">
                  <c:v>4423</c:v>
                </c:pt>
                <c:pt idx="11">
                  <c:v>5787</c:v>
                </c:pt>
                <c:pt idx="12">
                  <c:v>5167</c:v>
                </c:pt>
                <c:pt idx="13">
                  <c:v>4958</c:v>
                </c:pt>
                <c:pt idx="14">
                  <c:v>5505</c:v>
                </c:pt>
                <c:pt idx="15">
                  <c:v>5192</c:v>
                </c:pt>
                <c:pt idx="16">
                  <c:v>4646</c:v>
                </c:pt>
                <c:pt idx="17">
                  <c:v>5645</c:v>
                </c:pt>
                <c:pt idx="18">
                  <c:v>6192</c:v>
                </c:pt>
                <c:pt idx="19">
                  <c:v>6262</c:v>
                </c:pt>
                <c:pt idx="20">
                  <c:v>6071</c:v>
                </c:pt>
                <c:pt idx="21">
                  <c:v>6559</c:v>
                </c:pt>
                <c:pt idx="22">
                  <c:v>6755</c:v>
                </c:pt>
                <c:pt idx="23">
                  <c:v>6122</c:v>
                </c:pt>
                <c:pt idx="24">
                  <c:v>8360</c:v>
                </c:pt>
                <c:pt idx="25">
                  <c:v>9021</c:v>
                </c:pt>
                <c:pt idx="26">
                  <c:v>7254</c:v>
                </c:pt>
                <c:pt idx="27">
                  <c:v>7140</c:v>
                </c:pt>
                <c:pt idx="28">
                  <c:v>8214</c:v>
                </c:pt>
                <c:pt idx="29">
                  <c:v>10541</c:v>
                </c:pt>
                <c:pt idx="30">
                  <c:v>9135</c:v>
                </c:pt>
                <c:pt idx="31">
                  <c:v>9291</c:v>
                </c:pt>
                <c:pt idx="32">
                  <c:v>10775</c:v>
                </c:pt>
                <c:pt idx="33">
                  <c:v>9800</c:v>
                </c:pt>
                <c:pt idx="34">
                  <c:v>11148</c:v>
                </c:pt>
                <c:pt idx="35">
                  <c:v>13250</c:v>
                </c:pt>
                <c:pt idx="36">
                  <c:v>13918</c:v>
                </c:pt>
                <c:pt idx="37">
                  <c:v>12337</c:v>
                </c:pt>
                <c:pt idx="38">
                  <c:v>12883</c:v>
                </c:pt>
                <c:pt idx="39">
                  <c:v>12180</c:v>
                </c:pt>
                <c:pt idx="40">
                  <c:v>10931</c:v>
                </c:pt>
                <c:pt idx="41">
                  <c:v>12300</c:v>
                </c:pt>
                <c:pt idx="42">
                  <c:v>10600</c:v>
                </c:pt>
                <c:pt idx="43">
                  <c:v>14000</c:v>
                </c:pt>
                <c:pt idx="44">
                  <c:v>19000</c:v>
                </c:pt>
                <c:pt idx="45">
                  <c:v>19050</c:v>
                </c:pt>
                <c:pt idx="46">
                  <c:v>21800</c:v>
                </c:pt>
                <c:pt idx="47">
                  <c:v>24000</c:v>
                </c:pt>
                <c:pt idx="48">
                  <c:v>22600</c:v>
                </c:pt>
                <c:pt idx="49">
                  <c:v>23000</c:v>
                </c:pt>
                <c:pt idx="50" formatCode="_(* #,##0_);_(* \(#,##0\);_(* &quot;-&quot;??_);_(@_)">
                  <c:v>25000</c:v>
                </c:pt>
                <c:pt idx="51" formatCode="_(* #,##0_);_(* \(#,##0\);_(* &quot;-&quot;??_);_(@_)">
                  <c:v>5984</c:v>
                </c:pt>
                <c:pt idx="52" formatCode="_(* #,##0_);_(* \(#,##0\);_(* &quot;-&quot;??_);_(@_)">
                  <c:v>5817.4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India!$C$7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India!$D$7:$BD$7</c:f>
              <c:numCache>
                <c:formatCode>General</c:formatCode>
                <c:ptCount val="53"/>
                <c:pt idx="0">
                  <c:v>915</c:v>
                </c:pt>
                <c:pt idx="1">
                  <c:v>741</c:v>
                </c:pt>
                <c:pt idx="2">
                  <c:v>697</c:v>
                </c:pt>
                <c:pt idx="3">
                  <c:v>544</c:v>
                </c:pt>
                <c:pt idx="4">
                  <c:v>690</c:v>
                </c:pt>
                <c:pt idx="5">
                  <c:v>457</c:v>
                </c:pt>
                <c:pt idx="6">
                  <c:v>649</c:v>
                </c:pt>
                <c:pt idx="7">
                  <c:v>644</c:v>
                </c:pt>
                <c:pt idx="8">
                  <c:v>377</c:v>
                </c:pt>
                <c:pt idx="9">
                  <c:v>721</c:v>
                </c:pt>
                <c:pt idx="10">
                  <c:v>693</c:v>
                </c:pt>
                <c:pt idx="11">
                  <c:v>642</c:v>
                </c:pt>
                <c:pt idx="12">
                  <c:v>400</c:v>
                </c:pt>
                <c:pt idx="13">
                  <c:v>119</c:v>
                </c:pt>
                <c:pt idx="14">
                  <c:v>113</c:v>
                </c:pt>
                <c:pt idx="15">
                  <c:v>96</c:v>
                </c:pt>
                <c:pt idx="16">
                  <c:v>447</c:v>
                </c:pt>
                <c:pt idx="17">
                  <c:v>398</c:v>
                </c:pt>
                <c:pt idx="18">
                  <c:v>44</c:v>
                </c:pt>
                <c:pt idx="19">
                  <c:v>2</c:v>
                </c:pt>
                <c:pt idx="20">
                  <c:v>0</c:v>
                </c:pt>
                <c:pt idx="21">
                  <c:v>36</c:v>
                </c:pt>
                <c:pt idx="22">
                  <c:v>3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107</c:v>
                </c:pt>
                <c:pt idx="28">
                  <c:v>171</c:v>
                </c:pt>
                <c:pt idx="29">
                  <c:v>15</c:v>
                </c:pt>
                <c:pt idx="30">
                  <c:v>0</c:v>
                </c:pt>
                <c:pt idx="31">
                  <c:v>214</c:v>
                </c:pt>
                <c:pt idx="32">
                  <c:v>102</c:v>
                </c:pt>
                <c:pt idx="33">
                  <c:v>222</c:v>
                </c:pt>
                <c:pt idx="34">
                  <c:v>442</c:v>
                </c:pt>
                <c:pt idx="35">
                  <c:v>85</c:v>
                </c:pt>
                <c:pt idx="36">
                  <c:v>15</c:v>
                </c:pt>
                <c:pt idx="37">
                  <c:v>145</c:v>
                </c:pt>
                <c:pt idx="38">
                  <c:v>508</c:v>
                </c:pt>
                <c:pt idx="39" formatCode="#,##0">
                  <c:v>1600</c:v>
                </c:pt>
                <c:pt idx="40" formatCode="#,##0">
                  <c:v>1567</c:v>
                </c:pt>
                <c:pt idx="41" formatCode="#,##0">
                  <c:v>2388</c:v>
                </c:pt>
                <c:pt idx="42" formatCode="#,##0">
                  <c:v>1216</c:v>
                </c:pt>
                <c:pt idx="43">
                  <c:v>800</c:v>
                </c:pt>
                <c:pt idx="44" formatCode="#,##0">
                  <c:v>1038</c:v>
                </c:pt>
                <c:pt idx="45">
                  <c:v>400</c:v>
                </c:pt>
                <c:pt idx="46">
                  <c:v>465</c:v>
                </c:pt>
                <c:pt idx="47">
                  <c:v>600</c:v>
                </c:pt>
                <c:pt idx="48">
                  <c:v>800</c:v>
                </c:pt>
                <c:pt idx="49">
                  <c:v>480</c:v>
                </c:pt>
                <c:pt idx="50" formatCode="_(* #,##0_);_(* \(#,##0\);_(* &quot;-&quot;??_);_(@_)">
                  <c:v>450</c:v>
                </c:pt>
                <c:pt idx="51" formatCode="_(* #,##0_);_(* \(#,##0\);_(* &quot;-&quot;??_);_(@_)">
                  <c:v>41.417000000000002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India!$C$8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India!$D$8:$BD$8</c:f>
              <c:numCache>
                <c:formatCode>General</c:formatCode>
                <c:ptCount val="53"/>
                <c:pt idx="0">
                  <c:v>240</c:v>
                </c:pt>
                <c:pt idx="1">
                  <c:v>269</c:v>
                </c:pt>
                <c:pt idx="2">
                  <c:v>272</c:v>
                </c:pt>
                <c:pt idx="3">
                  <c:v>227</c:v>
                </c:pt>
                <c:pt idx="4">
                  <c:v>201</c:v>
                </c:pt>
                <c:pt idx="5">
                  <c:v>155</c:v>
                </c:pt>
                <c:pt idx="6">
                  <c:v>198</c:v>
                </c:pt>
                <c:pt idx="7">
                  <c:v>191</c:v>
                </c:pt>
                <c:pt idx="8">
                  <c:v>160</c:v>
                </c:pt>
                <c:pt idx="9">
                  <c:v>169</c:v>
                </c:pt>
                <c:pt idx="10">
                  <c:v>139</c:v>
                </c:pt>
                <c:pt idx="11">
                  <c:v>166</c:v>
                </c:pt>
                <c:pt idx="12">
                  <c:v>198</c:v>
                </c:pt>
                <c:pt idx="13">
                  <c:v>182</c:v>
                </c:pt>
                <c:pt idx="14">
                  <c:v>89</c:v>
                </c:pt>
                <c:pt idx="15">
                  <c:v>294</c:v>
                </c:pt>
                <c:pt idx="16">
                  <c:v>35</c:v>
                </c:pt>
                <c:pt idx="17">
                  <c:v>11</c:v>
                </c:pt>
                <c:pt idx="18">
                  <c:v>195</c:v>
                </c:pt>
                <c:pt idx="19">
                  <c:v>399</c:v>
                </c:pt>
                <c:pt idx="20">
                  <c:v>527</c:v>
                </c:pt>
                <c:pt idx="21">
                  <c:v>339</c:v>
                </c:pt>
                <c:pt idx="22">
                  <c:v>500</c:v>
                </c:pt>
                <c:pt idx="23">
                  <c:v>299</c:v>
                </c:pt>
                <c:pt idx="24">
                  <c:v>151</c:v>
                </c:pt>
                <c:pt idx="25">
                  <c:v>336</c:v>
                </c:pt>
                <c:pt idx="26" formatCode="#,##0">
                  <c:v>1018</c:v>
                </c:pt>
                <c:pt idx="27">
                  <c:v>19</c:v>
                </c:pt>
                <c:pt idx="28">
                  <c:v>149</c:v>
                </c:pt>
                <c:pt idx="29" formatCode="#,##0">
                  <c:v>1077</c:v>
                </c:pt>
                <c:pt idx="30">
                  <c:v>708</c:v>
                </c:pt>
                <c:pt idx="31">
                  <c:v>303</c:v>
                </c:pt>
                <c:pt idx="32">
                  <c:v>990</c:v>
                </c:pt>
                <c:pt idx="33">
                  <c:v>369</c:v>
                </c:pt>
                <c:pt idx="34">
                  <c:v>104</c:v>
                </c:pt>
                <c:pt idx="35">
                  <c:v>567</c:v>
                </c:pt>
                <c:pt idx="36" formatCode="#,##0">
                  <c:v>1187</c:v>
                </c:pt>
                <c:pt idx="37">
                  <c:v>312</c:v>
                </c:pt>
                <c:pt idx="38">
                  <c:v>195</c:v>
                </c:pt>
                <c:pt idx="39">
                  <c:v>70</c:v>
                </c:pt>
                <c:pt idx="40">
                  <c:v>94</c:v>
                </c:pt>
                <c:pt idx="41">
                  <c:v>60</c:v>
                </c:pt>
                <c:pt idx="42">
                  <c:v>56</c:v>
                </c:pt>
                <c:pt idx="43">
                  <c:v>700</c:v>
                </c:pt>
                <c:pt idx="44">
                  <c:v>660</c:v>
                </c:pt>
                <c:pt idx="45" formatCode="#,##0">
                  <c:v>3675</c:v>
                </c:pt>
                <c:pt idx="46" formatCode="#,##0">
                  <c:v>4875</c:v>
                </c:pt>
                <c:pt idx="47" formatCode="#,##0">
                  <c:v>7500</c:v>
                </c:pt>
                <c:pt idx="48" formatCode="#,##0">
                  <c:v>2360</c:v>
                </c:pt>
                <c:pt idx="49" formatCode="#,##0">
                  <c:v>6550</c:v>
                </c:pt>
                <c:pt idx="50" formatCode="_(* #,##0_);_(* \(#,##0\);_(* &quot;-&quot;??_);_(@_)">
                  <c:v>4800</c:v>
                </c:pt>
                <c:pt idx="51" formatCode="_(* #,##0_);_(* \(#,##0\);_(* &quot;-&quot;??_);_(@_)">
                  <c:v>1871.1559999999999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India!$C$9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India!$D$9:$BD$9</c:f>
              <c:numCache>
                <c:formatCode>#,##0</c:formatCode>
                <c:ptCount val="53"/>
                <c:pt idx="0">
                  <c:v>4778</c:v>
                </c:pt>
                <c:pt idx="1">
                  <c:v>4567</c:v>
                </c:pt>
                <c:pt idx="2">
                  <c:v>5031</c:v>
                </c:pt>
                <c:pt idx="3">
                  <c:v>5067</c:v>
                </c:pt>
                <c:pt idx="4">
                  <c:v>5312</c:v>
                </c:pt>
                <c:pt idx="5">
                  <c:v>4908</c:v>
                </c:pt>
                <c:pt idx="6">
                  <c:v>5097</c:v>
                </c:pt>
                <c:pt idx="7">
                  <c:v>5444</c:v>
                </c:pt>
                <c:pt idx="8">
                  <c:v>5268</c:v>
                </c:pt>
                <c:pt idx="9">
                  <c:v>5369</c:v>
                </c:pt>
                <c:pt idx="10">
                  <c:v>5035</c:v>
                </c:pt>
                <c:pt idx="11">
                  <c:v>5352</c:v>
                </c:pt>
                <c:pt idx="12">
                  <c:v>5398</c:v>
                </c:pt>
                <c:pt idx="13">
                  <c:v>5520</c:v>
                </c:pt>
                <c:pt idx="14">
                  <c:v>5025</c:v>
                </c:pt>
                <c:pt idx="15">
                  <c:v>5888</c:v>
                </c:pt>
                <c:pt idx="16">
                  <c:v>4995</c:v>
                </c:pt>
                <c:pt idx="17">
                  <c:v>5397</c:v>
                </c:pt>
                <c:pt idx="18">
                  <c:v>5616</c:v>
                </c:pt>
                <c:pt idx="19">
                  <c:v>5955</c:v>
                </c:pt>
                <c:pt idx="20">
                  <c:v>6311</c:v>
                </c:pt>
                <c:pt idx="21">
                  <c:v>5437</c:v>
                </c:pt>
                <c:pt idx="22">
                  <c:v>6232</c:v>
                </c:pt>
                <c:pt idx="23">
                  <c:v>6676</c:v>
                </c:pt>
                <c:pt idx="24">
                  <c:v>7093</c:v>
                </c:pt>
                <c:pt idx="25">
                  <c:v>7157</c:v>
                </c:pt>
                <c:pt idx="26">
                  <c:v>7886</c:v>
                </c:pt>
                <c:pt idx="27">
                  <c:v>7947</c:v>
                </c:pt>
                <c:pt idx="28">
                  <c:v>8118</c:v>
                </c:pt>
                <c:pt idx="29">
                  <c:v>8640</c:v>
                </c:pt>
                <c:pt idx="30">
                  <c:v>8962</c:v>
                </c:pt>
                <c:pt idx="31">
                  <c:v>8648</c:v>
                </c:pt>
                <c:pt idx="32">
                  <c:v>9808</c:v>
                </c:pt>
                <c:pt idx="33">
                  <c:v>9840</c:v>
                </c:pt>
                <c:pt idx="34">
                  <c:v>10545</c:v>
                </c:pt>
                <c:pt idx="35">
                  <c:v>11747</c:v>
                </c:pt>
                <c:pt idx="36">
                  <c:v>13120</c:v>
                </c:pt>
                <c:pt idx="37">
                  <c:v>12675</c:v>
                </c:pt>
                <c:pt idx="38">
                  <c:v>12620</c:v>
                </c:pt>
                <c:pt idx="39">
                  <c:v>13547</c:v>
                </c:pt>
                <c:pt idx="40">
                  <c:v>13544</c:v>
                </c:pt>
                <c:pt idx="41">
                  <c:v>13275</c:v>
                </c:pt>
                <c:pt idx="42">
                  <c:v>13300</c:v>
                </c:pt>
                <c:pt idx="43">
                  <c:v>13500</c:v>
                </c:pt>
                <c:pt idx="44">
                  <c:v>14800</c:v>
                </c:pt>
                <c:pt idx="45">
                  <c:v>16700</c:v>
                </c:pt>
                <c:pt idx="46">
                  <c:v>18100</c:v>
                </c:pt>
                <c:pt idx="47">
                  <c:v>18600</c:v>
                </c:pt>
                <c:pt idx="48">
                  <c:v>17750</c:v>
                </c:pt>
                <c:pt idx="49">
                  <c:v>19650</c:v>
                </c:pt>
                <c:pt idx="50" formatCode="_(* #,##0_);_(* \(#,##0\);_(* &quot;-&quot;??_);_(@_)">
                  <c:v>21500</c:v>
                </c:pt>
                <c:pt idx="51" formatCode="_(* #,##0_);_(* \(#,##0\);_(* &quot;-&quot;??_);_(@_)">
                  <c:v>4154.2610000000004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13824"/>
        <c:axId val="312813432"/>
      </c:lineChart>
      <c:catAx>
        <c:axId val="312813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13432"/>
        <c:crosses val="autoZero"/>
        <c:auto val="1"/>
        <c:lblAlgn val="ctr"/>
        <c:lblOffset val="100"/>
        <c:noMultiLvlLbl val="0"/>
      </c:catAx>
      <c:valAx>
        <c:axId val="31281343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1382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91165128933230188"/>
          <c:h val="0.1078068583210106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India!$C$10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India!$D$10:$BD$10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11</c:v>
                </c:pt>
                <c:pt idx="10">
                  <c:v>18</c:v>
                </c:pt>
                <c:pt idx="11">
                  <c:v>20</c:v>
                </c:pt>
                <c:pt idx="12">
                  <c:v>25</c:v>
                </c:pt>
                <c:pt idx="13">
                  <c:v>30</c:v>
                </c:pt>
                <c:pt idx="14">
                  <c:v>35</c:v>
                </c:pt>
                <c:pt idx="15">
                  <c:v>70</c:v>
                </c:pt>
                <c:pt idx="16">
                  <c:v>150</c:v>
                </c:pt>
                <c:pt idx="17">
                  <c:v>180</c:v>
                </c:pt>
                <c:pt idx="18">
                  <c:v>220</c:v>
                </c:pt>
                <c:pt idx="19">
                  <c:v>350</c:v>
                </c:pt>
                <c:pt idx="20">
                  <c:v>442</c:v>
                </c:pt>
                <c:pt idx="21">
                  <c:v>467</c:v>
                </c:pt>
                <c:pt idx="22">
                  <c:v>491</c:v>
                </c:pt>
                <c:pt idx="23">
                  <c:v>614</c:v>
                </c:pt>
                <c:pt idx="24">
                  <c:v>955</c:v>
                </c:pt>
                <c:pt idx="25" formatCode="#,##0">
                  <c:v>1020</c:v>
                </c:pt>
                <c:pt idx="26">
                  <c:v>891</c:v>
                </c:pt>
                <c:pt idx="27">
                  <c:v>898</c:v>
                </c:pt>
                <c:pt idx="28" formatCode="#,##0">
                  <c:v>1547</c:v>
                </c:pt>
                <c:pt idx="29" formatCode="#,##0">
                  <c:v>1806</c:v>
                </c:pt>
                <c:pt idx="30" formatCode="#,##0">
                  <c:v>2602</c:v>
                </c:pt>
                <c:pt idx="31" formatCode="#,##0">
                  <c:v>2492</c:v>
                </c:pt>
                <c:pt idx="32" formatCode="#,##0">
                  <c:v>3106</c:v>
                </c:pt>
                <c:pt idx="33" formatCode="#,##0">
                  <c:v>4000</c:v>
                </c:pt>
                <c:pt idx="34" formatCode="#,##0">
                  <c:v>3236</c:v>
                </c:pt>
                <c:pt idx="35" formatCode="#,##0">
                  <c:v>4476</c:v>
                </c:pt>
                <c:pt idx="36" formatCode="#,##0">
                  <c:v>4100</c:v>
                </c:pt>
                <c:pt idx="37" formatCode="#,##0">
                  <c:v>5350</c:v>
                </c:pt>
                <c:pt idx="38" formatCode="#,##0">
                  <c:v>6000</c:v>
                </c:pt>
                <c:pt idx="39" formatCode="#,##0">
                  <c:v>5200</c:v>
                </c:pt>
                <c:pt idx="40" formatCode="#,##0">
                  <c:v>5250</c:v>
                </c:pt>
                <c:pt idx="41" formatCode="#,##0">
                  <c:v>5400</c:v>
                </c:pt>
                <c:pt idx="42" formatCode="#,##0">
                  <c:v>4000</c:v>
                </c:pt>
                <c:pt idx="43" formatCode="#,##0">
                  <c:v>6800</c:v>
                </c:pt>
                <c:pt idx="44" formatCode="#,##0">
                  <c:v>5850</c:v>
                </c:pt>
                <c:pt idx="45" formatCode="#,##0">
                  <c:v>7000</c:v>
                </c:pt>
                <c:pt idx="46" formatCode="#,##0">
                  <c:v>7690</c:v>
                </c:pt>
                <c:pt idx="47" formatCode="#,##0">
                  <c:v>9470</c:v>
                </c:pt>
                <c:pt idx="48" formatCode="#,##0">
                  <c:v>9100</c:v>
                </c:pt>
                <c:pt idx="49" formatCode="#,##0">
                  <c:v>9000</c:v>
                </c:pt>
                <c:pt idx="50" formatCode="_(* #,##0_);_(* \(#,##0\);_(* &quot;-&quot;??_);_(@_)">
                  <c:v>9600</c:v>
                </c:pt>
                <c:pt idx="51" formatCode="_(* #,##0_);_(* \(#,##0\);_(* &quot;-&quot;??_);_(@_)">
                  <c:v>12214</c:v>
                </c:pt>
                <c:pt idx="52" formatCode="_(* #,##0_);_(* \(#,##0\);_(* &quot;-&quot;??_);_(@_)">
                  <c:v>14666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India!$C$11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India!$D$11:$BD$11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21</c:v>
                </c:pt>
                <c:pt idx="27">
                  <c:v>25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55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0.121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India!$C$12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India!$D$12:$BD$12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17</c:v>
                </c:pt>
                <c:pt idx="40">
                  <c:v>60</c:v>
                </c:pt>
                <c:pt idx="41">
                  <c:v>1</c:v>
                </c:pt>
                <c:pt idx="42">
                  <c:v>5</c:v>
                </c:pt>
                <c:pt idx="43">
                  <c:v>239</c:v>
                </c:pt>
                <c:pt idx="44">
                  <c:v>6</c:v>
                </c:pt>
                <c:pt idx="45">
                  <c:v>6</c:v>
                </c:pt>
                <c:pt idx="46">
                  <c:v>1</c:v>
                </c:pt>
                <c:pt idx="47">
                  <c:v>12</c:v>
                </c:pt>
                <c:pt idx="48">
                  <c:v>55</c:v>
                </c:pt>
                <c:pt idx="49">
                  <c:v>15</c:v>
                </c:pt>
                <c:pt idx="50" formatCode="_(* #,##0_);_(* \(#,##0\);_(* &quot;-&quot;??_);_(@_)">
                  <c:v>15</c:v>
                </c:pt>
                <c:pt idx="51" formatCode="_(* #,##0_);_(* \(#,##0\);_(* &quot;-&quot;??_);_(@_)">
                  <c:v>30.556000000000001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India!$C$13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India!$D$13:$BD$13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11</c:v>
                </c:pt>
                <c:pt idx="10">
                  <c:v>18</c:v>
                </c:pt>
                <c:pt idx="11">
                  <c:v>20</c:v>
                </c:pt>
                <c:pt idx="12">
                  <c:v>25</c:v>
                </c:pt>
                <c:pt idx="13">
                  <c:v>30</c:v>
                </c:pt>
                <c:pt idx="14">
                  <c:v>35</c:v>
                </c:pt>
                <c:pt idx="15">
                  <c:v>70</c:v>
                </c:pt>
                <c:pt idx="16">
                  <c:v>150</c:v>
                </c:pt>
                <c:pt idx="17">
                  <c:v>180</c:v>
                </c:pt>
                <c:pt idx="18">
                  <c:v>220</c:v>
                </c:pt>
                <c:pt idx="19">
                  <c:v>350</c:v>
                </c:pt>
                <c:pt idx="20">
                  <c:v>442</c:v>
                </c:pt>
                <c:pt idx="21">
                  <c:v>467</c:v>
                </c:pt>
                <c:pt idx="22">
                  <c:v>491</c:v>
                </c:pt>
                <c:pt idx="23">
                  <c:v>614</c:v>
                </c:pt>
                <c:pt idx="24">
                  <c:v>955</c:v>
                </c:pt>
                <c:pt idx="25" formatCode="#,##0">
                  <c:v>1020</c:v>
                </c:pt>
                <c:pt idx="26">
                  <c:v>912</c:v>
                </c:pt>
                <c:pt idx="27">
                  <c:v>923</c:v>
                </c:pt>
                <c:pt idx="28" formatCode="#,##0">
                  <c:v>1547</c:v>
                </c:pt>
                <c:pt idx="29" formatCode="#,##0">
                  <c:v>1806</c:v>
                </c:pt>
                <c:pt idx="30" formatCode="#,##0">
                  <c:v>2602</c:v>
                </c:pt>
                <c:pt idx="31" formatCode="#,##0">
                  <c:v>2492</c:v>
                </c:pt>
                <c:pt idx="32" formatCode="#,##0">
                  <c:v>3106</c:v>
                </c:pt>
                <c:pt idx="33" formatCode="#,##0">
                  <c:v>3990</c:v>
                </c:pt>
                <c:pt idx="34" formatCode="#,##0">
                  <c:v>3170</c:v>
                </c:pt>
                <c:pt idx="35" formatCode="#,##0">
                  <c:v>4531</c:v>
                </c:pt>
                <c:pt idx="36" formatCode="#,##0">
                  <c:v>4175</c:v>
                </c:pt>
                <c:pt idx="37" formatCode="#,##0">
                  <c:v>5350</c:v>
                </c:pt>
                <c:pt idx="38" formatCode="#,##0">
                  <c:v>6001</c:v>
                </c:pt>
                <c:pt idx="39" formatCode="#,##0">
                  <c:v>5024</c:v>
                </c:pt>
                <c:pt idx="40" formatCode="#,##0">
                  <c:v>5215</c:v>
                </c:pt>
                <c:pt idx="41" formatCode="#,##0">
                  <c:v>5377</c:v>
                </c:pt>
                <c:pt idx="42" formatCode="#,##0">
                  <c:v>4025</c:v>
                </c:pt>
                <c:pt idx="43" formatCode="#,##0">
                  <c:v>6341</c:v>
                </c:pt>
                <c:pt idx="44" formatCode="#,##0">
                  <c:v>5314</c:v>
                </c:pt>
                <c:pt idx="45" formatCode="#,##0">
                  <c:v>7795</c:v>
                </c:pt>
                <c:pt idx="46" formatCode="#,##0">
                  <c:v>7546</c:v>
                </c:pt>
                <c:pt idx="47" formatCode="#,##0">
                  <c:v>9580</c:v>
                </c:pt>
                <c:pt idx="48" formatCode="#,##0">
                  <c:v>8475</c:v>
                </c:pt>
                <c:pt idx="49" formatCode="#,##0">
                  <c:v>8461</c:v>
                </c:pt>
                <c:pt idx="50" formatCode="_(* #,##0_);_(* \(#,##0\);_(* &quot;-&quot;??_);_(@_)">
                  <c:v>10345</c:v>
                </c:pt>
                <c:pt idx="51" formatCode="_(* #,##0_);_(* \(#,##0\);_(* &quot;-&quot;??_);_(@_)">
                  <c:v>12183.564999999999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11864"/>
        <c:axId val="312810296"/>
      </c:lineChart>
      <c:catAx>
        <c:axId val="3128118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10296"/>
        <c:crosses val="autoZero"/>
        <c:auto val="1"/>
        <c:lblAlgn val="ctr"/>
        <c:lblOffset val="100"/>
        <c:noMultiLvlLbl val="0"/>
      </c:catAx>
      <c:valAx>
        <c:axId val="3128102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1186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89185673389875553"/>
          <c:h val="0.1307411944016486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India!$C$14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India!$D$14:$BD$14</c:f>
              <c:numCache>
                <c:formatCode>#,##0</c:formatCode>
                <c:ptCount val="53"/>
                <c:pt idx="0">
                  <c:v>34639</c:v>
                </c:pt>
                <c:pt idx="1">
                  <c:v>35663</c:v>
                </c:pt>
                <c:pt idx="2">
                  <c:v>33217</c:v>
                </c:pt>
                <c:pt idx="3">
                  <c:v>36998</c:v>
                </c:pt>
                <c:pt idx="4">
                  <c:v>39308</c:v>
                </c:pt>
                <c:pt idx="5">
                  <c:v>30589</c:v>
                </c:pt>
                <c:pt idx="6">
                  <c:v>30438</c:v>
                </c:pt>
                <c:pt idx="7">
                  <c:v>37612</c:v>
                </c:pt>
                <c:pt idx="8">
                  <c:v>39761</c:v>
                </c:pt>
                <c:pt idx="9">
                  <c:v>40430</c:v>
                </c:pt>
                <c:pt idx="10">
                  <c:v>42225</c:v>
                </c:pt>
                <c:pt idx="11">
                  <c:v>43068</c:v>
                </c:pt>
                <c:pt idx="12">
                  <c:v>39245</c:v>
                </c:pt>
                <c:pt idx="13">
                  <c:v>44051</c:v>
                </c:pt>
                <c:pt idx="14">
                  <c:v>39579</c:v>
                </c:pt>
                <c:pt idx="15">
                  <c:v>48740</c:v>
                </c:pt>
                <c:pt idx="16">
                  <c:v>41917</c:v>
                </c:pt>
                <c:pt idx="17">
                  <c:v>52617</c:v>
                </c:pt>
                <c:pt idx="18">
                  <c:v>53773</c:v>
                </c:pt>
                <c:pt idx="19">
                  <c:v>42330</c:v>
                </c:pt>
                <c:pt idx="20">
                  <c:v>53631</c:v>
                </c:pt>
                <c:pt idx="21">
                  <c:v>53248</c:v>
                </c:pt>
                <c:pt idx="22">
                  <c:v>47116</c:v>
                </c:pt>
                <c:pt idx="23">
                  <c:v>60097</c:v>
                </c:pt>
                <c:pt idx="24">
                  <c:v>58337</c:v>
                </c:pt>
                <c:pt idx="25">
                  <c:v>63825</c:v>
                </c:pt>
                <c:pt idx="26">
                  <c:v>60416</c:v>
                </c:pt>
                <c:pt idx="27">
                  <c:v>56862</c:v>
                </c:pt>
                <c:pt idx="28">
                  <c:v>70489</c:v>
                </c:pt>
                <c:pt idx="29">
                  <c:v>73573</c:v>
                </c:pt>
                <c:pt idx="30">
                  <c:v>74291</c:v>
                </c:pt>
                <c:pt idx="31">
                  <c:v>74680</c:v>
                </c:pt>
                <c:pt idx="32">
                  <c:v>72868</c:v>
                </c:pt>
                <c:pt idx="33">
                  <c:v>80300</c:v>
                </c:pt>
                <c:pt idx="34">
                  <c:v>81810</c:v>
                </c:pt>
                <c:pt idx="35">
                  <c:v>76980</c:v>
                </c:pt>
                <c:pt idx="36">
                  <c:v>81730</c:v>
                </c:pt>
                <c:pt idx="37">
                  <c:v>82540</c:v>
                </c:pt>
                <c:pt idx="38">
                  <c:v>86080</c:v>
                </c:pt>
                <c:pt idx="39">
                  <c:v>89680</c:v>
                </c:pt>
                <c:pt idx="40">
                  <c:v>84980</c:v>
                </c:pt>
                <c:pt idx="41">
                  <c:v>93340</c:v>
                </c:pt>
                <c:pt idx="42">
                  <c:v>71820</c:v>
                </c:pt>
                <c:pt idx="43">
                  <c:v>88530</c:v>
                </c:pt>
                <c:pt idx="44">
                  <c:v>83130</c:v>
                </c:pt>
                <c:pt idx="45">
                  <c:v>91790</c:v>
                </c:pt>
                <c:pt idx="46">
                  <c:v>93350</c:v>
                </c:pt>
                <c:pt idx="47">
                  <c:v>96690</c:v>
                </c:pt>
                <c:pt idx="48">
                  <c:v>99180</c:v>
                </c:pt>
                <c:pt idx="49">
                  <c:v>89130</c:v>
                </c:pt>
                <c:pt idx="50" formatCode="_(* #,##0_);_(* \(#,##0\);_(* &quot;-&quot;??_);_(@_)">
                  <c:v>94500</c:v>
                </c:pt>
                <c:pt idx="51" formatCode="_(* #,##0_);_(* \(#,##0\);_(* &quot;-&quot;??_);_(@_)">
                  <c:v>157900</c:v>
                </c:pt>
                <c:pt idx="52" formatCode="_(* #,##0_);_(* \(#,##0\);_(* &quot;-&quot;??_);_(@_)">
                  <c:v>157800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India!$C$15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India!$D$15:$BD$15</c:f>
              <c:numCache>
                <c:formatCode>General</c:formatCode>
                <c:ptCount val="53"/>
                <c:pt idx="0">
                  <c:v>401</c:v>
                </c:pt>
                <c:pt idx="1">
                  <c:v>403</c:v>
                </c:pt>
                <c:pt idx="2">
                  <c:v>510</c:v>
                </c:pt>
                <c:pt idx="3">
                  <c:v>635</c:v>
                </c:pt>
                <c:pt idx="4">
                  <c:v>726</c:v>
                </c:pt>
                <c:pt idx="5">
                  <c:v>785</c:v>
                </c:pt>
                <c:pt idx="6">
                  <c:v>455</c:v>
                </c:pt>
                <c:pt idx="7">
                  <c:v>446</c:v>
                </c:pt>
                <c:pt idx="8">
                  <c:v>487</c:v>
                </c:pt>
                <c:pt idx="9">
                  <c:v>206</c:v>
                </c:pt>
                <c:pt idx="10">
                  <c:v>307</c:v>
                </c:pt>
                <c:pt idx="11">
                  <c:v>133</c:v>
                </c:pt>
                <c:pt idx="12">
                  <c:v>0</c:v>
                </c:pt>
                <c:pt idx="13">
                  <c:v>65</c:v>
                </c:pt>
                <c:pt idx="14">
                  <c:v>155</c:v>
                </c:pt>
                <c:pt idx="15">
                  <c:v>230</c:v>
                </c:pt>
                <c:pt idx="16">
                  <c:v>42</c:v>
                </c:pt>
                <c:pt idx="17">
                  <c:v>10</c:v>
                </c:pt>
                <c:pt idx="18">
                  <c:v>10</c:v>
                </c:pt>
                <c:pt idx="19">
                  <c:v>5</c:v>
                </c:pt>
                <c:pt idx="20">
                  <c:v>70</c:v>
                </c:pt>
                <c:pt idx="21">
                  <c:v>10</c:v>
                </c:pt>
                <c:pt idx="22">
                  <c:v>80</c:v>
                </c:pt>
                <c:pt idx="23">
                  <c:v>850</c:v>
                </c:pt>
                <c:pt idx="24">
                  <c:v>10</c:v>
                </c:pt>
                <c:pt idx="25">
                  <c:v>5</c:v>
                </c:pt>
                <c:pt idx="26">
                  <c:v>5</c:v>
                </c:pt>
                <c:pt idx="27">
                  <c:v>650</c:v>
                </c:pt>
                <c:pt idx="28">
                  <c:v>650</c:v>
                </c:pt>
                <c:pt idx="29">
                  <c:v>50</c:v>
                </c:pt>
                <c:pt idx="30">
                  <c:v>0</c:v>
                </c:pt>
                <c:pt idx="31">
                  <c:v>15</c:v>
                </c:pt>
                <c:pt idx="32">
                  <c:v>55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12</c:v>
                </c:pt>
                <c:pt idx="38">
                  <c:v>4</c:v>
                </c:pt>
                <c:pt idx="39">
                  <c:v>86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6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1.093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India!$C$16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India!$D$16:$BD$16</c:f>
              <c:numCache>
                <c:formatCode>General</c:formatCode>
                <c:ptCount val="53"/>
                <c:pt idx="0">
                  <c:v>67</c:v>
                </c:pt>
                <c:pt idx="1">
                  <c:v>2</c:v>
                </c:pt>
                <c:pt idx="2">
                  <c:v>5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0</c:v>
                </c:pt>
                <c:pt idx="7">
                  <c:v>0</c:v>
                </c:pt>
                <c:pt idx="8">
                  <c:v>15</c:v>
                </c:pt>
                <c:pt idx="9">
                  <c:v>27</c:v>
                </c:pt>
                <c:pt idx="10">
                  <c:v>20</c:v>
                </c:pt>
                <c:pt idx="11">
                  <c:v>10</c:v>
                </c:pt>
                <c:pt idx="12">
                  <c:v>15</c:v>
                </c:pt>
                <c:pt idx="13">
                  <c:v>35</c:v>
                </c:pt>
                <c:pt idx="14">
                  <c:v>18</c:v>
                </c:pt>
                <c:pt idx="15">
                  <c:v>38</c:v>
                </c:pt>
                <c:pt idx="16">
                  <c:v>23</c:v>
                </c:pt>
                <c:pt idx="17">
                  <c:v>143</c:v>
                </c:pt>
                <c:pt idx="18">
                  <c:v>450</c:v>
                </c:pt>
                <c:pt idx="19">
                  <c:v>425</c:v>
                </c:pt>
                <c:pt idx="20">
                  <c:v>900</c:v>
                </c:pt>
                <c:pt idx="21">
                  <c:v>675</c:v>
                </c:pt>
                <c:pt idx="22">
                  <c:v>200</c:v>
                </c:pt>
                <c:pt idx="23">
                  <c:v>220</c:v>
                </c:pt>
                <c:pt idx="24">
                  <c:v>160</c:v>
                </c:pt>
                <c:pt idx="25">
                  <c:v>250</c:v>
                </c:pt>
                <c:pt idx="26">
                  <c:v>350</c:v>
                </c:pt>
                <c:pt idx="27">
                  <c:v>200</c:v>
                </c:pt>
                <c:pt idx="28">
                  <c:v>450</c:v>
                </c:pt>
                <c:pt idx="29">
                  <c:v>500</c:v>
                </c:pt>
                <c:pt idx="30">
                  <c:v>700</c:v>
                </c:pt>
                <c:pt idx="31">
                  <c:v>600</c:v>
                </c:pt>
                <c:pt idx="32">
                  <c:v>650</c:v>
                </c:pt>
                <c:pt idx="33">
                  <c:v>750</c:v>
                </c:pt>
                <c:pt idx="34" formatCode="#,##0">
                  <c:v>4150</c:v>
                </c:pt>
                <c:pt idx="35" formatCode="#,##0">
                  <c:v>3700</c:v>
                </c:pt>
                <c:pt idx="36" formatCode="#,##0">
                  <c:v>2100</c:v>
                </c:pt>
                <c:pt idx="37" formatCode="#,##0">
                  <c:v>4000</c:v>
                </c:pt>
                <c:pt idx="38" formatCode="#,##0">
                  <c:v>3350</c:v>
                </c:pt>
                <c:pt idx="39" formatCode="#,##0">
                  <c:v>1400</c:v>
                </c:pt>
                <c:pt idx="40" formatCode="#,##0">
                  <c:v>1685</c:v>
                </c:pt>
                <c:pt idx="41" formatCode="#,##0">
                  <c:v>6300</c:v>
                </c:pt>
                <c:pt idx="42" formatCode="#,##0">
                  <c:v>5440</c:v>
                </c:pt>
                <c:pt idx="43" formatCode="#,##0">
                  <c:v>3100</c:v>
                </c:pt>
                <c:pt idx="44" formatCode="#,##0">
                  <c:v>4569</c:v>
                </c:pt>
                <c:pt idx="45" formatCode="#,##0">
                  <c:v>4688</c:v>
                </c:pt>
                <c:pt idx="46" formatCode="#,##0">
                  <c:v>5740</c:v>
                </c:pt>
                <c:pt idx="47" formatCode="#,##0">
                  <c:v>4654</c:v>
                </c:pt>
                <c:pt idx="48" formatCode="#,##0">
                  <c:v>2090</c:v>
                </c:pt>
                <c:pt idx="49" formatCode="#,##0">
                  <c:v>1900</c:v>
                </c:pt>
                <c:pt idx="50" formatCode="_(* #,##0_);_(* \(#,##0\);_(* &quot;-&quot;??_);_(@_)">
                  <c:v>2400</c:v>
                </c:pt>
                <c:pt idx="51" formatCode="_(* #,##0_);_(* \(#,##0\);_(* &quot;-&quot;??_);_(@_)">
                  <c:v>5004.28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India!$C$17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India!$D$17:$BD$17</c:f>
              <c:numCache>
                <c:formatCode>#,##0</c:formatCode>
                <c:ptCount val="53"/>
                <c:pt idx="0">
                  <c:v>35473</c:v>
                </c:pt>
                <c:pt idx="1">
                  <c:v>36064</c:v>
                </c:pt>
                <c:pt idx="2">
                  <c:v>33722</c:v>
                </c:pt>
                <c:pt idx="3">
                  <c:v>36130</c:v>
                </c:pt>
                <c:pt idx="4">
                  <c:v>37531</c:v>
                </c:pt>
                <c:pt idx="5">
                  <c:v>31371</c:v>
                </c:pt>
                <c:pt idx="6">
                  <c:v>32893</c:v>
                </c:pt>
                <c:pt idx="7">
                  <c:v>37058</c:v>
                </c:pt>
                <c:pt idx="8">
                  <c:v>40033</c:v>
                </c:pt>
                <c:pt idx="9">
                  <c:v>41309</c:v>
                </c:pt>
                <c:pt idx="10">
                  <c:v>41512</c:v>
                </c:pt>
                <c:pt idx="11">
                  <c:v>43541</c:v>
                </c:pt>
                <c:pt idx="12">
                  <c:v>40780</c:v>
                </c:pt>
                <c:pt idx="13">
                  <c:v>43181</c:v>
                </c:pt>
                <c:pt idx="14">
                  <c:v>43502</c:v>
                </c:pt>
                <c:pt idx="15">
                  <c:v>43646</c:v>
                </c:pt>
                <c:pt idx="16">
                  <c:v>43436</c:v>
                </c:pt>
                <c:pt idx="17">
                  <c:v>49484</c:v>
                </c:pt>
                <c:pt idx="18">
                  <c:v>50333</c:v>
                </c:pt>
                <c:pt idx="19">
                  <c:v>45910</c:v>
                </c:pt>
                <c:pt idx="20">
                  <c:v>53301</c:v>
                </c:pt>
                <c:pt idx="21">
                  <c:v>54083</c:v>
                </c:pt>
                <c:pt idx="22">
                  <c:v>48496</c:v>
                </c:pt>
                <c:pt idx="23">
                  <c:v>58227</c:v>
                </c:pt>
                <c:pt idx="24">
                  <c:v>56687</c:v>
                </c:pt>
                <c:pt idx="25">
                  <c:v>62080</c:v>
                </c:pt>
                <c:pt idx="26">
                  <c:v>60071</c:v>
                </c:pt>
                <c:pt idx="27">
                  <c:v>59312</c:v>
                </c:pt>
                <c:pt idx="28">
                  <c:v>65689</c:v>
                </c:pt>
                <c:pt idx="29">
                  <c:v>71123</c:v>
                </c:pt>
                <c:pt idx="30">
                  <c:v>73091</c:v>
                </c:pt>
                <c:pt idx="31">
                  <c:v>74595</c:v>
                </c:pt>
                <c:pt idx="32">
                  <c:v>75273</c:v>
                </c:pt>
                <c:pt idx="33">
                  <c:v>76050</c:v>
                </c:pt>
                <c:pt idx="34">
                  <c:v>77660</c:v>
                </c:pt>
                <c:pt idx="35">
                  <c:v>76280</c:v>
                </c:pt>
                <c:pt idx="36">
                  <c:v>81630</c:v>
                </c:pt>
                <c:pt idx="37">
                  <c:v>77552</c:v>
                </c:pt>
                <c:pt idx="38">
                  <c:v>81234</c:v>
                </c:pt>
                <c:pt idx="39">
                  <c:v>82650</c:v>
                </c:pt>
                <c:pt idx="40">
                  <c:v>75960</c:v>
                </c:pt>
                <c:pt idx="41">
                  <c:v>87611</c:v>
                </c:pt>
                <c:pt idx="42">
                  <c:v>79860</c:v>
                </c:pt>
                <c:pt idx="43">
                  <c:v>85630</c:v>
                </c:pt>
                <c:pt idx="44">
                  <c:v>80861</c:v>
                </c:pt>
                <c:pt idx="45">
                  <c:v>85088</c:v>
                </c:pt>
                <c:pt idx="46">
                  <c:v>86700</c:v>
                </c:pt>
                <c:pt idx="47">
                  <c:v>90466</c:v>
                </c:pt>
                <c:pt idx="48">
                  <c:v>91090</c:v>
                </c:pt>
                <c:pt idx="49">
                  <c:v>85730</c:v>
                </c:pt>
                <c:pt idx="50" formatCode="_(* #,##0_);_(* \(#,##0\);_(* &quot;-&quot;??_);_(@_)">
                  <c:v>91000</c:v>
                </c:pt>
                <c:pt idx="51" formatCode="_(* #,##0_);_(* \(#,##0\);_(* &quot;-&quot;??_);_(@_)">
                  <c:v>152896.81299999999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14216"/>
        <c:axId val="312814608"/>
      </c:lineChart>
      <c:catAx>
        <c:axId val="3128142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14608"/>
        <c:crosses val="autoZero"/>
        <c:auto val="1"/>
        <c:lblAlgn val="ctr"/>
        <c:lblOffset val="100"/>
        <c:noMultiLvlLbl val="0"/>
      </c:catAx>
      <c:valAx>
        <c:axId val="31281460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1421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2595025746761435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India!$C$18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India!$D$18:$BD$18</c:f>
              <c:numCache>
                <c:formatCode>#,##0</c:formatCode>
                <c:ptCount val="53"/>
                <c:pt idx="0">
                  <c:v>9814</c:v>
                </c:pt>
                <c:pt idx="1">
                  <c:v>8026</c:v>
                </c:pt>
                <c:pt idx="2">
                  <c:v>9744</c:v>
                </c:pt>
                <c:pt idx="3">
                  <c:v>9195</c:v>
                </c:pt>
                <c:pt idx="4">
                  <c:v>9681</c:v>
                </c:pt>
                <c:pt idx="5">
                  <c:v>7581</c:v>
                </c:pt>
                <c:pt idx="6">
                  <c:v>9224</c:v>
                </c:pt>
                <c:pt idx="7">
                  <c:v>10048</c:v>
                </c:pt>
                <c:pt idx="8">
                  <c:v>9804</c:v>
                </c:pt>
                <c:pt idx="9">
                  <c:v>9721</c:v>
                </c:pt>
                <c:pt idx="10">
                  <c:v>8105</c:v>
                </c:pt>
                <c:pt idx="11">
                  <c:v>7722</c:v>
                </c:pt>
                <c:pt idx="12">
                  <c:v>6968</c:v>
                </c:pt>
                <c:pt idx="13">
                  <c:v>9097</c:v>
                </c:pt>
                <c:pt idx="14">
                  <c:v>10414</c:v>
                </c:pt>
                <c:pt idx="15">
                  <c:v>9504</c:v>
                </c:pt>
                <c:pt idx="16">
                  <c:v>10524</c:v>
                </c:pt>
                <c:pt idx="17">
                  <c:v>12064</c:v>
                </c:pt>
                <c:pt idx="18">
                  <c:v>11436</c:v>
                </c:pt>
                <c:pt idx="19">
                  <c:v>11648</c:v>
                </c:pt>
                <c:pt idx="20">
                  <c:v>10431</c:v>
                </c:pt>
                <c:pt idx="21">
                  <c:v>12062</c:v>
                </c:pt>
                <c:pt idx="22">
                  <c:v>10753</c:v>
                </c:pt>
                <c:pt idx="23">
                  <c:v>11919</c:v>
                </c:pt>
                <c:pt idx="24">
                  <c:v>11402</c:v>
                </c:pt>
                <c:pt idx="25">
                  <c:v>10197</c:v>
                </c:pt>
                <c:pt idx="26">
                  <c:v>8866</c:v>
                </c:pt>
                <c:pt idx="27">
                  <c:v>9500</c:v>
                </c:pt>
                <c:pt idx="28">
                  <c:v>10170</c:v>
                </c:pt>
                <c:pt idx="29">
                  <c:v>12914</c:v>
                </c:pt>
                <c:pt idx="30">
                  <c:v>11681</c:v>
                </c:pt>
                <c:pt idx="31">
                  <c:v>8100</c:v>
                </c:pt>
                <c:pt idx="32">
                  <c:v>12806</c:v>
                </c:pt>
                <c:pt idx="33">
                  <c:v>11410</c:v>
                </c:pt>
                <c:pt idx="34">
                  <c:v>9200</c:v>
                </c:pt>
                <c:pt idx="35">
                  <c:v>9550</c:v>
                </c:pt>
                <c:pt idx="36">
                  <c:v>11088</c:v>
                </c:pt>
                <c:pt idx="37">
                  <c:v>7982</c:v>
                </c:pt>
                <c:pt idx="38">
                  <c:v>8710</c:v>
                </c:pt>
                <c:pt idx="39">
                  <c:v>8860</c:v>
                </c:pt>
                <c:pt idx="40">
                  <c:v>7716</c:v>
                </c:pt>
                <c:pt idx="41">
                  <c:v>8390</c:v>
                </c:pt>
                <c:pt idx="42">
                  <c:v>7060</c:v>
                </c:pt>
                <c:pt idx="43">
                  <c:v>6680</c:v>
                </c:pt>
                <c:pt idx="44">
                  <c:v>7240</c:v>
                </c:pt>
                <c:pt idx="45">
                  <c:v>7630</c:v>
                </c:pt>
                <c:pt idx="46">
                  <c:v>7150</c:v>
                </c:pt>
                <c:pt idx="47">
                  <c:v>7930</c:v>
                </c:pt>
                <c:pt idx="48">
                  <c:v>7250</c:v>
                </c:pt>
                <c:pt idx="49">
                  <c:v>6700</c:v>
                </c:pt>
                <c:pt idx="50" formatCode="_(* #,##0_);_(* \(#,##0\);_(* &quot;-&quot;??_);_(@_)">
                  <c:v>6800</c:v>
                </c:pt>
                <c:pt idx="51" formatCode="_(* #,##0_);_(* \(#,##0\);_(* &quot;-&quot;??_);_(@_)">
                  <c:v>7003.1</c:v>
                </c:pt>
                <c:pt idx="52" formatCode="_(* #,##0_);_(* \(#,##0\);_(* &quot;-&quot;??_);_(@_)">
                  <c:v>5980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India!$C$19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India!$D$19:$BD$19</c:f>
              <c:numCache>
                <c:formatCode>General</c:formatCode>
                <c:ptCount val="53"/>
                <c:pt idx="0">
                  <c:v>53</c:v>
                </c:pt>
                <c:pt idx="1">
                  <c:v>0</c:v>
                </c:pt>
                <c:pt idx="2">
                  <c:v>0</c:v>
                </c:pt>
                <c:pt idx="3">
                  <c:v>25</c:v>
                </c:pt>
                <c:pt idx="4">
                  <c:v>54</c:v>
                </c:pt>
                <c:pt idx="5" formatCode="#,##0">
                  <c:v>1040</c:v>
                </c:pt>
                <c:pt idx="6" formatCode="#,##0">
                  <c:v>2130</c:v>
                </c:pt>
                <c:pt idx="7" formatCode="#,##0">
                  <c:v>1239</c:v>
                </c:pt>
                <c:pt idx="8">
                  <c:v>55</c:v>
                </c:pt>
                <c:pt idx="9">
                  <c:v>275</c:v>
                </c:pt>
                <c:pt idx="10">
                  <c:v>1</c:v>
                </c:pt>
                <c:pt idx="11">
                  <c:v>0</c:v>
                </c:pt>
                <c:pt idx="12">
                  <c:v>836</c:v>
                </c:pt>
                <c:pt idx="13">
                  <c:v>822</c:v>
                </c:pt>
                <c:pt idx="14">
                  <c:v>286</c:v>
                </c:pt>
                <c:pt idx="15">
                  <c:v>670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</c:v>
                </c:pt>
                <c:pt idx="42">
                  <c:v>0</c:v>
                </c:pt>
                <c:pt idx="43">
                  <c:v>0</c:v>
                </c:pt>
                <c:pt idx="44">
                  <c:v>3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0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India!$C$20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India!$D$20:$BD$20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3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2</c:v>
                </c:pt>
                <c:pt idx="31">
                  <c:v>1</c:v>
                </c:pt>
                <c:pt idx="32">
                  <c:v>13</c:v>
                </c:pt>
                <c:pt idx="33">
                  <c:v>84</c:v>
                </c:pt>
                <c:pt idx="34">
                  <c:v>1</c:v>
                </c:pt>
                <c:pt idx="35">
                  <c:v>36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</c:v>
                </c:pt>
                <c:pt idx="42">
                  <c:v>7</c:v>
                </c:pt>
                <c:pt idx="43">
                  <c:v>42</c:v>
                </c:pt>
                <c:pt idx="44">
                  <c:v>24</c:v>
                </c:pt>
                <c:pt idx="45">
                  <c:v>4</c:v>
                </c:pt>
                <c:pt idx="46">
                  <c:v>9</c:v>
                </c:pt>
                <c:pt idx="47">
                  <c:v>94</c:v>
                </c:pt>
                <c:pt idx="48">
                  <c:v>52</c:v>
                </c:pt>
                <c:pt idx="49">
                  <c:v>125</c:v>
                </c:pt>
                <c:pt idx="50" formatCode="_(* #,##0_);_(* \(#,##0\);_(* &quot;-&quot;??_);_(@_)">
                  <c:v>50</c:v>
                </c:pt>
                <c:pt idx="51" formatCode="_(* #,##0_);_(* \(#,##0\);_(* &quot;-&quot;??_);_(@_)">
                  <c:v>38.395000000000003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India!$C$21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India!$D$21:$BD$21</c:f>
              <c:numCache>
                <c:formatCode>#,##0</c:formatCode>
                <c:ptCount val="53"/>
                <c:pt idx="0">
                  <c:v>9367</c:v>
                </c:pt>
                <c:pt idx="1">
                  <c:v>8526</c:v>
                </c:pt>
                <c:pt idx="2">
                  <c:v>8744</c:v>
                </c:pt>
                <c:pt idx="3">
                  <c:v>9220</c:v>
                </c:pt>
                <c:pt idx="4">
                  <c:v>9735</c:v>
                </c:pt>
                <c:pt idx="5">
                  <c:v>9621</c:v>
                </c:pt>
                <c:pt idx="6">
                  <c:v>9854</c:v>
                </c:pt>
                <c:pt idx="7">
                  <c:v>10787</c:v>
                </c:pt>
                <c:pt idx="8">
                  <c:v>10859</c:v>
                </c:pt>
                <c:pt idx="9">
                  <c:v>10496</c:v>
                </c:pt>
                <c:pt idx="10">
                  <c:v>9106</c:v>
                </c:pt>
                <c:pt idx="11">
                  <c:v>8222</c:v>
                </c:pt>
                <c:pt idx="12">
                  <c:v>8804</c:v>
                </c:pt>
                <c:pt idx="13">
                  <c:v>10169</c:v>
                </c:pt>
                <c:pt idx="14">
                  <c:v>10450</c:v>
                </c:pt>
                <c:pt idx="15">
                  <c:v>10174</c:v>
                </c:pt>
                <c:pt idx="16">
                  <c:v>10524</c:v>
                </c:pt>
                <c:pt idx="17">
                  <c:v>11561</c:v>
                </c:pt>
                <c:pt idx="18">
                  <c:v>11736</c:v>
                </c:pt>
                <c:pt idx="19">
                  <c:v>12048</c:v>
                </c:pt>
                <c:pt idx="20">
                  <c:v>10631</c:v>
                </c:pt>
                <c:pt idx="21">
                  <c:v>11962</c:v>
                </c:pt>
                <c:pt idx="22">
                  <c:v>10853</c:v>
                </c:pt>
                <c:pt idx="23">
                  <c:v>11819</c:v>
                </c:pt>
                <c:pt idx="24">
                  <c:v>11502</c:v>
                </c:pt>
                <c:pt idx="25">
                  <c:v>10397</c:v>
                </c:pt>
                <c:pt idx="26">
                  <c:v>9066</c:v>
                </c:pt>
                <c:pt idx="27">
                  <c:v>9500</c:v>
                </c:pt>
                <c:pt idx="28">
                  <c:v>10070</c:v>
                </c:pt>
                <c:pt idx="29">
                  <c:v>12714</c:v>
                </c:pt>
                <c:pt idx="30">
                  <c:v>11679</c:v>
                </c:pt>
                <c:pt idx="31">
                  <c:v>8299</c:v>
                </c:pt>
                <c:pt idx="32">
                  <c:v>12294</c:v>
                </c:pt>
                <c:pt idx="33">
                  <c:v>11825</c:v>
                </c:pt>
                <c:pt idx="34">
                  <c:v>9399</c:v>
                </c:pt>
                <c:pt idx="35">
                  <c:v>9514</c:v>
                </c:pt>
                <c:pt idx="36">
                  <c:v>10888</c:v>
                </c:pt>
                <c:pt idx="37">
                  <c:v>8182</c:v>
                </c:pt>
                <c:pt idx="38">
                  <c:v>8690</c:v>
                </c:pt>
                <c:pt idx="39">
                  <c:v>8850</c:v>
                </c:pt>
                <c:pt idx="40">
                  <c:v>7716</c:v>
                </c:pt>
                <c:pt idx="41">
                  <c:v>8300</c:v>
                </c:pt>
                <c:pt idx="42">
                  <c:v>7150</c:v>
                </c:pt>
                <c:pt idx="43">
                  <c:v>6700</c:v>
                </c:pt>
                <c:pt idx="44">
                  <c:v>7200</c:v>
                </c:pt>
                <c:pt idx="45">
                  <c:v>7500</c:v>
                </c:pt>
                <c:pt idx="46">
                  <c:v>7100</c:v>
                </c:pt>
                <c:pt idx="47">
                  <c:v>7900</c:v>
                </c:pt>
                <c:pt idx="48">
                  <c:v>7200</c:v>
                </c:pt>
                <c:pt idx="49">
                  <c:v>6600</c:v>
                </c:pt>
                <c:pt idx="50" formatCode="_(* #,##0_);_(* \(#,##0\);_(* &quot;-&quot;??_);_(@_)">
                  <c:v>6700</c:v>
                </c:pt>
                <c:pt idx="51" formatCode="_(* #,##0_);_(* \(#,##0\);_(* &quot;-&quot;??_);_(@_)">
                  <c:v>6964.7049999999999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12648"/>
        <c:axId val="312807944"/>
      </c:lineChart>
      <c:catAx>
        <c:axId val="312812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07944"/>
        <c:crosses val="autoZero"/>
        <c:auto val="1"/>
        <c:lblAlgn val="ctr"/>
        <c:lblOffset val="100"/>
        <c:noMultiLvlLbl val="0"/>
      </c:catAx>
      <c:valAx>
        <c:axId val="31280794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281264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78"/>
          <c:w val="0.91165128933230188"/>
          <c:h val="0.1078068583210106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19"/>
          <c:w val="0.8452459084856948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India!$C$22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India!$D$22:$BD$22</c:f>
              <c:numCache>
                <c:formatCode>#,##0</c:formatCode>
                <c:ptCount val="53"/>
                <c:pt idx="0">
                  <c:v>110001.008</c:v>
                </c:pt>
                <c:pt idx="1">
                  <c:v>103967.008</c:v>
                </c:pt>
                <c:pt idx="2">
                  <c:v>91913.008000000002</c:v>
                </c:pt>
                <c:pt idx="3">
                  <c:v>104225.008</c:v>
                </c:pt>
                <c:pt idx="4">
                  <c:v>122077.008</c:v>
                </c:pt>
                <c:pt idx="5">
                  <c:v>123990</c:v>
                </c:pt>
                <c:pt idx="6">
                  <c:v>92827.008000000002</c:v>
                </c:pt>
                <c:pt idx="7">
                  <c:v>95500</c:v>
                </c:pt>
                <c:pt idx="8">
                  <c:v>124676.09600000001</c:v>
                </c:pt>
                <c:pt idx="9">
                  <c:v>135024</c:v>
                </c:pt>
                <c:pt idx="10">
                  <c:v>126368</c:v>
                </c:pt>
                <c:pt idx="11">
                  <c:v>113569.504</c:v>
                </c:pt>
                <c:pt idx="12">
                  <c:v>124866.704</c:v>
                </c:pt>
                <c:pt idx="13">
                  <c:v>140805.008</c:v>
                </c:pt>
                <c:pt idx="14">
                  <c:v>144288.89600000001</c:v>
                </c:pt>
                <c:pt idx="15">
                  <c:v>140603.50399999999</c:v>
                </c:pt>
                <c:pt idx="16">
                  <c:v>153007.008</c:v>
                </c:pt>
                <c:pt idx="17">
                  <c:v>176965.008</c:v>
                </c:pt>
                <c:pt idx="18">
                  <c:v>151655.10399999999</c:v>
                </c:pt>
                <c:pt idx="19">
                  <c:v>128833.408</c:v>
                </c:pt>
                <c:pt idx="20">
                  <c:v>154248</c:v>
                </c:pt>
                <c:pt idx="21">
                  <c:v>186357.6</c:v>
                </c:pt>
                <c:pt idx="22">
                  <c:v>189505.6</c:v>
                </c:pt>
                <c:pt idx="23">
                  <c:v>174076</c:v>
                </c:pt>
                <c:pt idx="24">
                  <c:v>170319.2</c:v>
                </c:pt>
                <c:pt idx="25">
                  <c:v>171680.992</c:v>
                </c:pt>
                <c:pt idx="26">
                  <c:v>186089.50399999999</c:v>
                </c:pt>
                <c:pt idx="27">
                  <c:v>196736.89600000001</c:v>
                </c:pt>
                <c:pt idx="28">
                  <c:v>203036.79999999999</c:v>
                </c:pt>
                <c:pt idx="29">
                  <c:v>225569.2</c:v>
                </c:pt>
                <c:pt idx="30">
                  <c:v>241045.50399999999</c:v>
                </c:pt>
                <c:pt idx="31">
                  <c:v>254000</c:v>
                </c:pt>
                <c:pt idx="32">
                  <c:v>228030</c:v>
                </c:pt>
                <c:pt idx="33">
                  <c:v>229670</c:v>
                </c:pt>
                <c:pt idx="34">
                  <c:v>27554</c:v>
                </c:pt>
                <c:pt idx="35">
                  <c:v>281100</c:v>
                </c:pt>
                <c:pt idx="36">
                  <c:v>277560</c:v>
                </c:pt>
                <c:pt idx="37">
                  <c:v>279541.5</c:v>
                </c:pt>
                <c:pt idx="38">
                  <c:v>310332.79999999999</c:v>
                </c:pt>
                <c:pt idx="39">
                  <c:v>299323.90000000002</c:v>
                </c:pt>
                <c:pt idx="40">
                  <c:v>295956</c:v>
                </c:pt>
                <c:pt idx="41">
                  <c:v>297207.8</c:v>
                </c:pt>
                <c:pt idx="42">
                  <c:v>287383.2</c:v>
                </c:pt>
                <c:pt idx="43">
                  <c:v>233861.8</c:v>
                </c:pt>
                <c:pt idx="44">
                  <c:v>237088.4</c:v>
                </c:pt>
                <c:pt idx="45">
                  <c:v>281171.8</c:v>
                </c:pt>
                <c:pt idx="46">
                  <c:v>355519.7</c:v>
                </c:pt>
                <c:pt idx="47">
                  <c:v>348187.9</c:v>
                </c:pt>
                <c:pt idx="48">
                  <c:v>285029.3</c:v>
                </c:pt>
                <c:pt idx="49">
                  <c:v>292301.59999999998</c:v>
                </c:pt>
                <c:pt idx="50" formatCode="_(* #,##0_);_(* \(#,##0\);_(* &quot;-&quot;??_);_(@_)">
                  <c:v>342382</c:v>
                </c:pt>
                <c:pt idx="51" formatCode="_(* #,##0_);_(* \(#,##0\);_(* &quot;-&quot;??_);_(@_)">
                  <c:v>361037</c:v>
                </c:pt>
                <c:pt idx="52" formatCode="_(* #,##0_);_(* \(#,##0\);_(* &quot;-&quot;??_);_(@_)">
                  <c:v>341200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India!$C$23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India!$D$23:$BD$23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3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192</c:v>
                </c:pt>
                <c:pt idx="20">
                  <c:v>228</c:v>
                </c:pt>
                <c:pt idx="21">
                  <c:v>0</c:v>
                </c:pt>
                <c:pt idx="22">
                  <c:v>0</c:v>
                </c:pt>
                <c:pt idx="23">
                  <c:v>81</c:v>
                </c:pt>
                <c:pt idx="24" formatCode="#,##0">
                  <c:v>1298</c:v>
                </c:pt>
                <c:pt idx="25" formatCode="#,##0">
                  <c:v>1732</c:v>
                </c:pt>
                <c:pt idx="26" formatCode="#,##0">
                  <c:v>1020</c:v>
                </c:pt>
                <c:pt idx="27">
                  <c:v>76</c:v>
                </c:pt>
                <c:pt idx="28">
                  <c:v>0</c:v>
                </c:pt>
                <c:pt idx="29">
                  <c:v>53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 formatCode="#,##0">
                  <c:v>1500</c:v>
                </c:pt>
                <c:pt idx="34">
                  <c:v>685</c:v>
                </c:pt>
                <c:pt idx="35">
                  <c:v>0</c:v>
                </c:pt>
                <c:pt idx="36">
                  <c:v>27</c:v>
                </c:pt>
                <c:pt idx="37" formatCode="#,##0">
                  <c:v>1000</c:v>
                </c:pt>
                <c:pt idx="38" formatCode="#,##0">
                  <c:v>1075</c:v>
                </c:pt>
                <c:pt idx="39">
                  <c:v>438</c:v>
                </c:pt>
                <c:pt idx="40">
                  <c:v>0</c:v>
                </c:pt>
                <c:pt idx="41">
                  <c:v>100</c:v>
                </c:pt>
                <c:pt idx="42">
                  <c:v>10</c:v>
                </c:pt>
                <c:pt idx="43">
                  <c:v>550</c:v>
                </c:pt>
                <c:pt idx="44" formatCode="#,##0">
                  <c:v>2135</c:v>
                </c:pt>
                <c:pt idx="45">
                  <c:v>50</c:v>
                </c:pt>
                <c:pt idx="46">
                  <c:v>0</c:v>
                </c:pt>
                <c:pt idx="47">
                  <c:v>0</c:v>
                </c:pt>
                <c:pt idx="48" formatCode="#,##0">
                  <c:v>2786</c:v>
                </c:pt>
                <c:pt idx="49" formatCode="#,##0">
                  <c:v>4110</c:v>
                </c:pt>
                <c:pt idx="50" formatCode="_(* #,##0_);_(* \(#,##0\);_(* &quot;-&quot;??_);_(@_)">
                  <c:v>1000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India!$C$24</c:f>
              <c:strCache>
                <c:ptCount val="1"/>
                <c:pt idx="0">
                  <c:v>Total 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India!$D$24:$BD$24</c:f>
              <c:numCache>
                <c:formatCode>General</c:formatCode>
                <c:ptCount val="53"/>
                <c:pt idx="0">
                  <c:v>296</c:v>
                </c:pt>
                <c:pt idx="1">
                  <c:v>381</c:v>
                </c:pt>
                <c:pt idx="2">
                  <c:v>290</c:v>
                </c:pt>
                <c:pt idx="3">
                  <c:v>274</c:v>
                </c:pt>
                <c:pt idx="4">
                  <c:v>270</c:v>
                </c:pt>
                <c:pt idx="5">
                  <c:v>446</c:v>
                </c:pt>
                <c:pt idx="6">
                  <c:v>177</c:v>
                </c:pt>
                <c:pt idx="7">
                  <c:v>164</c:v>
                </c:pt>
                <c:pt idx="8">
                  <c:v>106</c:v>
                </c:pt>
                <c:pt idx="9">
                  <c:v>358</c:v>
                </c:pt>
                <c:pt idx="10">
                  <c:v>323</c:v>
                </c:pt>
                <c:pt idx="11">
                  <c:v>166</c:v>
                </c:pt>
                <c:pt idx="12">
                  <c:v>102</c:v>
                </c:pt>
                <c:pt idx="13">
                  <c:v>375</c:v>
                </c:pt>
                <c:pt idx="14">
                  <c:v>398</c:v>
                </c:pt>
                <c:pt idx="15">
                  <c:v>887</c:v>
                </c:pt>
                <c:pt idx="16">
                  <c:v>332</c:v>
                </c:pt>
                <c:pt idx="17">
                  <c:v>215</c:v>
                </c:pt>
                <c:pt idx="18">
                  <c:v>919</c:v>
                </c:pt>
                <c:pt idx="19">
                  <c:v>243</c:v>
                </c:pt>
                <c:pt idx="20">
                  <c:v>65</c:v>
                </c:pt>
                <c:pt idx="21">
                  <c:v>408</c:v>
                </c:pt>
                <c:pt idx="22">
                  <c:v>441</c:v>
                </c:pt>
                <c:pt idx="23">
                  <c:v>765</c:v>
                </c:pt>
                <c:pt idx="24">
                  <c:v>20</c:v>
                </c:pt>
                <c:pt idx="25">
                  <c:v>39</c:v>
                </c:pt>
                <c:pt idx="26">
                  <c:v>21</c:v>
                </c:pt>
                <c:pt idx="27">
                  <c:v>19</c:v>
                </c:pt>
                <c:pt idx="28">
                  <c:v>30</c:v>
                </c:pt>
                <c:pt idx="29">
                  <c:v>32</c:v>
                </c:pt>
                <c:pt idx="30">
                  <c:v>239</c:v>
                </c:pt>
                <c:pt idx="31">
                  <c:v>590</c:v>
                </c:pt>
                <c:pt idx="32">
                  <c:v>390</c:v>
                </c:pt>
                <c:pt idx="33">
                  <c:v>30</c:v>
                </c:pt>
                <c:pt idx="34">
                  <c:v>40</c:v>
                </c:pt>
                <c:pt idx="35">
                  <c:v>940</c:v>
                </c:pt>
                <c:pt idx="36">
                  <c:v>422</c:v>
                </c:pt>
                <c:pt idx="37">
                  <c:v>21</c:v>
                </c:pt>
                <c:pt idx="38">
                  <c:v>10</c:v>
                </c:pt>
                <c:pt idx="39">
                  <c:v>25</c:v>
                </c:pt>
                <c:pt idx="40" formatCode="#,##0">
                  <c:v>1360</c:v>
                </c:pt>
                <c:pt idx="41" formatCode="#,##0">
                  <c:v>1130</c:v>
                </c:pt>
                <c:pt idx="42" formatCode="#,##0">
                  <c:v>1410</c:v>
                </c:pt>
                <c:pt idx="43">
                  <c:v>250</c:v>
                </c:pt>
                <c:pt idx="44">
                  <c:v>40</c:v>
                </c:pt>
                <c:pt idx="45" formatCode="#,##0">
                  <c:v>1510</c:v>
                </c:pt>
                <c:pt idx="46" formatCode="#,##0">
                  <c:v>2680</c:v>
                </c:pt>
                <c:pt idx="47" formatCode="#,##0">
                  <c:v>5830</c:v>
                </c:pt>
                <c:pt idx="48">
                  <c:v>176</c:v>
                </c:pt>
                <c:pt idx="49">
                  <c:v>5</c:v>
                </c:pt>
                <c:pt idx="50" formatCode="_(* #,##0_);_(* \(#,##0\);_(* &quot;-&quot;??_);_(@_)">
                  <c:v>20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India!$C$25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India!$D$25:$BD$25</c:f>
              <c:numCache>
                <c:formatCode>#,##0</c:formatCode>
                <c:ptCount val="53"/>
                <c:pt idx="0">
                  <c:v>109705.008</c:v>
                </c:pt>
                <c:pt idx="1">
                  <c:v>103586.008</c:v>
                </c:pt>
                <c:pt idx="2">
                  <c:v>91623.008000000002</c:v>
                </c:pt>
                <c:pt idx="3">
                  <c:v>103951.008</c:v>
                </c:pt>
                <c:pt idx="4">
                  <c:v>121807.008</c:v>
                </c:pt>
                <c:pt idx="5">
                  <c:v>123544</c:v>
                </c:pt>
                <c:pt idx="6">
                  <c:v>92650.008000000002</c:v>
                </c:pt>
                <c:pt idx="7">
                  <c:v>95336</c:v>
                </c:pt>
                <c:pt idx="8">
                  <c:v>124570.09600000001</c:v>
                </c:pt>
                <c:pt idx="9">
                  <c:v>134666</c:v>
                </c:pt>
                <c:pt idx="10">
                  <c:v>126045</c:v>
                </c:pt>
                <c:pt idx="11">
                  <c:v>113403.504</c:v>
                </c:pt>
                <c:pt idx="12">
                  <c:v>124765.704</c:v>
                </c:pt>
                <c:pt idx="13">
                  <c:v>140433.008</c:v>
                </c:pt>
                <c:pt idx="14">
                  <c:v>143890.89600000001</c:v>
                </c:pt>
                <c:pt idx="15">
                  <c:v>139716.50399999999</c:v>
                </c:pt>
                <c:pt idx="16">
                  <c:v>152675.008</c:v>
                </c:pt>
                <c:pt idx="17">
                  <c:v>176750.008</c:v>
                </c:pt>
                <c:pt idx="18">
                  <c:v>150736.10399999999</c:v>
                </c:pt>
                <c:pt idx="19">
                  <c:v>128782.408</c:v>
                </c:pt>
                <c:pt idx="20">
                  <c:v>154411</c:v>
                </c:pt>
                <c:pt idx="21">
                  <c:v>185949.6</c:v>
                </c:pt>
                <c:pt idx="22">
                  <c:v>189064.6</c:v>
                </c:pt>
                <c:pt idx="23">
                  <c:v>173392</c:v>
                </c:pt>
                <c:pt idx="24">
                  <c:v>171597.2</c:v>
                </c:pt>
                <c:pt idx="25">
                  <c:v>173373.992</c:v>
                </c:pt>
                <c:pt idx="26">
                  <c:v>187088.50399999999</c:v>
                </c:pt>
                <c:pt idx="27">
                  <c:v>196793.89600000001</c:v>
                </c:pt>
                <c:pt idx="28">
                  <c:v>203006.8</c:v>
                </c:pt>
                <c:pt idx="29">
                  <c:v>225590.2</c:v>
                </c:pt>
                <c:pt idx="30">
                  <c:v>240806.50399999999</c:v>
                </c:pt>
                <c:pt idx="31">
                  <c:v>253410</c:v>
                </c:pt>
                <c:pt idx="32">
                  <c:v>227640</c:v>
                </c:pt>
                <c:pt idx="33">
                  <c:v>231140</c:v>
                </c:pt>
                <c:pt idx="34">
                  <c:v>28199</c:v>
                </c:pt>
                <c:pt idx="35">
                  <c:v>280160</c:v>
                </c:pt>
                <c:pt idx="36">
                  <c:v>277165</c:v>
                </c:pt>
                <c:pt idx="37">
                  <c:v>280520.5</c:v>
                </c:pt>
                <c:pt idx="38">
                  <c:v>311397.8</c:v>
                </c:pt>
                <c:pt idx="39">
                  <c:v>299736.90000000002</c:v>
                </c:pt>
                <c:pt idx="40">
                  <c:v>294596</c:v>
                </c:pt>
                <c:pt idx="41">
                  <c:v>296177.8</c:v>
                </c:pt>
                <c:pt idx="42">
                  <c:v>285983.2</c:v>
                </c:pt>
                <c:pt idx="43">
                  <c:v>234161.8</c:v>
                </c:pt>
                <c:pt idx="44">
                  <c:v>239183.4</c:v>
                </c:pt>
                <c:pt idx="45">
                  <c:v>279711.8</c:v>
                </c:pt>
                <c:pt idx="46">
                  <c:v>352839.7</c:v>
                </c:pt>
                <c:pt idx="47">
                  <c:v>342357.9</c:v>
                </c:pt>
                <c:pt idx="48">
                  <c:v>287639.3</c:v>
                </c:pt>
                <c:pt idx="49">
                  <c:v>296406.59999999998</c:v>
                </c:pt>
                <c:pt idx="50" formatCode="_(* #,##0_);_(* \(#,##0\);_(* &quot;-&quot;??_);_(@_)">
                  <c:v>343362</c:v>
                </c:pt>
                <c:pt idx="51" formatCode="_(* #,##0_);_(* \(#,##0\);_(* &quot;-&quot;??_);_(@_)">
                  <c:v>361037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197240"/>
        <c:axId val="314201552"/>
      </c:lineChart>
      <c:catAx>
        <c:axId val="3141972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1552"/>
        <c:crosses val="autoZero"/>
        <c:auto val="1"/>
        <c:lblAlgn val="ctr"/>
        <c:lblOffset val="100"/>
        <c:noMultiLvlLbl val="0"/>
      </c:catAx>
      <c:valAx>
        <c:axId val="31420155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19724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"/>
          <c:w val="0.91165128933230188"/>
          <c:h val="0.107806858321010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27"/>
          <c:w val="0.845245908485695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India!$C$26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India!$D$26:$BD$26</c:f>
              <c:numCache>
                <c:formatCode>#,##0</c:formatCode>
                <c:ptCount val="53"/>
                <c:pt idx="0">
                  <c:v>10320</c:v>
                </c:pt>
                <c:pt idx="1">
                  <c:v>10995</c:v>
                </c:pt>
                <c:pt idx="2">
                  <c:v>12076</c:v>
                </c:pt>
                <c:pt idx="3">
                  <c:v>10779</c:v>
                </c:pt>
                <c:pt idx="4">
                  <c:v>9854</c:v>
                </c:pt>
                <c:pt idx="5">
                  <c:v>12258</c:v>
                </c:pt>
                <c:pt idx="6">
                  <c:v>10394</c:v>
                </c:pt>
                <c:pt idx="7">
                  <c:v>11393</c:v>
                </c:pt>
                <c:pt idx="8">
                  <c:v>16540</c:v>
                </c:pt>
                <c:pt idx="9">
                  <c:v>18651</c:v>
                </c:pt>
                <c:pt idx="10">
                  <c:v>20093</c:v>
                </c:pt>
                <c:pt idx="11">
                  <c:v>23832</c:v>
                </c:pt>
                <c:pt idx="12">
                  <c:v>26410</c:v>
                </c:pt>
                <c:pt idx="13">
                  <c:v>24735</c:v>
                </c:pt>
                <c:pt idx="14">
                  <c:v>21778</c:v>
                </c:pt>
                <c:pt idx="15">
                  <c:v>24104</c:v>
                </c:pt>
                <c:pt idx="16">
                  <c:v>28846</c:v>
                </c:pt>
                <c:pt idx="17">
                  <c:v>29010</c:v>
                </c:pt>
                <c:pt idx="18">
                  <c:v>31749</c:v>
                </c:pt>
                <c:pt idx="19">
                  <c:v>35508</c:v>
                </c:pt>
                <c:pt idx="20">
                  <c:v>31830</c:v>
                </c:pt>
                <c:pt idx="21">
                  <c:v>36313</c:v>
                </c:pt>
                <c:pt idx="22">
                  <c:v>37452</c:v>
                </c:pt>
                <c:pt idx="23">
                  <c:v>42794</c:v>
                </c:pt>
                <c:pt idx="24">
                  <c:v>45476</c:v>
                </c:pt>
                <c:pt idx="25">
                  <c:v>44069</c:v>
                </c:pt>
                <c:pt idx="26">
                  <c:v>47052</c:v>
                </c:pt>
                <c:pt idx="27">
                  <c:v>44323</c:v>
                </c:pt>
                <c:pt idx="28">
                  <c:v>46169</c:v>
                </c:pt>
                <c:pt idx="29">
                  <c:v>54110</c:v>
                </c:pt>
                <c:pt idx="30">
                  <c:v>49850</c:v>
                </c:pt>
                <c:pt idx="31">
                  <c:v>55134</c:v>
                </c:pt>
                <c:pt idx="32">
                  <c:v>55690</c:v>
                </c:pt>
                <c:pt idx="33">
                  <c:v>57210</c:v>
                </c:pt>
                <c:pt idx="34">
                  <c:v>59840</c:v>
                </c:pt>
                <c:pt idx="35">
                  <c:v>65470</c:v>
                </c:pt>
                <c:pt idx="36">
                  <c:v>62097</c:v>
                </c:pt>
                <c:pt idx="37">
                  <c:v>69350</c:v>
                </c:pt>
                <c:pt idx="38">
                  <c:v>66350</c:v>
                </c:pt>
                <c:pt idx="39">
                  <c:v>70780</c:v>
                </c:pt>
                <c:pt idx="40">
                  <c:v>76369</c:v>
                </c:pt>
                <c:pt idx="41">
                  <c:v>69680</c:v>
                </c:pt>
                <c:pt idx="42">
                  <c:v>71810</c:v>
                </c:pt>
                <c:pt idx="43">
                  <c:v>65100</c:v>
                </c:pt>
                <c:pt idx="44">
                  <c:v>72150</c:v>
                </c:pt>
                <c:pt idx="45">
                  <c:v>68640</c:v>
                </c:pt>
                <c:pt idx="46">
                  <c:v>69350</c:v>
                </c:pt>
                <c:pt idx="47">
                  <c:v>75810</c:v>
                </c:pt>
                <c:pt idx="48">
                  <c:v>78570</c:v>
                </c:pt>
                <c:pt idx="49">
                  <c:v>80680</c:v>
                </c:pt>
                <c:pt idx="50" formatCode="_(* #,##0_);_(* \(#,##0\);_(* &quot;-&quot;??_);_(@_)">
                  <c:v>80800</c:v>
                </c:pt>
                <c:pt idx="51" formatCode="_(* #,##0_);_(* \(#,##0\);_(* &quot;-&quot;??_);_(@_)">
                  <c:v>86874</c:v>
                </c:pt>
                <c:pt idx="52" formatCode="_(* #,##0_);_(* \(#,##0\);_(* &quot;-&quot;??_);_(@_)">
                  <c:v>94880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India!$C$27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India!$D$27:$BD$27</c:f>
              <c:numCache>
                <c:formatCode>#,##0</c:formatCode>
                <c:ptCount val="53"/>
                <c:pt idx="0">
                  <c:v>4398</c:v>
                </c:pt>
                <c:pt idx="1">
                  <c:v>2798</c:v>
                </c:pt>
                <c:pt idx="2">
                  <c:v>3546</c:v>
                </c:pt>
                <c:pt idx="3">
                  <c:v>4275</c:v>
                </c:pt>
                <c:pt idx="4">
                  <c:v>5977</c:v>
                </c:pt>
                <c:pt idx="5">
                  <c:v>7157</c:v>
                </c:pt>
                <c:pt idx="6">
                  <c:v>8030</c:v>
                </c:pt>
                <c:pt idx="7">
                  <c:v>6393</c:v>
                </c:pt>
                <c:pt idx="8">
                  <c:v>4355</c:v>
                </c:pt>
                <c:pt idx="9">
                  <c:v>3188</c:v>
                </c:pt>
                <c:pt idx="10">
                  <c:v>2927</c:v>
                </c:pt>
                <c:pt idx="11">
                  <c:v>1749</c:v>
                </c:pt>
                <c:pt idx="12" formatCode="General">
                  <c:v>502</c:v>
                </c:pt>
                <c:pt idx="13">
                  <c:v>3243</c:v>
                </c:pt>
                <c:pt idx="14">
                  <c:v>4970</c:v>
                </c:pt>
                <c:pt idx="15">
                  <c:v>6900</c:v>
                </c:pt>
                <c:pt idx="16">
                  <c:v>5066</c:v>
                </c:pt>
                <c:pt idx="17" formatCode="General">
                  <c:v>298</c:v>
                </c:pt>
                <c:pt idx="18" formatCode="General">
                  <c:v>50</c:v>
                </c:pt>
                <c:pt idx="19" formatCode="General">
                  <c:v>0</c:v>
                </c:pt>
                <c:pt idx="20" formatCode="General">
                  <c:v>50</c:v>
                </c:pt>
                <c:pt idx="21">
                  <c:v>2000</c:v>
                </c:pt>
                <c:pt idx="22">
                  <c:v>2486</c:v>
                </c:pt>
                <c:pt idx="23">
                  <c:v>3270</c:v>
                </c:pt>
                <c:pt idx="24" formatCode="General">
                  <c:v>700</c:v>
                </c:pt>
                <c:pt idx="25" formatCode="General">
                  <c:v>50</c:v>
                </c:pt>
                <c:pt idx="26" formatCode="General">
                  <c:v>15</c:v>
                </c:pt>
                <c:pt idx="27" formatCode="General">
                  <c:v>10</c:v>
                </c:pt>
                <c:pt idx="28">
                  <c:v>2100</c:v>
                </c:pt>
                <c:pt idx="29" formatCode="General">
                  <c:v>100</c:v>
                </c:pt>
                <c:pt idx="30" formatCode="General">
                  <c:v>100</c:v>
                </c:pt>
                <c:pt idx="31" formatCode="General">
                  <c:v>100</c:v>
                </c:pt>
                <c:pt idx="32">
                  <c:v>2500</c:v>
                </c:pt>
                <c:pt idx="33" formatCode="General">
                  <c:v>500</c:v>
                </c:pt>
                <c:pt idx="34" formatCode="General">
                  <c:v>30</c:v>
                </c:pt>
                <c:pt idx="35" formatCode="General">
                  <c:v>50</c:v>
                </c:pt>
                <c:pt idx="36">
                  <c:v>1445</c:v>
                </c:pt>
                <c:pt idx="37">
                  <c:v>1731</c:v>
                </c:pt>
                <c:pt idx="38">
                  <c:v>2203</c:v>
                </c:pt>
                <c:pt idx="39">
                  <c:v>1372</c:v>
                </c:pt>
                <c:pt idx="40" formatCode="General">
                  <c:v>441</c:v>
                </c:pt>
                <c:pt idx="41" formatCode="General">
                  <c:v>32</c:v>
                </c:pt>
                <c:pt idx="42" formatCode="General">
                  <c:v>34</c:v>
                </c:pt>
                <c:pt idx="43" formatCode="General">
                  <c:v>8</c:v>
                </c:pt>
                <c:pt idx="44" formatCode="General">
                  <c:v>8</c:v>
                </c:pt>
                <c:pt idx="45" formatCode="General">
                  <c:v>41</c:v>
                </c:pt>
                <c:pt idx="46">
                  <c:v>6721</c:v>
                </c:pt>
                <c:pt idx="47">
                  <c:v>1962</c:v>
                </c:pt>
                <c:pt idx="48" formatCode="General">
                  <c:v>7</c:v>
                </c:pt>
                <c:pt idx="49" formatCode="General">
                  <c:v>291</c:v>
                </c:pt>
                <c:pt idx="50" formatCode="_(* #,##0_);_(* \(#,##0\);_(* &quot;-&quot;??_);_(@_)">
                  <c:v>300</c:v>
                </c:pt>
                <c:pt idx="51" formatCode="_(* #,##0_);_(* \(#,##0\);_(* &quot;-&quot;??_);_(@_)">
                  <c:v>2.5000000000000001E-2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India!$C$28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India!$D$28:$BD$28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14</c:v>
                </c:pt>
                <c:pt idx="10">
                  <c:v>13</c:v>
                </c:pt>
                <c:pt idx="11">
                  <c:v>5</c:v>
                </c:pt>
                <c:pt idx="12">
                  <c:v>667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536</c:v>
                </c:pt>
                <c:pt idx="18">
                  <c:v>614</c:v>
                </c:pt>
                <c:pt idx="19">
                  <c:v>481</c:v>
                </c:pt>
                <c:pt idx="20">
                  <c:v>55</c:v>
                </c:pt>
                <c:pt idx="21">
                  <c:v>0</c:v>
                </c:pt>
                <c:pt idx="22">
                  <c:v>100</c:v>
                </c:pt>
                <c:pt idx="23">
                  <c:v>35</c:v>
                </c:pt>
                <c:pt idx="24">
                  <c:v>100</c:v>
                </c:pt>
                <c:pt idx="25">
                  <c:v>400</c:v>
                </c:pt>
                <c:pt idx="26">
                  <c:v>500</c:v>
                </c:pt>
                <c:pt idx="27">
                  <c:v>500</c:v>
                </c:pt>
                <c:pt idx="28">
                  <c:v>20</c:v>
                </c:pt>
                <c:pt idx="29">
                  <c:v>20</c:v>
                </c:pt>
                <c:pt idx="30">
                  <c:v>200</c:v>
                </c:pt>
                <c:pt idx="31">
                  <c:v>680</c:v>
                </c:pt>
                <c:pt idx="32">
                  <c:v>50</c:v>
                </c:pt>
                <c:pt idx="33">
                  <c:v>28</c:v>
                </c:pt>
                <c:pt idx="34">
                  <c:v>100</c:v>
                </c:pt>
                <c:pt idx="35" formatCode="#,##0">
                  <c:v>1500</c:v>
                </c:pt>
                <c:pt idx="36" formatCode="#,##0">
                  <c:v>2000</c:v>
                </c:pt>
                <c:pt idx="37">
                  <c:v>0</c:v>
                </c:pt>
                <c:pt idx="38">
                  <c:v>0</c:v>
                </c:pt>
                <c:pt idx="39">
                  <c:v>200</c:v>
                </c:pt>
                <c:pt idx="40" formatCode="#,##0">
                  <c:v>1569</c:v>
                </c:pt>
                <c:pt idx="41" formatCode="#,##0">
                  <c:v>3087</c:v>
                </c:pt>
                <c:pt idx="42" formatCode="#,##0">
                  <c:v>4850</c:v>
                </c:pt>
                <c:pt idx="43" formatCode="#,##0">
                  <c:v>5650</c:v>
                </c:pt>
                <c:pt idx="44" formatCode="#,##0">
                  <c:v>2120</c:v>
                </c:pt>
                <c:pt idx="45">
                  <c:v>801</c:v>
                </c:pt>
                <c:pt idx="46">
                  <c:v>94</c:v>
                </c:pt>
                <c:pt idx="47">
                  <c:v>49</c:v>
                </c:pt>
                <c:pt idx="48">
                  <c:v>23</c:v>
                </c:pt>
                <c:pt idx="49">
                  <c:v>58</c:v>
                </c:pt>
                <c:pt idx="50" formatCode="_(* #,##0_);_(* \(#,##0\);_(* &quot;-&quot;??_);_(@_)">
                  <c:v>200</c:v>
                </c:pt>
                <c:pt idx="51" formatCode="_(* #,##0_);_(* \(#,##0\);_(* &quot;-&quot;??_);_(@_)">
                  <c:v>499.90100000000001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India!$C$29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India!$D$1:$BD$1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India!$D$29:$BD$29</c:f>
              <c:numCache>
                <c:formatCode>#,##0</c:formatCode>
                <c:ptCount val="53"/>
                <c:pt idx="0">
                  <c:v>14218</c:v>
                </c:pt>
                <c:pt idx="1">
                  <c:v>13893</c:v>
                </c:pt>
                <c:pt idx="2">
                  <c:v>14822</c:v>
                </c:pt>
                <c:pt idx="3">
                  <c:v>16054</c:v>
                </c:pt>
                <c:pt idx="4">
                  <c:v>16531</c:v>
                </c:pt>
                <c:pt idx="5">
                  <c:v>18115</c:v>
                </c:pt>
                <c:pt idx="6">
                  <c:v>19324</c:v>
                </c:pt>
                <c:pt idx="7">
                  <c:v>17786</c:v>
                </c:pt>
                <c:pt idx="8">
                  <c:v>19294</c:v>
                </c:pt>
                <c:pt idx="9">
                  <c:v>21725</c:v>
                </c:pt>
                <c:pt idx="10">
                  <c:v>22007</c:v>
                </c:pt>
                <c:pt idx="11">
                  <c:v>23576</c:v>
                </c:pt>
                <c:pt idx="12">
                  <c:v>28245</c:v>
                </c:pt>
                <c:pt idx="13">
                  <c:v>30178</c:v>
                </c:pt>
                <c:pt idx="14">
                  <c:v>27048</c:v>
                </c:pt>
                <c:pt idx="15">
                  <c:v>27004</c:v>
                </c:pt>
                <c:pt idx="16">
                  <c:v>28412</c:v>
                </c:pt>
                <c:pt idx="17">
                  <c:v>30772</c:v>
                </c:pt>
                <c:pt idx="18">
                  <c:v>33685</c:v>
                </c:pt>
                <c:pt idx="19">
                  <c:v>36027</c:v>
                </c:pt>
                <c:pt idx="20">
                  <c:v>34325</c:v>
                </c:pt>
                <c:pt idx="21">
                  <c:v>36313</c:v>
                </c:pt>
                <c:pt idx="22">
                  <c:v>37838</c:v>
                </c:pt>
                <c:pt idx="23">
                  <c:v>42029</c:v>
                </c:pt>
                <c:pt idx="24">
                  <c:v>43076</c:v>
                </c:pt>
                <c:pt idx="25">
                  <c:v>43719</c:v>
                </c:pt>
                <c:pt idx="26">
                  <c:v>45567</c:v>
                </c:pt>
                <c:pt idx="27">
                  <c:v>56492</c:v>
                </c:pt>
                <c:pt idx="28">
                  <c:v>48929</c:v>
                </c:pt>
                <c:pt idx="29">
                  <c:v>53201</c:v>
                </c:pt>
                <c:pt idx="30">
                  <c:v>47595</c:v>
                </c:pt>
                <c:pt idx="31">
                  <c:v>58009</c:v>
                </c:pt>
                <c:pt idx="32">
                  <c:v>57515</c:v>
                </c:pt>
                <c:pt idx="33">
                  <c:v>53377</c:v>
                </c:pt>
                <c:pt idx="34">
                  <c:v>58330</c:v>
                </c:pt>
                <c:pt idx="35">
                  <c:v>64978</c:v>
                </c:pt>
                <c:pt idx="36">
                  <c:v>66064</c:v>
                </c:pt>
                <c:pt idx="37">
                  <c:v>69246</c:v>
                </c:pt>
                <c:pt idx="38">
                  <c:v>63707</c:v>
                </c:pt>
                <c:pt idx="39">
                  <c:v>68793</c:v>
                </c:pt>
                <c:pt idx="40">
                  <c:v>66821</c:v>
                </c:pt>
                <c:pt idx="41">
                  <c:v>65125</c:v>
                </c:pt>
                <c:pt idx="42">
                  <c:v>74294</c:v>
                </c:pt>
                <c:pt idx="43">
                  <c:v>68258</c:v>
                </c:pt>
                <c:pt idx="44">
                  <c:v>72838</c:v>
                </c:pt>
                <c:pt idx="45">
                  <c:v>69980</c:v>
                </c:pt>
                <c:pt idx="46">
                  <c:v>73477</c:v>
                </c:pt>
                <c:pt idx="47">
                  <c:v>76423</c:v>
                </c:pt>
                <c:pt idx="48">
                  <c:v>70924</c:v>
                </c:pt>
                <c:pt idx="49">
                  <c:v>78150</c:v>
                </c:pt>
                <c:pt idx="50" formatCode="_(* #,##0_);_(* \(#,##0\);_(* &quot;-&quot;??_);_(@_)">
                  <c:v>82525</c:v>
                </c:pt>
                <c:pt idx="51" formatCode="_(* #,##0_);_(* \(#,##0\);_(* &quot;-&quot;??_);_(@_)">
                  <c:v>86374.123999999996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206648"/>
        <c:axId val="314207432"/>
      </c:lineChart>
      <c:catAx>
        <c:axId val="314206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7432"/>
        <c:crosses val="autoZero"/>
        <c:auto val="1"/>
        <c:lblAlgn val="ctr"/>
        <c:lblOffset val="100"/>
        <c:noMultiLvlLbl val="0"/>
      </c:catAx>
      <c:valAx>
        <c:axId val="31420743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664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22"/>
          <c:w val="0.91165128933230188"/>
          <c:h val="0.1078068583210107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  <c:userShapes r:id="rId1"/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Indo!$C$2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Indo!$D$2:$BD$2</c:f>
              <c:numCache>
                <c:formatCode>#,##0</c:formatCode>
                <c:ptCount val="53"/>
                <c:pt idx="0">
                  <c:v>2460</c:v>
                </c:pt>
                <c:pt idx="1">
                  <c:v>2283</c:v>
                </c:pt>
                <c:pt idx="2">
                  <c:v>3243</c:v>
                </c:pt>
                <c:pt idx="3">
                  <c:v>2358</c:v>
                </c:pt>
                <c:pt idx="4">
                  <c:v>3769</c:v>
                </c:pt>
                <c:pt idx="5">
                  <c:v>2365</c:v>
                </c:pt>
                <c:pt idx="6">
                  <c:v>3717</c:v>
                </c:pt>
                <c:pt idx="7">
                  <c:v>2369</c:v>
                </c:pt>
                <c:pt idx="8">
                  <c:v>3166</c:v>
                </c:pt>
                <c:pt idx="9">
                  <c:v>2293</c:v>
                </c:pt>
                <c:pt idx="10">
                  <c:v>2825</c:v>
                </c:pt>
                <c:pt idx="11">
                  <c:v>2606</c:v>
                </c:pt>
                <c:pt idx="12">
                  <c:v>2254</c:v>
                </c:pt>
                <c:pt idx="13">
                  <c:v>3690</c:v>
                </c:pt>
                <c:pt idx="14">
                  <c:v>3011</c:v>
                </c:pt>
                <c:pt idx="15">
                  <c:v>2903</c:v>
                </c:pt>
                <c:pt idx="16">
                  <c:v>2572</c:v>
                </c:pt>
                <c:pt idx="17">
                  <c:v>3143</c:v>
                </c:pt>
                <c:pt idx="18">
                  <c:v>4029</c:v>
                </c:pt>
                <c:pt idx="19">
                  <c:v>3606</c:v>
                </c:pt>
                <c:pt idx="20">
                  <c:v>3991</c:v>
                </c:pt>
                <c:pt idx="21">
                  <c:v>4509</c:v>
                </c:pt>
                <c:pt idx="22">
                  <c:v>3235</c:v>
                </c:pt>
                <c:pt idx="23">
                  <c:v>5087</c:v>
                </c:pt>
                <c:pt idx="24">
                  <c:v>5288</c:v>
                </c:pt>
                <c:pt idx="25">
                  <c:v>4330</c:v>
                </c:pt>
                <c:pt idx="26">
                  <c:v>5000</c:v>
                </c:pt>
                <c:pt idx="27">
                  <c:v>4800</c:v>
                </c:pt>
                <c:pt idx="28">
                  <c:v>5200</c:v>
                </c:pt>
                <c:pt idx="29">
                  <c:v>5000</c:v>
                </c:pt>
                <c:pt idx="30">
                  <c:v>5000</c:v>
                </c:pt>
                <c:pt idx="31">
                  <c:v>5400</c:v>
                </c:pt>
                <c:pt idx="32">
                  <c:v>5650</c:v>
                </c:pt>
                <c:pt idx="33">
                  <c:v>5400</c:v>
                </c:pt>
                <c:pt idx="34">
                  <c:v>6100</c:v>
                </c:pt>
                <c:pt idx="35">
                  <c:v>6000</c:v>
                </c:pt>
                <c:pt idx="36">
                  <c:v>5950</c:v>
                </c:pt>
                <c:pt idx="37">
                  <c:v>5700</c:v>
                </c:pt>
                <c:pt idx="38">
                  <c:v>6500</c:v>
                </c:pt>
                <c:pt idx="39">
                  <c:v>6200</c:v>
                </c:pt>
                <c:pt idx="40">
                  <c:v>5900</c:v>
                </c:pt>
                <c:pt idx="41">
                  <c:v>6000</c:v>
                </c:pt>
                <c:pt idx="42">
                  <c:v>6100</c:v>
                </c:pt>
                <c:pt idx="43">
                  <c:v>6350</c:v>
                </c:pt>
                <c:pt idx="44">
                  <c:v>7200</c:v>
                </c:pt>
                <c:pt idx="45">
                  <c:v>6800</c:v>
                </c:pt>
                <c:pt idx="46">
                  <c:v>7850</c:v>
                </c:pt>
                <c:pt idx="47">
                  <c:v>8500</c:v>
                </c:pt>
                <c:pt idx="48">
                  <c:v>8700</c:v>
                </c:pt>
                <c:pt idx="49">
                  <c:v>6900</c:v>
                </c:pt>
                <c:pt idx="50">
                  <c:v>17643.25</c:v>
                </c:pt>
                <c:pt idx="51" formatCode="_(* #,##0_);_(* \(#,##0\);_(* &quot;-&quot;??_);_(@_)">
                  <c:v>19387.022000000001</c:v>
                </c:pt>
                <c:pt idx="52" formatCode="_(* #,##0_);_(* \(#,##0\);_(* &quot;-&quot;??_);_(@_)">
                  <c:v>18511.852999999999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Indo!$C$3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Indo!$D$3:$BD$3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5</c:v>
                </c:pt>
                <c:pt idx="13">
                  <c:v>142</c:v>
                </c:pt>
                <c:pt idx="14">
                  <c:v>0</c:v>
                </c:pt>
                <c:pt idx="15">
                  <c:v>0</c:v>
                </c:pt>
                <c:pt idx="16">
                  <c:v>69</c:v>
                </c:pt>
                <c:pt idx="17">
                  <c:v>14</c:v>
                </c:pt>
                <c:pt idx="18">
                  <c:v>46</c:v>
                </c:pt>
                <c:pt idx="19">
                  <c:v>70</c:v>
                </c:pt>
                <c:pt idx="20">
                  <c:v>34</c:v>
                </c:pt>
                <c:pt idx="21">
                  <c:v>2</c:v>
                </c:pt>
                <c:pt idx="22">
                  <c:v>198</c:v>
                </c:pt>
                <c:pt idx="23">
                  <c:v>51</c:v>
                </c:pt>
                <c:pt idx="24">
                  <c:v>59</c:v>
                </c:pt>
                <c:pt idx="25">
                  <c:v>50</c:v>
                </c:pt>
                <c:pt idx="26">
                  <c:v>61</c:v>
                </c:pt>
                <c:pt idx="27">
                  <c:v>200</c:v>
                </c:pt>
                <c:pt idx="28">
                  <c:v>15</c:v>
                </c:pt>
                <c:pt idx="29">
                  <c:v>0</c:v>
                </c:pt>
                <c:pt idx="30">
                  <c:v>135</c:v>
                </c:pt>
                <c:pt idx="31">
                  <c:v>228</c:v>
                </c:pt>
                <c:pt idx="32">
                  <c:v>357</c:v>
                </c:pt>
                <c:pt idx="33" formatCode="#,##0">
                  <c:v>1082</c:v>
                </c:pt>
                <c:pt idx="34" formatCode="#,##0">
                  <c:v>1736</c:v>
                </c:pt>
                <c:pt idx="35">
                  <c:v>842</c:v>
                </c:pt>
                <c:pt idx="36">
                  <c:v>895</c:v>
                </c:pt>
                <c:pt idx="37">
                  <c:v>516</c:v>
                </c:pt>
                <c:pt idx="38">
                  <c:v>455</c:v>
                </c:pt>
                <c:pt idx="39" formatCode="#,##0">
                  <c:v>1229</c:v>
                </c:pt>
                <c:pt idx="40" formatCode="#,##0">
                  <c:v>1280</c:v>
                </c:pt>
                <c:pt idx="41" formatCode="#,##0">
                  <c:v>1149</c:v>
                </c:pt>
                <c:pt idx="42" formatCode="#,##0">
                  <c:v>1633</c:v>
                </c:pt>
                <c:pt idx="43" formatCode="#,##0">
                  <c:v>1436</c:v>
                </c:pt>
                <c:pt idx="44">
                  <c:v>541</c:v>
                </c:pt>
                <c:pt idx="45" formatCode="#,##0">
                  <c:v>1443</c:v>
                </c:pt>
                <c:pt idx="46" formatCode="#,##0">
                  <c:v>1069</c:v>
                </c:pt>
                <c:pt idx="47">
                  <c:v>294</c:v>
                </c:pt>
                <c:pt idx="48">
                  <c:v>317</c:v>
                </c:pt>
                <c:pt idx="49" formatCode="#,##0">
                  <c:v>1321</c:v>
                </c:pt>
                <c:pt idx="50" formatCode="#,##0">
                  <c:v>3207.6570000000002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Indo!$C$4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Indo!$D$4:$BD$4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5</c:v>
                </c:pt>
                <c:pt idx="6">
                  <c:v>86</c:v>
                </c:pt>
                <c:pt idx="7">
                  <c:v>159</c:v>
                </c:pt>
                <c:pt idx="8">
                  <c:v>66</c:v>
                </c:pt>
                <c:pt idx="9">
                  <c:v>156</c:v>
                </c:pt>
                <c:pt idx="10">
                  <c:v>286</c:v>
                </c:pt>
                <c:pt idx="11">
                  <c:v>219</c:v>
                </c:pt>
                <c:pt idx="12">
                  <c:v>80</c:v>
                </c:pt>
                <c:pt idx="13">
                  <c:v>181</c:v>
                </c:pt>
                <c:pt idx="14">
                  <c:v>197</c:v>
                </c:pt>
                <c:pt idx="15">
                  <c:v>51</c:v>
                </c:pt>
                <c:pt idx="16">
                  <c:v>4</c:v>
                </c:pt>
                <c:pt idx="17">
                  <c:v>10</c:v>
                </c:pt>
                <c:pt idx="18">
                  <c:v>21</c:v>
                </c:pt>
                <c:pt idx="19">
                  <c:v>7</c:v>
                </c:pt>
                <c:pt idx="20">
                  <c:v>15</c:v>
                </c:pt>
                <c:pt idx="21">
                  <c:v>5</c:v>
                </c:pt>
                <c:pt idx="22">
                  <c:v>1</c:v>
                </c:pt>
                <c:pt idx="23">
                  <c:v>18</c:v>
                </c:pt>
                <c:pt idx="24">
                  <c:v>160</c:v>
                </c:pt>
                <c:pt idx="25">
                  <c:v>5</c:v>
                </c:pt>
                <c:pt idx="26">
                  <c:v>4</c:v>
                </c:pt>
                <c:pt idx="27">
                  <c:v>77</c:v>
                </c:pt>
                <c:pt idx="28">
                  <c:v>230</c:v>
                </c:pt>
                <c:pt idx="29">
                  <c:v>125</c:v>
                </c:pt>
                <c:pt idx="30">
                  <c:v>28</c:v>
                </c:pt>
                <c:pt idx="31">
                  <c:v>145</c:v>
                </c:pt>
                <c:pt idx="32">
                  <c:v>81</c:v>
                </c:pt>
                <c:pt idx="33">
                  <c:v>35</c:v>
                </c:pt>
                <c:pt idx="34">
                  <c:v>60</c:v>
                </c:pt>
                <c:pt idx="35">
                  <c:v>37</c:v>
                </c:pt>
                <c:pt idx="36">
                  <c:v>20</c:v>
                </c:pt>
                <c:pt idx="37">
                  <c:v>559</c:v>
                </c:pt>
                <c:pt idx="38">
                  <c:v>144</c:v>
                </c:pt>
                <c:pt idx="39">
                  <c:v>29</c:v>
                </c:pt>
                <c:pt idx="40">
                  <c:v>90</c:v>
                </c:pt>
                <c:pt idx="41">
                  <c:v>19</c:v>
                </c:pt>
                <c:pt idx="42">
                  <c:v>19</c:v>
                </c:pt>
                <c:pt idx="43">
                  <c:v>41</c:v>
                </c:pt>
                <c:pt idx="44">
                  <c:v>46</c:v>
                </c:pt>
                <c:pt idx="45">
                  <c:v>42</c:v>
                </c:pt>
                <c:pt idx="46">
                  <c:v>79</c:v>
                </c:pt>
                <c:pt idx="47">
                  <c:v>91</c:v>
                </c:pt>
                <c:pt idx="48">
                  <c:v>101</c:v>
                </c:pt>
                <c:pt idx="49">
                  <c:v>37</c:v>
                </c:pt>
                <c:pt idx="50">
                  <c:v>12.717000000000001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Indo!$C$5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Indo!$D$5:$BD$5</c:f>
              <c:numCache>
                <c:formatCode>#,##0</c:formatCode>
                <c:ptCount val="53"/>
                <c:pt idx="0">
                  <c:v>2460</c:v>
                </c:pt>
                <c:pt idx="1">
                  <c:v>2283</c:v>
                </c:pt>
                <c:pt idx="2">
                  <c:v>3243</c:v>
                </c:pt>
                <c:pt idx="3">
                  <c:v>2358</c:v>
                </c:pt>
                <c:pt idx="4">
                  <c:v>3769</c:v>
                </c:pt>
                <c:pt idx="5">
                  <c:v>2360</c:v>
                </c:pt>
                <c:pt idx="6">
                  <c:v>3631</c:v>
                </c:pt>
                <c:pt idx="7">
                  <c:v>2210</c:v>
                </c:pt>
                <c:pt idx="8">
                  <c:v>3100</c:v>
                </c:pt>
                <c:pt idx="9">
                  <c:v>2137</c:v>
                </c:pt>
                <c:pt idx="10">
                  <c:v>2539</c:v>
                </c:pt>
                <c:pt idx="11">
                  <c:v>2387</c:v>
                </c:pt>
                <c:pt idx="12">
                  <c:v>2179</c:v>
                </c:pt>
                <c:pt idx="13">
                  <c:v>3651</c:v>
                </c:pt>
                <c:pt idx="14">
                  <c:v>2814</c:v>
                </c:pt>
                <c:pt idx="15">
                  <c:v>2852</c:v>
                </c:pt>
                <c:pt idx="16">
                  <c:v>2637</c:v>
                </c:pt>
                <c:pt idx="17">
                  <c:v>3147</c:v>
                </c:pt>
                <c:pt idx="18">
                  <c:v>4054</c:v>
                </c:pt>
                <c:pt idx="19">
                  <c:v>3669</c:v>
                </c:pt>
                <c:pt idx="20">
                  <c:v>4010</c:v>
                </c:pt>
                <c:pt idx="21">
                  <c:v>4406</c:v>
                </c:pt>
                <c:pt idx="22">
                  <c:v>3432</c:v>
                </c:pt>
                <c:pt idx="23">
                  <c:v>4920</c:v>
                </c:pt>
                <c:pt idx="24">
                  <c:v>5187</c:v>
                </c:pt>
                <c:pt idx="25">
                  <c:v>4575</c:v>
                </c:pt>
                <c:pt idx="26">
                  <c:v>4957</c:v>
                </c:pt>
                <c:pt idx="27">
                  <c:v>4923</c:v>
                </c:pt>
                <c:pt idx="28">
                  <c:v>4910</c:v>
                </c:pt>
                <c:pt idx="29">
                  <c:v>4975</c:v>
                </c:pt>
                <c:pt idx="30">
                  <c:v>5182</c:v>
                </c:pt>
                <c:pt idx="31">
                  <c:v>5420</c:v>
                </c:pt>
                <c:pt idx="32">
                  <c:v>5900</c:v>
                </c:pt>
                <c:pt idx="33">
                  <c:v>6271</c:v>
                </c:pt>
                <c:pt idx="34">
                  <c:v>7041</c:v>
                </c:pt>
                <c:pt idx="35">
                  <c:v>7305</c:v>
                </c:pt>
                <c:pt idx="36">
                  <c:v>6825</c:v>
                </c:pt>
                <c:pt idx="37">
                  <c:v>5707</c:v>
                </c:pt>
                <c:pt idx="38">
                  <c:v>6711</c:v>
                </c:pt>
                <c:pt idx="39">
                  <c:v>7300</c:v>
                </c:pt>
                <c:pt idx="40">
                  <c:v>7300</c:v>
                </c:pt>
                <c:pt idx="41">
                  <c:v>7300</c:v>
                </c:pt>
                <c:pt idx="42">
                  <c:v>7500</c:v>
                </c:pt>
                <c:pt idx="43">
                  <c:v>7800</c:v>
                </c:pt>
                <c:pt idx="44">
                  <c:v>7800</c:v>
                </c:pt>
                <c:pt idx="45">
                  <c:v>8300</c:v>
                </c:pt>
                <c:pt idx="46">
                  <c:v>8100</c:v>
                </c:pt>
                <c:pt idx="47">
                  <c:v>8500</c:v>
                </c:pt>
                <c:pt idx="48">
                  <c:v>8900</c:v>
                </c:pt>
                <c:pt idx="49">
                  <c:v>8800</c:v>
                </c:pt>
                <c:pt idx="50">
                  <c:v>20838.189999999999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198416"/>
        <c:axId val="314208216"/>
      </c:lineChart>
      <c:catAx>
        <c:axId val="3141984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8216"/>
        <c:crosses val="autoZero"/>
        <c:auto val="1"/>
        <c:lblAlgn val="ctr"/>
        <c:lblOffset val="100"/>
        <c:noMultiLvlLbl val="0"/>
      </c:catAx>
      <c:valAx>
        <c:axId val="31420821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19841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2259502574676143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2"/>
          <c:order val="1"/>
          <c:tx>
            <c:strRef>
              <c:f>Indo!$C$6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Indo!$D$6:$BD$6</c:f>
              <c:numCache>
                <c:formatCode>General</c:formatCode>
                <c:ptCount val="53"/>
                <c:pt idx="0">
                  <c:v>2</c:v>
                </c:pt>
                <c:pt idx="1">
                  <c:v>4</c:v>
                </c:pt>
                <c:pt idx="2">
                  <c:v>5</c:v>
                </c:pt>
                <c:pt idx="3">
                  <c:v>5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4</c:v>
                </c:pt>
                <c:pt idx="11">
                  <c:v>7</c:v>
                </c:pt>
                <c:pt idx="12">
                  <c:v>12</c:v>
                </c:pt>
                <c:pt idx="13">
                  <c:v>7</c:v>
                </c:pt>
                <c:pt idx="14">
                  <c:v>6</c:v>
                </c:pt>
                <c:pt idx="15">
                  <c:v>3</c:v>
                </c:pt>
                <c:pt idx="16">
                  <c:v>2</c:v>
                </c:pt>
                <c:pt idx="17">
                  <c:v>1</c:v>
                </c:pt>
                <c:pt idx="18">
                  <c:v>0</c:v>
                </c:pt>
                <c:pt idx="19">
                  <c:v>4</c:v>
                </c:pt>
                <c:pt idx="20">
                  <c:v>15</c:v>
                </c:pt>
                <c:pt idx="21">
                  <c:v>23</c:v>
                </c:pt>
                <c:pt idx="22">
                  <c:v>30</c:v>
                </c:pt>
                <c:pt idx="23">
                  <c:v>22</c:v>
                </c:pt>
                <c:pt idx="24">
                  <c:v>24</c:v>
                </c:pt>
                <c:pt idx="25">
                  <c:v>29</c:v>
                </c:pt>
                <c:pt idx="26">
                  <c:v>14</c:v>
                </c:pt>
                <c:pt idx="27">
                  <c:v>14</c:v>
                </c:pt>
                <c:pt idx="28">
                  <c:v>14</c:v>
                </c:pt>
                <c:pt idx="29">
                  <c:v>15</c:v>
                </c:pt>
                <c:pt idx="30">
                  <c:v>15</c:v>
                </c:pt>
                <c:pt idx="31">
                  <c:v>14</c:v>
                </c:pt>
                <c:pt idx="32">
                  <c:v>14</c:v>
                </c:pt>
                <c:pt idx="33">
                  <c:v>15</c:v>
                </c:pt>
                <c:pt idx="34">
                  <c:v>16</c:v>
                </c:pt>
                <c:pt idx="35">
                  <c:v>17</c:v>
                </c:pt>
                <c:pt idx="36">
                  <c:v>17</c:v>
                </c:pt>
                <c:pt idx="37">
                  <c:v>17</c:v>
                </c:pt>
                <c:pt idx="38">
                  <c:v>14</c:v>
                </c:pt>
                <c:pt idx="39">
                  <c:v>14</c:v>
                </c:pt>
                <c:pt idx="40">
                  <c:v>32</c:v>
                </c:pt>
                <c:pt idx="41">
                  <c:v>55</c:v>
                </c:pt>
                <c:pt idx="42">
                  <c:v>37</c:v>
                </c:pt>
                <c:pt idx="43">
                  <c:v>32</c:v>
                </c:pt>
                <c:pt idx="44">
                  <c:v>32</c:v>
                </c:pt>
                <c:pt idx="45">
                  <c:v>32</c:v>
                </c:pt>
                <c:pt idx="46">
                  <c:v>32</c:v>
                </c:pt>
                <c:pt idx="47">
                  <c:v>32</c:v>
                </c:pt>
                <c:pt idx="48">
                  <c:v>30</c:v>
                </c:pt>
                <c:pt idx="49">
                  <c:v>30</c:v>
                </c:pt>
                <c:pt idx="50">
                  <c:v>30</c:v>
                </c:pt>
                <c:pt idx="51" formatCode="_(* #,##0_);_(* \(#,##0\);_(* &quot;-&quot;??_);_(@_)">
                  <c:v>0.75757000000000008</c:v>
                </c:pt>
                <c:pt idx="52" formatCode="_(* #,##0_);_(* \(#,##0\);_(* &quot;-&quot;??_);_(@_)">
                  <c:v>0.98168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Indo!$C$7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Indo!$D$7:$BD$7</c:f>
              <c:numCache>
                <c:formatCode>General</c:formatCode>
                <c:ptCount val="53"/>
                <c:pt idx="0">
                  <c:v>34</c:v>
                </c:pt>
                <c:pt idx="1">
                  <c:v>38</c:v>
                </c:pt>
                <c:pt idx="2">
                  <c:v>46</c:v>
                </c:pt>
                <c:pt idx="3">
                  <c:v>45</c:v>
                </c:pt>
                <c:pt idx="4">
                  <c:v>50</c:v>
                </c:pt>
                <c:pt idx="5">
                  <c:v>0</c:v>
                </c:pt>
                <c:pt idx="6">
                  <c:v>160</c:v>
                </c:pt>
                <c:pt idx="7">
                  <c:v>62</c:v>
                </c:pt>
                <c:pt idx="8">
                  <c:v>107</c:v>
                </c:pt>
                <c:pt idx="9">
                  <c:v>160</c:v>
                </c:pt>
                <c:pt idx="10">
                  <c:v>180</c:v>
                </c:pt>
                <c:pt idx="11">
                  <c:v>230</c:v>
                </c:pt>
                <c:pt idx="12">
                  <c:v>279</c:v>
                </c:pt>
                <c:pt idx="13">
                  <c:v>250</c:v>
                </c:pt>
                <c:pt idx="14">
                  <c:v>157</c:v>
                </c:pt>
                <c:pt idx="15">
                  <c:v>351</c:v>
                </c:pt>
                <c:pt idx="16">
                  <c:v>287</c:v>
                </c:pt>
                <c:pt idx="17">
                  <c:v>394</c:v>
                </c:pt>
                <c:pt idx="18">
                  <c:v>404</c:v>
                </c:pt>
                <c:pt idx="19">
                  <c:v>474</c:v>
                </c:pt>
                <c:pt idx="20">
                  <c:v>490</c:v>
                </c:pt>
                <c:pt idx="21">
                  <c:v>490</c:v>
                </c:pt>
                <c:pt idx="22">
                  <c:v>492</c:v>
                </c:pt>
                <c:pt idx="23">
                  <c:v>603</c:v>
                </c:pt>
                <c:pt idx="24">
                  <c:v>538</c:v>
                </c:pt>
                <c:pt idx="25">
                  <c:v>808</c:v>
                </c:pt>
                <c:pt idx="26">
                  <c:v>919</c:v>
                </c:pt>
                <c:pt idx="27">
                  <c:v>882</c:v>
                </c:pt>
                <c:pt idx="28" formatCode="#,##0">
                  <c:v>1112</c:v>
                </c:pt>
                <c:pt idx="29" formatCode="#,##0">
                  <c:v>1292</c:v>
                </c:pt>
                <c:pt idx="30" formatCode="#,##0">
                  <c:v>1490</c:v>
                </c:pt>
                <c:pt idx="31" formatCode="#,##0">
                  <c:v>1873</c:v>
                </c:pt>
                <c:pt idx="32" formatCode="#,##0">
                  <c:v>1989</c:v>
                </c:pt>
                <c:pt idx="33" formatCode="#,##0">
                  <c:v>2039</c:v>
                </c:pt>
                <c:pt idx="34" formatCode="#,##0">
                  <c:v>2075</c:v>
                </c:pt>
                <c:pt idx="35" formatCode="#,##0">
                  <c:v>2139</c:v>
                </c:pt>
                <c:pt idx="36" formatCode="#,##0">
                  <c:v>2147</c:v>
                </c:pt>
                <c:pt idx="37" formatCode="#,##0">
                  <c:v>1910</c:v>
                </c:pt>
                <c:pt idx="38" formatCode="#,##0">
                  <c:v>2323</c:v>
                </c:pt>
                <c:pt idx="39" formatCode="#,##0">
                  <c:v>2076</c:v>
                </c:pt>
                <c:pt idx="40" formatCode="#,##0">
                  <c:v>2650</c:v>
                </c:pt>
                <c:pt idx="41" formatCode="#,##0">
                  <c:v>2356</c:v>
                </c:pt>
                <c:pt idx="42" formatCode="#,##0">
                  <c:v>2228</c:v>
                </c:pt>
                <c:pt idx="43" formatCode="#,##0">
                  <c:v>2150</c:v>
                </c:pt>
                <c:pt idx="44" formatCode="#,##0">
                  <c:v>2200</c:v>
                </c:pt>
                <c:pt idx="45" formatCode="#,##0">
                  <c:v>2200</c:v>
                </c:pt>
                <c:pt idx="46" formatCode="#,##0">
                  <c:v>2200</c:v>
                </c:pt>
                <c:pt idx="47" formatCode="#,##0">
                  <c:v>2300</c:v>
                </c:pt>
                <c:pt idx="48" formatCode="#,##0">
                  <c:v>2000</c:v>
                </c:pt>
                <c:pt idx="49" formatCode="#,##0">
                  <c:v>2100</c:v>
                </c:pt>
                <c:pt idx="50" formatCode="#,##0">
                  <c:v>1925</c:v>
                </c:pt>
                <c:pt idx="51" formatCode="_(* #,##0_);_(* \(#,##0\);_(* &quot;-&quot;??_);_(@_)">
                  <c:v>546.99699999999996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Indo!$C$8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Indo!$D$8:$BD$8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2</c:v>
                </c:pt>
                <c:pt idx="38">
                  <c:v>5</c:v>
                </c:pt>
                <c:pt idx="39">
                  <c:v>17</c:v>
                </c:pt>
                <c:pt idx="40">
                  <c:v>15</c:v>
                </c:pt>
                <c:pt idx="41">
                  <c:v>15</c:v>
                </c:pt>
                <c:pt idx="42">
                  <c:v>15</c:v>
                </c:pt>
                <c:pt idx="43">
                  <c:v>20</c:v>
                </c:pt>
                <c:pt idx="44">
                  <c:v>20</c:v>
                </c:pt>
                <c:pt idx="45">
                  <c:v>20</c:v>
                </c:pt>
                <c:pt idx="46">
                  <c:v>20</c:v>
                </c:pt>
                <c:pt idx="47">
                  <c:v>20</c:v>
                </c:pt>
                <c:pt idx="48">
                  <c:v>20</c:v>
                </c:pt>
                <c:pt idx="49">
                  <c:v>15</c:v>
                </c:pt>
                <c:pt idx="50">
                  <c:v>20</c:v>
                </c:pt>
                <c:pt idx="51" formatCode="_(* #,##0_);_(* \(#,##0\);_(* &quot;-&quot;??_);_(@_)">
                  <c:v>0.72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Indo!$C$9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Indo!$D$9:$BD$9</c:f>
              <c:numCache>
                <c:formatCode>General</c:formatCode>
                <c:ptCount val="53"/>
                <c:pt idx="0">
                  <c:v>45</c:v>
                </c:pt>
                <c:pt idx="1">
                  <c:v>50</c:v>
                </c:pt>
                <c:pt idx="2">
                  <c:v>51</c:v>
                </c:pt>
                <c:pt idx="3">
                  <c:v>50</c:v>
                </c:pt>
                <c:pt idx="4">
                  <c:v>40</c:v>
                </c:pt>
                <c:pt idx="5">
                  <c:v>20</c:v>
                </c:pt>
                <c:pt idx="6">
                  <c:v>80</c:v>
                </c:pt>
                <c:pt idx="7">
                  <c:v>100</c:v>
                </c:pt>
                <c:pt idx="8">
                  <c:v>130</c:v>
                </c:pt>
                <c:pt idx="9">
                  <c:v>150</c:v>
                </c:pt>
                <c:pt idx="10">
                  <c:v>200</c:v>
                </c:pt>
                <c:pt idx="11">
                  <c:v>200</c:v>
                </c:pt>
                <c:pt idx="12">
                  <c:v>220</c:v>
                </c:pt>
                <c:pt idx="13">
                  <c:v>245</c:v>
                </c:pt>
                <c:pt idx="14">
                  <c:v>275</c:v>
                </c:pt>
                <c:pt idx="15">
                  <c:v>325</c:v>
                </c:pt>
                <c:pt idx="16">
                  <c:v>300</c:v>
                </c:pt>
                <c:pt idx="17">
                  <c:v>370</c:v>
                </c:pt>
                <c:pt idx="18">
                  <c:v>410</c:v>
                </c:pt>
                <c:pt idx="19">
                  <c:v>495</c:v>
                </c:pt>
                <c:pt idx="20">
                  <c:v>476</c:v>
                </c:pt>
                <c:pt idx="21">
                  <c:v>510</c:v>
                </c:pt>
                <c:pt idx="22">
                  <c:v>529</c:v>
                </c:pt>
                <c:pt idx="23">
                  <c:v>613</c:v>
                </c:pt>
                <c:pt idx="24">
                  <c:v>625</c:v>
                </c:pt>
                <c:pt idx="25">
                  <c:v>750</c:v>
                </c:pt>
                <c:pt idx="26">
                  <c:v>825</c:v>
                </c:pt>
                <c:pt idx="27">
                  <c:v>910</c:v>
                </c:pt>
                <c:pt idx="28" formatCode="#,##0">
                  <c:v>1148</c:v>
                </c:pt>
                <c:pt idx="29" formatCode="#,##0">
                  <c:v>1332</c:v>
                </c:pt>
                <c:pt idx="30" formatCode="#,##0">
                  <c:v>1541</c:v>
                </c:pt>
                <c:pt idx="31" formatCode="#,##0">
                  <c:v>1793</c:v>
                </c:pt>
                <c:pt idx="32" formatCode="#,##0">
                  <c:v>1977</c:v>
                </c:pt>
                <c:pt idx="33" formatCode="#,##0">
                  <c:v>2097</c:v>
                </c:pt>
                <c:pt idx="34" formatCode="#,##0">
                  <c:v>2143</c:v>
                </c:pt>
                <c:pt idx="35" formatCode="#,##0">
                  <c:v>2184</c:v>
                </c:pt>
                <c:pt idx="36" formatCode="#,##0">
                  <c:v>2186</c:v>
                </c:pt>
                <c:pt idx="37" formatCode="#,##0">
                  <c:v>1900</c:v>
                </c:pt>
                <c:pt idx="38" formatCode="#,##0">
                  <c:v>2241</c:v>
                </c:pt>
                <c:pt idx="39" formatCode="#,##0">
                  <c:v>2050</c:v>
                </c:pt>
                <c:pt idx="40" formatCode="#,##0">
                  <c:v>2500</c:v>
                </c:pt>
                <c:pt idx="41" formatCode="#,##0">
                  <c:v>2350</c:v>
                </c:pt>
                <c:pt idx="42" formatCode="#,##0">
                  <c:v>2300</c:v>
                </c:pt>
                <c:pt idx="43" formatCode="#,##0">
                  <c:v>2200</c:v>
                </c:pt>
                <c:pt idx="44" formatCode="#,##0">
                  <c:v>2200</c:v>
                </c:pt>
                <c:pt idx="45" formatCode="#,##0">
                  <c:v>2225</c:v>
                </c:pt>
                <c:pt idx="46" formatCode="#,##0">
                  <c:v>2225</c:v>
                </c:pt>
                <c:pt idx="47" formatCode="#,##0">
                  <c:v>2275</c:v>
                </c:pt>
                <c:pt idx="48" formatCode="#,##0">
                  <c:v>2050</c:v>
                </c:pt>
                <c:pt idx="49" formatCode="#,##0">
                  <c:v>2100</c:v>
                </c:pt>
                <c:pt idx="50" formatCode="#,##0">
                  <c:v>1950</c:v>
                </c:pt>
                <c:pt idx="51" formatCode="_(* #,##0_);_(* \(#,##0\);_(* &quot;-&quot;??_);_(@_)">
                  <c:v>547.03456999999992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201944"/>
        <c:axId val="314196064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Indo!$C$1</c15:sqref>
                        </c15:formulaRef>
                      </c:ext>
                    </c:extLst>
                    <c:strCache>
                      <c:ptCount val="1"/>
                      <c:pt idx="0">
                        <c:v>Attribute</c:v>
                      </c:pt>
                    </c:strCache>
                  </c:strRef>
                </c:tx>
                <c:spPr>
                  <a:ln>
                    <a:solidFill>
                      <a:srgbClr val="C00000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Indo!$D$1:$BD$1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Indo!$D$1:$BD$1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314201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196064"/>
        <c:crosses val="autoZero"/>
        <c:auto val="1"/>
        <c:lblAlgn val="ctr"/>
        <c:lblOffset val="100"/>
        <c:noMultiLvlLbl val="0"/>
      </c:catAx>
      <c:valAx>
        <c:axId val="31419606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19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259502574676143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Indo!$C$10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Indo!$D$10:$BD$10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410</c:v>
                </c:pt>
                <c:pt idx="5">
                  <c:v>417</c:v>
                </c:pt>
                <c:pt idx="6">
                  <c:v>416</c:v>
                </c:pt>
                <c:pt idx="7">
                  <c:v>420</c:v>
                </c:pt>
                <c:pt idx="8">
                  <c:v>389</c:v>
                </c:pt>
                <c:pt idx="9">
                  <c:v>498</c:v>
                </c:pt>
                <c:pt idx="10">
                  <c:v>516</c:v>
                </c:pt>
                <c:pt idx="11">
                  <c:v>518</c:v>
                </c:pt>
                <c:pt idx="12">
                  <c:v>541</c:v>
                </c:pt>
                <c:pt idx="13">
                  <c:v>589</c:v>
                </c:pt>
                <c:pt idx="14">
                  <c:v>590</c:v>
                </c:pt>
                <c:pt idx="15">
                  <c:v>522</c:v>
                </c:pt>
                <c:pt idx="16">
                  <c:v>523</c:v>
                </c:pt>
                <c:pt idx="17">
                  <c:v>617</c:v>
                </c:pt>
                <c:pt idx="18">
                  <c:v>680</c:v>
                </c:pt>
                <c:pt idx="19">
                  <c:v>653</c:v>
                </c:pt>
                <c:pt idx="20">
                  <c:v>704</c:v>
                </c:pt>
                <c:pt idx="21">
                  <c:v>521</c:v>
                </c:pt>
                <c:pt idx="22">
                  <c:v>536</c:v>
                </c:pt>
                <c:pt idx="23">
                  <c:v>769</c:v>
                </c:pt>
                <c:pt idx="24">
                  <c:v>870</c:v>
                </c:pt>
                <c:pt idx="25">
                  <c:v>950</c:v>
                </c:pt>
                <c:pt idx="26">
                  <c:v>900</c:v>
                </c:pt>
                <c:pt idx="27" formatCode="#,##0">
                  <c:v>1100</c:v>
                </c:pt>
                <c:pt idx="28" formatCode="#,##0">
                  <c:v>1285</c:v>
                </c:pt>
                <c:pt idx="29" formatCode="#,##0">
                  <c:v>1315</c:v>
                </c:pt>
                <c:pt idx="30" formatCode="#,##0">
                  <c:v>1400</c:v>
                </c:pt>
                <c:pt idx="31" formatCode="#,##0">
                  <c:v>1750</c:v>
                </c:pt>
                <c:pt idx="32" formatCode="#,##0">
                  <c:v>1700</c:v>
                </c:pt>
                <c:pt idx="33" formatCode="#,##0">
                  <c:v>1565</c:v>
                </c:pt>
                <c:pt idx="34" formatCode="#,##0">
                  <c:v>1680</c:v>
                </c:pt>
                <c:pt idx="35" formatCode="#,##0">
                  <c:v>1517</c:v>
                </c:pt>
                <c:pt idx="36" formatCode="#,##0">
                  <c:v>1460</c:v>
                </c:pt>
                <c:pt idx="37" formatCode="#,##0">
                  <c:v>1306</c:v>
                </c:pt>
                <c:pt idx="38" formatCode="#,##0">
                  <c:v>1300</c:v>
                </c:pt>
                <c:pt idx="39" formatCode="#,##0">
                  <c:v>1300</c:v>
                </c:pt>
                <c:pt idx="40" formatCode="#,##0">
                  <c:v>1020</c:v>
                </c:pt>
                <c:pt idx="41">
                  <c:v>870</c:v>
                </c:pt>
                <c:pt idx="42">
                  <c:v>780</c:v>
                </c:pt>
                <c:pt idx="43">
                  <c:v>820</c:v>
                </c:pt>
                <c:pt idx="44">
                  <c:v>825</c:v>
                </c:pt>
                <c:pt idx="45">
                  <c:v>832</c:v>
                </c:pt>
                <c:pt idx="46">
                  <c:v>815</c:v>
                </c:pt>
                <c:pt idx="47">
                  <c:v>780</c:v>
                </c:pt>
                <c:pt idx="48">
                  <c:v>800</c:v>
                </c:pt>
                <c:pt idx="49">
                  <c:v>700</c:v>
                </c:pt>
                <c:pt idx="50">
                  <c:v>720</c:v>
                </c:pt>
                <c:pt idx="51" formatCode="_(* #,##0_);_(* \(#,##0\);_(* &quot;-&quot;??_);_(@_)">
                  <c:v>851.28599999999994</c:v>
                </c:pt>
                <c:pt idx="52" formatCode="_(* #,##0_);_(* \(#,##0\);_(* &quot;-&quot;??_);_(@_)">
                  <c:v>843.15300000000002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Indo!$C$11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Indo!$D$11:$BD$11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18</c:v>
                </c:pt>
                <c:pt idx="15">
                  <c:v>172</c:v>
                </c:pt>
                <c:pt idx="16">
                  <c:v>89</c:v>
                </c:pt>
                <c:pt idx="17">
                  <c:v>130</c:v>
                </c:pt>
                <c:pt idx="18">
                  <c:v>177</c:v>
                </c:pt>
                <c:pt idx="19">
                  <c:v>101</c:v>
                </c:pt>
                <c:pt idx="20">
                  <c:v>361</c:v>
                </c:pt>
                <c:pt idx="21">
                  <c:v>361</c:v>
                </c:pt>
                <c:pt idx="22">
                  <c:v>485</c:v>
                </c:pt>
                <c:pt idx="23">
                  <c:v>323</c:v>
                </c:pt>
                <c:pt idx="24">
                  <c:v>315</c:v>
                </c:pt>
                <c:pt idx="25">
                  <c:v>375</c:v>
                </c:pt>
                <c:pt idx="26">
                  <c:v>324</c:v>
                </c:pt>
                <c:pt idx="27">
                  <c:v>628</c:v>
                </c:pt>
                <c:pt idx="28">
                  <c:v>369</c:v>
                </c:pt>
                <c:pt idx="29">
                  <c:v>525</c:v>
                </c:pt>
                <c:pt idx="30">
                  <c:v>524</c:v>
                </c:pt>
                <c:pt idx="31">
                  <c:v>492</c:v>
                </c:pt>
                <c:pt idx="32">
                  <c:v>527</c:v>
                </c:pt>
                <c:pt idx="33">
                  <c:v>709</c:v>
                </c:pt>
                <c:pt idx="34">
                  <c:v>619</c:v>
                </c:pt>
                <c:pt idx="35">
                  <c:v>718</c:v>
                </c:pt>
                <c:pt idx="36">
                  <c:v>684</c:v>
                </c:pt>
                <c:pt idx="37">
                  <c:v>826</c:v>
                </c:pt>
                <c:pt idx="38" formatCode="#,##0">
                  <c:v>1128</c:v>
                </c:pt>
                <c:pt idx="39" formatCode="#,##0">
                  <c:v>1153</c:v>
                </c:pt>
                <c:pt idx="40" formatCode="#,##0">
                  <c:v>1127</c:v>
                </c:pt>
                <c:pt idx="41" formatCode="#,##0">
                  <c:v>1414</c:v>
                </c:pt>
                <c:pt idx="42" formatCode="#,##0">
                  <c:v>1238</c:v>
                </c:pt>
                <c:pt idx="43" formatCode="#,##0">
                  <c:v>1059</c:v>
                </c:pt>
                <c:pt idx="44" formatCode="#,##0">
                  <c:v>1112</c:v>
                </c:pt>
                <c:pt idx="45" formatCode="#,##0">
                  <c:v>1187</c:v>
                </c:pt>
                <c:pt idx="46" formatCode="#,##0">
                  <c:v>1309</c:v>
                </c:pt>
                <c:pt idx="47" formatCode="#,##0">
                  <c:v>1147</c:v>
                </c:pt>
                <c:pt idx="48" formatCode="#,##0">
                  <c:v>1393</c:v>
                </c:pt>
                <c:pt idx="49" formatCode="#,##0">
                  <c:v>1620</c:v>
                </c:pt>
                <c:pt idx="50" formatCode="#,##0">
                  <c:v>1635</c:v>
                </c:pt>
                <c:pt idx="51" formatCode="_(* #,##0_);_(* \(#,##0\);_(* &quot;-&quot;??_);_(@_)">
                  <c:v>2088.616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Indo!$C$12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Indo!$D$12:$BD$12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7</c:v>
                </c:pt>
                <c:pt idx="7">
                  <c:v>8</c:v>
                </c:pt>
                <c:pt idx="8">
                  <c:v>1</c:v>
                </c:pt>
                <c:pt idx="9">
                  <c:v>3</c:v>
                </c:pt>
                <c:pt idx="10">
                  <c:v>1</c:v>
                </c:pt>
                <c:pt idx="11">
                  <c:v>3</c:v>
                </c:pt>
                <c:pt idx="12">
                  <c:v>34</c:v>
                </c:pt>
                <c:pt idx="13">
                  <c:v>4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2</c:v>
                </c:pt>
                <c:pt idx="47">
                  <c:v>1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 formatCode="_(* #,##0_);_(* \(#,##0\);_(* &quot;-&quot;??_);_(@_)">
                  <c:v>0.54700000000000004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Indo!$C$13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Indo!$D$13:$BD$13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410</c:v>
                </c:pt>
                <c:pt idx="5">
                  <c:v>417</c:v>
                </c:pt>
                <c:pt idx="6">
                  <c:v>409</c:v>
                </c:pt>
                <c:pt idx="7">
                  <c:v>412</c:v>
                </c:pt>
                <c:pt idx="8">
                  <c:v>388</c:v>
                </c:pt>
                <c:pt idx="9">
                  <c:v>495</c:v>
                </c:pt>
                <c:pt idx="10">
                  <c:v>515</c:v>
                </c:pt>
                <c:pt idx="11">
                  <c:v>515</c:v>
                </c:pt>
                <c:pt idx="12">
                  <c:v>507</c:v>
                </c:pt>
                <c:pt idx="13">
                  <c:v>585</c:v>
                </c:pt>
                <c:pt idx="14">
                  <c:v>608</c:v>
                </c:pt>
                <c:pt idx="15">
                  <c:v>693</c:v>
                </c:pt>
                <c:pt idx="16">
                  <c:v>612</c:v>
                </c:pt>
                <c:pt idx="17">
                  <c:v>747</c:v>
                </c:pt>
                <c:pt idx="18">
                  <c:v>857</c:v>
                </c:pt>
                <c:pt idx="19">
                  <c:v>754</c:v>
                </c:pt>
                <c:pt idx="20" formatCode="#,##0">
                  <c:v>1065</c:v>
                </c:pt>
                <c:pt idx="21">
                  <c:v>851</c:v>
                </c:pt>
                <c:pt idx="22" formatCode="#,##0">
                  <c:v>1001</c:v>
                </c:pt>
                <c:pt idx="23" formatCode="#,##0">
                  <c:v>1118</c:v>
                </c:pt>
                <c:pt idx="24" formatCode="#,##0">
                  <c:v>1173</c:v>
                </c:pt>
                <c:pt idx="25" formatCode="#,##0">
                  <c:v>1267</c:v>
                </c:pt>
                <c:pt idx="26" formatCode="#,##0">
                  <c:v>1279</c:v>
                </c:pt>
                <c:pt idx="27" formatCode="#,##0">
                  <c:v>1595</c:v>
                </c:pt>
                <c:pt idx="28" formatCode="#,##0">
                  <c:v>1770</c:v>
                </c:pt>
                <c:pt idx="29" formatCode="#,##0">
                  <c:v>1765</c:v>
                </c:pt>
                <c:pt idx="30" formatCode="#,##0">
                  <c:v>1930</c:v>
                </c:pt>
                <c:pt idx="31" formatCode="#,##0">
                  <c:v>2215</c:v>
                </c:pt>
                <c:pt idx="32" formatCode="#,##0">
                  <c:v>2300</c:v>
                </c:pt>
                <c:pt idx="33" formatCode="#,##0">
                  <c:v>2250</c:v>
                </c:pt>
                <c:pt idx="34" formatCode="#,##0">
                  <c:v>2300</c:v>
                </c:pt>
                <c:pt idx="35" formatCode="#,##0">
                  <c:v>2220</c:v>
                </c:pt>
                <c:pt idx="36" formatCode="#,##0">
                  <c:v>2182</c:v>
                </c:pt>
                <c:pt idx="37" formatCode="#,##0">
                  <c:v>2182</c:v>
                </c:pt>
                <c:pt idx="38" formatCode="#,##0">
                  <c:v>2435</c:v>
                </c:pt>
                <c:pt idx="39" formatCode="#,##0">
                  <c:v>2360</c:v>
                </c:pt>
                <c:pt idx="40" formatCode="#,##0">
                  <c:v>2153</c:v>
                </c:pt>
                <c:pt idx="41" formatCode="#,##0">
                  <c:v>2281</c:v>
                </c:pt>
                <c:pt idx="42" formatCode="#,##0">
                  <c:v>2031</c:v>
                </c:pt>
                <c:pt idx="43" formatCode="#,##0">
                  <c:v>1873</c:v>
                </c:pt>
                <c:pt idx="44" formatCode="#,##0">
                  <c:v>1939</c:v>
                </c:pt>
                <c:pt idx="45" formatCode="#,##0">
                  <c:v>2029</c:v>
                </c:pt>
                <c:pt idx="46" formatCode="#,##0">
                  <c:v>2074</c:v>
                </c:pt>
                <c:pt idx="47" formatCode="#,##0">
                  <c:v>2042</c:v>
                </c:pt>
                <c:pt idx="48" formatCode="#,##0">
                  <c:v>2116</c:v>
                </c:pt>
                <c:pt idx="49" formatCode="#,##0">
                  <c:v>2350</c:v>
                </c:pt>
                <c:pt idx="50" formatCode="#,##0">
                  <c:v>2375</c:v>
                </c:pt>
                <c:pt idx="51" formatCode="_(* #,##0_);_(* \(#,##0\);_(* &quot;-&quot;??_);_(@_)">
                  <c:v>2939.355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198808"/>
        <c:axId val="314202336"/>
      </c:lineChart>
      <c:catAx>
        <c:axId val="314198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2336"/>
        <c:crosses val="autoZero"/>
        <c:auto val="1"/>
        <c:lblAlgn val="ctr"/>
        <c:lblOffset val="100"/>
        <c:noMultiLvlLbl val="0"/>
      </c:catAx>
      <c:valAx>
        <c:axId val="3142023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19880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11228619511625235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Indo!$C$1</c:f>
              <c:strCache>
                <c:ptCount val="1"/>
                <c:pt idx="0">
                  <c:v>Attribute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Indo!$C$14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Indo!$D$14:$BD$14</c:f>
              <c:numCache>
                <c:formatCode>#,##0</c:formatCode>
                <c:ptCount val="53"/>
                <c:pt idx="0">
                  <c:v>10168</c:v>
                </c:pt>
                <c:pt idx="1">
                  <c:v>9585</c:v>
                </c:pt>
                <c:pt idx="2">
                  <c:v>10284</c:v>
                </c:pt>
                <c:pt idx="3">
                  <c:v>9158</c:v>
                </c:pt>
                <c:pt idx="4">
                  <c:v>9611</c:v>
                </c:pt>
                <c:pt idx="5">
                  <c:v>10243</c:v>
                </c:pt>
                <c:pt idx="6">
                  <c:v>10752</c:v>
                </c:pt>
                <c:pt idx="7">
                  <c:v>10402</c:v>
                </c:pt>
                <c:pt idx="8">
                  <c:v>11666</c:v>
                </c:pt>
                <c:pt idx="9">
                  <c:v>12249</c:v>
                </c:pt>
                <c:pt idx="10">
                  <c:v>13140</c:v>
                </c:pt>
                <c:pt idx="11">
                  <c:v>13724</c:v>
                </c:pt>
                <c:pt idx="12">
                  <c:v>13183</c:v>
                </c:pt>
                <c:pt idx="13">
                  <c:v>14607</c:v>
                </c:pt>
                <c:pt idx="14">
                  <c:v>15276</c:v>
                </c:pt>
                <c:pt idx="15">
                  <c:v>15185</c:v>
                </c:pt>
                <c:pt idx="16">
                  <c:v>15845</c:v>
                </c:pt>
                <c:pt idx="17">
                  <c:v>15876</c:v>
                </c:pt>
                <c:pt idx="18">
                  <c:v>17525</c:v>
                </c:pt>
                <c:pt idx="19">
                  <c:v>17872</c:v>
                </c:pt>
                <c:pt idx="20">
                  <c:v>22286</c:v>
                </c:pt>
                <c:pt idx="21">
                  <c:v>22837</c:v>
                </c:pt>
                <c:pt idx="22">
                  <c:v>24006</c:v>
                </c:pt>
                <c:pt idx="23">
                  <c:v>25933</c:v>
                </c:pt>
                <c:pt idx="24">
                  <c:v>26542</c:v>
                </c:pt>
                <c:pt idx="25">
                  <c:v>27014</c:v>
                </c:pt>
                <c:pt idx="26">
                  <c:v>26051</c:v>
                </c:pt>
                <c:pt idx="27">
                  <c:v>27089</c:v>
                </c:pt>
                <c:pt idx="28">
                  <c:v>29072</c:v>
                </c:pt>
                <c:pt idx="29">
                  <c:v>29366</c:v>
                </c:pt>
                <c:pt idx="30">
                  <c:v>29042</c:v>
                </c:pt>
                <c:pt idx="31">
                  <c:v>31350</c:v>
                </c:pt>
                <c:pt idx="32">
                  <c:v>31318</c:v>
                </c:pt>
                <c:pt idx="33">
                  <c:v>30315</c:v>
                </c:pt>
                <c:pt idx="34">
                  <c:v>32333</c:v>
                </c:pt>
                <c:pt idx="35">
                  <c:v>33215</c:v>
                </c:pt>
                <c:pt idx="36">
                  <c:v>32084</c:v>
                </c:pt>
                <c:pt idx="37">
                  <c:v>31118</c:v>
                </c:pt>
                <c:pt idx="38">
                  <c:v>32147</c:v>
                </c:pt>
                <c:pt idx="39">
                  <c:v>32800</c:v>
                </c:pt>
                <c:pt idx="40">
                  <c:v>32960</c:v>
                </c:pt>
                <c:pt idx="41">
                  <c:v>32960</c:v>
                </c:pt>
                <c:pt idx="42">
                  <c:v>33411</c:v>
                </c:pt>
                <c:pt idx="43">
                  <c:v>35024</c:v>
                </c:pt>
                <c:pt idx="44">
                  <c:v>34830</c:v>
                </c:pt>
                <c:pt idx="45">
                  <c:v>34959</c:v>
                </c:pt>
                <c:pt idx="46">
                  <c:v>35300</c:v>
                </c:pt>
                <c:pt idx="47">
                  <c:v>37000</c:v>
                </c:pt>
                <c:pt idx="48">
                  <c:v>38310</c:v>
                </c:pt>
                <c:pt idx="49">
                  <c:v>36370</c:v>
                </c:pt>
                <c:pt idx="50">
                  <c:v>36900</c:v>
                </c:pt>
                <c:pt idx="51" formatCode="_(* #,##0_);_(* \(#,##0\);_(* &quot;-&quot;??_);_(@_)">
                  <c:v>65756.903999999995</c:v>
                </c:pt>
                <c:pt idx="52" formatCode="_(* #,##0_);_(* \(#,##0\);_(* &quot;-&quot;??_);_(@_)">
                  <c:v>69056.126000000004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Indo!$C$15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Indo!$D$15:$BD$15</c:f>
              <c:numCache>
                <c:formatCode>#,##0</c:formatCode>
                <c:ptCount val="53"/>
                <c:pt idx="0">
                  <c:v>1064</c:v>
                </c:pt>
                <c:pt idx="1">
                  <c:v>1025</c:v>
                </c:pt>
                <c:pt idx="2">
                  <c:v>1043</c:v>
                </c:pt>
                <c:pt idx="3">
                  <c:v>1010</c:v>
                </c:pt>
                <c:pt idx="4" formatCode="General">
                  <c:v>203</c:v>
                </c:pt>
                <c:pt idx="5" formatCode="General">
                  <c:v>308</c:v>
                </c:pt>
                <c:pt idx="6" formatCode="General">
                  <c:v>354</c:v>
                </c:pt>
                <c:pt idx="7" formatCode="General">
                  <c:v>628</c:v>
                </c:pt>
                <c:pt idx="8" formatCode="General">
                  <c:v>604</c:v>
                </c:pt>
                <c:pt idx="9" formatCode="General">
                  <c:v>956</c:v>
                </c:pt>
                <c:pt idx="10" formatCode="General">
                  <c:v>516</c:v>
                </c:pt>
                <c:pt idx="11" formatCode="General">
                  <c:v>762</c:v>
                </c:pt>
                <c:pt idx="12">
                  <c:v>1638</c:v>
                </c:pt>
                <c:pt idx="13">
                  <c:v>1056</c:v>
                </c:pt>
                <c:pt idx="14" formatCode="General">
                  <c:v>671</c:v>
                </c:pt>
                <c:pt idx="15">
                  <c:v>1309</c:v>
                </c:pt>
                <c:pt idx="16">
                  <c:v>1989</c:v>
                </c:pt>
                <c:pt idx="17">
                  <c:v>1824</c:v>
                </c:pt>
                <c:pt idx="18">
                  <c:v>1934</c:v>
                </c:pt>
                <c:pt idx="19">
                  <c:v>2040</c:v>
                </c:pt>
                <c:pt idx="20" formatCode="General">
                  <c:v>543</c:v>
                </c:pt>
                <c:pt idx="21" formatCode="General">
                  <c:v>364</c:v>
                </c:pt>
                <c:pt idx="22">
                  <c:v>1068</c:v>
                </c:pt>
                <c:pt idx="23" formatCode="General">
                  <c:v>419</c:v>
                </c:pt>
                <c:pt idx="24" formatCode="General">
                  <c:v>53</c:v>
                </c:pt>
                <c:pt idx="25" formatCode="General">
                  <c:v>24</c:v>
                </c:pt>
                <c:pt idx="26" formatCode="General">
                  <c:v>131</c:v>
                </c:pt>
                <c:pt idx="27" formatCode="General">
                  <c:v>50</c:v>
                </c:pt>
                <c:pt idx="28" formatCode="General">
                  <c:v>384</c:v>
                </c:pt>
                <c:pt idx="29" formatCode="General">
                  <c:v>77</c:v>
                </c:pt>
                <c:pt idx="30" formatCode="General">
                  <c:v>192</c:v>
                </c:pt>
                <c:pt idx="31" formatCode="General">
                  <c:v>539</c:v>
                </c:pt>
                <c:pt idx="32" formatCode="General">
                  <c:v>22</c:v>
                </c:pt>
                <c:pt idx="33">
                  <c:v>1120</c:v>
                </c:pt>
                <c:pt idx="34">
                  <c:v>3081</c:v>
                </c:pt>
                <c:pt idx="35">
                  <c:v>1081</c:v>
                </c:pt>
                <c:pt idx="36" formatCode="General">
                  <c:v>839</c:v>
                </c:pt>
                <c:pt idx="37">
                  <c:v>5765</c:v>
                </c:pt>
                <c:pt idx="38">
                  <c:v>3729</c:v>
                </c:pt>
                <c:pt idx="39">
                  <c:v>1500</c:v>
                </c:pt>
                <c:pt idx="40">
                  <c:v>1500</c:v>
                </c:pt>
                <c:pt idx="41">
                  <c:v>3500</c:v>
                </c:pt>
                <c:pt idx="42">
                  <c:v>2750</c:v>
                </c:pt>
                <c:pt idx="43" formatCode="General">
                  <c:v>650</c:v>
                </c:pt>
                <c:pt idx="44" formatCode="General">
                  <c:v>500</c:v>
                </c:pt>
                <c:pt idx="45" formatCode="General">
                  <c:v>539</c:v>
                </c:pt>
                <c:pt idx="46">
                  <c:v>2000</c:v>
                </c:pt>
                <c:pt idx="47" formatCode="General">
                  <c:v>350</c:v>
                </c:pt>
                <c:pt idx="48" formatCode="General">
                  <c:v>250</c:v>
                </c:pt>
                <c:pt idx="49">
                  <c:v>1150</c:v>
                </c:pt>
                <c:pt idx="50">
                  <c:v>1750</c:v>
                </c:pt>
                <c:pt idx="51" formatCode="_(* #,##0_);_(* \(#,##0\);_(* &quot;-&quot;??_);_(@_)">
                  <c:v>2745.2809999999999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Indo!$C$16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Indo!$D$16:$BD$16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14</c:v>
                </c:pt>
                <c:pt idx="20">
                  <c:v>64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392</c:v>
                </c:pt>
                <c:pt idx="25">
                  <c:v>212</c:v>
                </c:pt>
                <c:pt idx="26">
                  <c:v>150</c:v>
                </c:pt>
                <c:pt idx="27">
                  <c:v>0</c:v>
                </c:pt>
                <c:pt idx="28">
                  <c:v>104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472</c:v>
                </c:pt>
                <c:pt idx="33">
                  <c:v>222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50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10</c:v>
                </c:pt>
                <c:pt idx="49">
                  <c:v>0</c:v>
                </c:pt>
                <c:pt idx="50">
                  <c:v>0</c:v>
                </c:pt>
                <c:pt idx="51" formatCode="_(* #,##0_);_(* \(#,##0\);_(* &quot;-&quot;??_);_(@_)">
                  <c:v>0.83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Indo!$C$17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Indo!$D$17:$BD$17</c:f>
              <c:numCache>
                <c:formatCode>#,##0</c:formatCode>
                <c:ptCount val="53"/>
                <c:pt idx="0">
                  <c:v>11204</c:v>
                </c:pt>
                <c:pt idx="1">
                  <c:v>10632</c:v>
                </c:pt>
                <c:pt idx="2">
                  <c:v>11208</c:v>
                </c:pt>
                <c:pt idx="3">
                  <c:v>10164</c:v>
                </c:pt>
                <c:pt idx="4">
                  <c:v>9916</c:v>
                </c:pt>
                <c:pt idx="5">
                  <c:v>10455</c:v>
                </c:pt>
                <c:pt idx="6">
                  <c:v>11131</c:v>
                </c:pt>
                <c:pt idx="7">
                  <c:v>10685</c:v>
                </c:pt>
                <c:pt idx="8">
                  <c:v>12504</c:v>
                </c:pt>
                <c:pt idx="9">
                  <c:v>12937</c:v>
                </c:pt>
                <c:pt idx="10">
                  <c:v>13634</c:v>
                </c:pt>
                <c:pt idx="11">
                  <c:v>14206</c:v>
                </c:pt>
                <c:pt idx="12">
                  <c:v>14742</c:v>
                </c:pt>
                <c:pt idx="13">
                  <c:v>15295</c:v>
                </c:pt>
                <c:pt idx="14">
                  <c:v>15994</c:v>
                </c:pt>
                <c:pt idx="15">
                  <c:v>16706</c:v>
                </c:pt>
                <c:pt idx="16">
                  <c:v>17395</c:v>
                </c:pt>
                <c:pt idx="17">
                  <c:v>18083</c:v>
                </c:pt>
                <c:pt idx="18">
                  <c:v>18913</c:v>
                </c:pt>
                <c:pt idx="19">
                  <c:v>19756</c:v>
                </c:pt>
                <c:pt idx="20">
                  <c:v>21504</c:v>
                </c:pt>
                <c:pt idx="21">
                  <c:v>23149</c:v>
                </c:pt>
                <c:pt idx="22">
                  <c:v>24679</c:v>
                </c:pt>
                <c:pt idx="23">
                  <c:v>25460</c:v>
                </c:pt>
                <c:pt idx="24">
                  <c:v>26092</c:v>
                </c:pt>
                <c:pt idx="25">
                  <c:v>26738</c:v>
                </c:pt>
                <c:pt idx="26">
                  <c:v>27392</c:v>
                </c:pt>
                <c:pt idx="27">
                  <c:v>28053</c:v>
                </c:pt>
                <c:pt idx="28">
                  <c:v>28723</c:v>
                </c:pt>
                <c:pt idx="29">
                  <c:v>29410</c:v>
                </c:pt>
                <c:pt idx="30">
                  <c:v>30121</c:v>
                </c:pt>
                <c:pt idx="31">
                  <c:v>30838</c:v>
                </c:pt>
                <c:pt idx="32">
                  <c:v>31375</c:v>
                </c:pt>
                <c:pt idx="33">
                  <c:v>32097</c:v>
                </c:pt>
                <c:pt idx="34">
                  <c:v>32922</c:v>
                </c:pt>
                <c:pt idx="35">
                  <c:v>33461</c:v>
                </c:pt>
                <c:pt idx="36">
                  <c:v>33911</c:v>
                </c:pt>
                <c:pt idx="37">
                  <c:v>34667</c:v>
                </c:pt>
                <c:pt idx="38">
                  <c:v>35033</c:v>
                </c:pt>
                <c:pt idx="39">
                  <c:v>35400</c:v>
                </c:pt>
                <c:pt idx="40">
                  <c:v>35877</c:v>
                </c:pt>
                <c:pt idx="41">
                  <c:v>36382</c:v>
                </c:pt>
                <c:pt idx="42">
                  <c:v>36500</c:v>
                </c:pt>
                <c:pt idx="43">
                  <c:v>36000</c:v>
                </c:pt>
                <c:pt idx="44">
                  <c:v>35850</c:v>
                </c:pt>
                <c:pt idx="45">
                  <c:v>35739</c:v>
                </c:pt>
                <c:pt idx="46">
                  <c:v>35900</c:v>
                </c:pt>
                <c:pt idx="47">
                  <c:v>36350</c:v>
                </c:pt>
                <c:pt idx="48">
                  <c:v>37100</c:v>
                </c:pt>
                <c:pt idx="49">
                  <c:v>38000</c:v>
                </c:pt>
                <c:pt idx="50">
                  <c:v>38850</c:v>
                </c:pt>
                <c:pt idx="51" formatCode="_(* #,##0_);_(* \(#,##0\);_(* &quot;-&quot;??_);_(@_)">
                  <c:v>68501.354999999996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201160"/>
        <c:axId val="314202728"/>
      </c:lineChart>
      <c:catAx>
        <c:axId val="314201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2728"/>
        <c:crosses val="autoZero"/>
        <c:auto val="1"/>
        <c:lblAlgn val="ctr"/>
        <c:lblOffset val="100"/>
        <c:noMultiLvlLbl val="0"/>
      </c:catAx>
      <c:valAx>
        <c:axId val="31420272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116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259502574676143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19"/>
          <c:w val="0.8452459084856948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Indo!$C$1</c:f>
              <c:strCache>
                <c:ptCount val="1"/>
                <c:pt idx="0">
                  <c:v>Attribute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Indo!$C$18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Indo!$D$18:$BD$18</c:f>
              <c:numCache>
                <c:formatCode>_(* #,##0_);_(* \(#,##0\);_(* "-"??_);_(@_)</c:formatCode>
                <c:ptCount val="53"/>
                <c:pt idx="0">
                  <c:v>10931.2</c:v>
                </c:pt>
                <c:pt idx="1">
                  <c:v>10211.1</c:v>
                </c:pt>
                <c:pt idx="2">
                  <c:v>8959.5</c:v>
                </c:pt>
                <c:pt idx="3">
                  <c:v>10959.4</c:v>
                </c:pt>
                <c:pt idx="4">
                  <c:v>11224.8</c:v>
                </c:pt>
                <c:pt idx="5">
                  <c:v>9549.9</c:v>
                </c:pt>
                <c:pt idx="6">
                  <c:v>10211.700000000001</c:v>
                </c:pt>
                <c:pt idx="7">
                  <c:v>8858.2999999999993</c:v>
                </c:pt>
                <c:pt idx="8">
                  <c:v>9990.1</c:v>
                </c:pt>
                <c:pt idx="9">
                  <c:v>9747.9</c:v>
                </c:pt>
                <c:pt idx="10">
                  <c:v>11226.9</c:v>
                </c:pt>
                <c:pt idx="11">
                  <c:v>11649.6</c:v>
                </c:pt>
                <c:pt idx="12">
                  <c:v>10847.8</c:v>
                </c:pt>
                <c:pt idx="13">
                  <c:v>13426.5</c:v>
                </c:pt>
                <c:pt idx="14">
                  <c:v>13079.2</c:v>
                </c:pt>
                <c:pt idx="15">
                  <c:v>14034.48</c:v>
                </c:pt>
                <c:pt idx="16">
                  <c:v>14516.28</c:v>
                </c:pt>
                <c:pt idx="17">
                  <c:v>19334</c:v>
                </c:pt>
                <c:pt idx="18">
                  <c:v>19083.008000000002</c:v>
                </c:pt>
                <c:pt idx="19">
                  <c:v>17133.295999999998</c:v>
                </c:pt>
                <c:pt idx="20">
                  <c:v>22301.808000000001</c:v>
                </c:pt>
                <c:pt idx="21">
                  <c:v>21794.096000000001</c:v>
                </c:pt>
                <c:pt idx="22">
                  <c:v>24450.495999999999</c:v>
                </c:pt>
                <c:pt idx="23">
                  <c:v>22957.135999999999</c:v>
                </c:pt>
                <c:pt idx="24">
                  <c:v>22621.168000000001</c:v>
                </c:pt>
                <c:pt idx="25">
                  <c:v>24608.383999999998</c:v>
                </c:pt>
                <c:pt idx="26">
                  <c:v>26130.736000000001</c:v>
                </c:pt>
                <c:pt idx="27">
                  <c:v>27965.360000000001</c:v>
                </c:pt>
                <c:pt idx="28">
                  <c:v>26812.32</c:v>
                </c:pt>
                <c:pt idx="29">
                  <c:v>27979.632000000001</c:v>
                </c:pt>
                <c:pt idx="30">
                  <c:v>28133.008000000002</c:v>
                </c:pt>
                <c:pt idx="31">
                  <c:v>32000</c:v>
                </c:pt>
                <c:pt idx="32">
                  <c:v>33000</c:v>
                </c:pt>
                <c:pt idx="33">
                  <c:v>32834</c:v>
                </c:pt>
                <c:pt idx="34">
                  <c:v>28998.799999999999</c:v>
                </c:pt>
                <c:pt idx="35">
                  <c:v>29486.3</c:v>
                </c:pt>
                <c:pt idx="36">
                  <c:v>27763.75</c:v>
                </c:pt>
                <c:pt idx="37">
                  <c:v>27954</c:v>
                </c:pt>
                <c:pt idx="38">
                  <c:v>23500</c:v>
                </c:pt>
                <c:pt idx="39">
                  <c:v>23900</c:v>
                </c:pt>
                <c:pt idx="40">
                  <c:v>25185</c:v>
                </c:pt>
                <c:pt idx="41">
                  <c:v>25530</c:v>
                </c:pt>
                <c:pt idx="42">
                  <c:v>24500</c:v>
                </c:pt>
                <c:pt idx="43">
                  <c:v>26750</c:v>
                </c:pt>
                <c:pt idx="44">
                  <c:v>29300</c:v>
                </c:pt>
                <c:pt idx="45">
                  <c:v>29200</c:v>
                </c:pt>
                <c:pt idx="46">
                  <c:v>25200</c:v>
                </c:pt>
                <c:pt idx="47">
                  <c:v>25600</c:v>
                </c:pt>
                <c:pt idx="48">
                  <c:v>26400</c:v>
                </c:pt>
                <c:pt idx="49">
                  <c:v>26600</c:v>
                </c:pt>
                <c:pt idx="50">
                  <c:v>24000</c:v>
                </c:pt>
                <c:pt idx="51">
                  <c:v>28700</c:v>
                </c:pt>
                <c:pt idx="52">
                  <c:v>33700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Indo!$C$19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Indo!$D$19:$BD$19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36</c:v>
                </c:pt>
                <c:pt idx="6">
                  <c:v>38</c:v>
                </c:pt>
                <c:pt idx="7">
                  <c:v>108</c:v>
                </c:pt>
                <c:pt idx="8">
                  <c:v>78</c:v>
                </c:pt>
                <c:pt idx="9">
                  <c:v>90</c:v>
                </c:pt>
                <c:pt idx="10">
                  <c:v>110</c:v>
                </c:pt>
                <c:pt idx="11">
                  <c:v>3</c:v>
                </c:pt>
                <c:pt idx="12">
                  <c:v>185</c:v>
                </c:pt>
                <c:pt idx="13">
                  <c:v>208</c:v>
                </c:pt>
                <c:pt idx="14">
                  <c:v>190</c:v>
                </c:pt>
                <c:pt idx="15">
                  <c:v>161</c:v>
                </c:pt>
                <c:pt idx="16">
                  <c:v>180</c:v>
                </c:pt>
                <c:pt idx="17">
                  <c:v>515</c:v>
                </c:pt>
                <c:pt idx="18">
                  <c:v>523</c:v>
                </c:pt>
                <c:pt idx="19">
                  <c:v>368</c:v>
                </c:pt>
                <c:pt idx="20">
                  <c:v>574</c:v>
                </c:pt>
                <c:pt idx="21">
                  <c:v>797</c:v>
                </c:pt>
                <c:pt idx="22">
                  <c:v>475</c:v>
                </c:pt>
                <c:pt idx="23">
                  <c:v>17</c:v>
                </c:pt>
                <c:pt idx="24">
                  <c:v>0</c:v>
                </c:pt>
                <c:pt idx="25">
                  <c:v>0</c:v>
                </c:pt>
                <c:pt idx="26">
                  <c:v>179</c:v>
                </c:pt>
                <c:pt idx="27">
                  <c:v>148</c:v>
                </c:pt>
                <c:pt idx="28">
                  <c:v>282</c:v>
                </c:pt>
                <c:pt idx="29">
                  <c:v>369</c:v>
                </c:pt>
                <c:pt idx="30">
                  <c:v>244</c:v>
                </c:pt>
                <c:pt idx="31">
                  <c:v>298</c:v>
                </c:pt>
                <c:pt idx="32">
                  <c:v>273</c:v>
                </c:pt>
                <c:pt idx="33">
                  <c:v>162</c:v>
                </c:pt>
                <c:pt idx="34">
                  <c:v>301</c:v>
                </c:pt>
                <c:pt idx="35">
                  <c:v>919</c:v>
                </c:pt>
                <c:pt idx="36">
                  <c:v>1091</c:v>
                </c:pt>
                <c:pt idx="37">
                  <c:v>921</c:v>
                </c:pt>
                <c:pt idx="38">
                  <c:v>1702</c:v>
                </c:pt>
                <c:pt idx="39">
                  <c:v>1949</c:v>
                </c:pt>
                <c:pt idx="40">
                  <c:v>1591</c:v>
                </c:pt>
                <c:pt idx="41">
                  <c:v>1600</c:v>
                </c:pt>
                <c:pt idx="42">
                  <c:v>1600</c:v>
                </c:pt>
                <c:pt idx="43">
                  <c:v>1500</c:v>
                </c:pt>
                <c:pt idx="44">
                  <c:v>1450</c:v>
                </c:pt>
                <c:pt idx="45">
                  <c:v>1800</c:v>
                </c:pt>
                <c:pt idx="46">
                  <c:v>1800</c:v>
                </c:pt>
                <c:pt idx="47">
                  <c:v>2420</c:v>
                </c:pt>
                <c:pt idx="48">
                  <c:v>2197</c:v>
                </c:pt>
                <c:pt idx="49">
                  <c:v>2600</c:v>
                </c:pt>
                <c:pt idx="50">
                  <c:v>2910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Indo!$C$20</c:f>
              <c:strCache>
                <c:ptCount val="1"/>
                <c:pt idx="0">
                  <c:v>Total Exports</c:v>
                </c:pt>
              </c:strCache>
            </c:strRef>
          </c:tx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Indo!$D$20:$BD$20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33</c:v>
                </c:pt>
                <c:pt idx="2">
                  <c:v>50</c:v>
                </c:pt>
                <c:pt idx="3">
                  <c:v>103</c:v>
                </c:pt>
                <c:pt idx="4">
                  <c:v>80</c:v>
                </c:pt>
                <c:pt idx="5">
                  <c:v>53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6</c:v>
                </c:pt>
                <c:pt idx="39">
                  <c:v>17</c:v>
                </c:pt>
                <c:pt idx="40">
                  <c:v>6</c:v>
                </c:pt>
                <c:pt idx="41">
                  <c:v>5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Indo!$C$21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Indo!$D$21:$BD$21</c:f>
              <c:numCache>
                <c:formatCode>General</c:formatCode>
                <c:ptCount val="53"/>
                <c:pt idx="0">
                  <c:v>10931.2</c:v>
                </c:pt>
                <c:pt idx="1">
                  <c:v>10178.1</c:v>
                </c:pt>
                <c:pt idx="2">
                  <c:v>8909.5</c:v>
                </c:pt>
                <c:pt idx="3">
                  <c:v>10856.4</c:v>
                </c:pt>
                <c:pt idx="4">
                  <c:v>11144.8</c:v>
                </c:pt>
                <c:pt idx="5">
                  <c:v>9532.9</c:v>
                </c:pt>
                <c:pt idx="6">
                  <c:v>10249.700000000001</c:v>
                </c:pt>
                <c:pt idx="7">
                  <c:v>8966.2999999999993</c:v>
                </c:pt>
                <c:pt idx="8">
                  <c:v>10068.1</c:v>
                </c:pt>
                <c:pt idx="9">
                  <c:v>9837.9</c:v>
                </c:pt>
                <c:pt idx="10">
                  <c:v>11336.9</c:v>
                </c:pt>
                <c:pt idx="11">
                  <c:v>11652.6</c:v>
                </c:pt>
                <c:pt idx="12">
                  <c:v>11032.8</c:v>
                </c:pt>
                <c:pt idx="13">
                  <c:v>13634.5</c:v>
                </c:pt>
                <c:pt idx="14">
                  <c:v>13269.2</c:v>
                </c:pt>
                <c:pt idx="15">
                  <c:v>14195.48</c:v>
                </c:pt>
                <c:pt idx="16">
                  <c:v>14696.28</c:v>
                </c:pt>
                <c:pt idx="17">
                  <c:v>19849</c:v>
                </c:pt>
                <c:pt idx="18">
                  <c:v>19606.008000000002</c:v>
                </c:pt>
                <c:pt idx="19">
                  <c:v>17501.295999999998</c:v>
                </c:pt>
                <c:pt idx="20">
                  <c:v>22875.808000000001</c:v>
                </c:pt>
                <c:pt idx="21">
                  <c:v>22591.096000000001</c:v>
                </c:pt>
                <c:pt idx="22">
                  <c:v>24925.495999999999</c:v>
                </c:pt>
                <c:pt idx="23">
                  <c:v>22974.135999999999</c:v>
                </c:pt>
                <c:pt idx="24">
                  <c:v>22621.168000000001</c:v>
                </c:pt>
                <c:pt idx="25">
                  <c:v>24608.383999999998</c:v>
                </c:pt>
                <c:pt idx="26">
                  <c:v>26309.736000000001</c:v>
                </c:pt>
                <c:pt idx="27">
                  <c:v>28113.360000000001</c:v>
                </c:pt>
                <c:pt idx="28">
                  <c:v>27094.32</c:v>
                </c:pt>
                <c:pt idx="29">
                  <c:v>28348.632000000001</c:v>
                </c:pt>
                <c:pt idx="30">
                  <c:v>28377.008000000002</c:v>
                </c:pt>
                <c:pt idx="31">
                  <c:v>32298</c:v>
                </c:pt>
                <c:pt idx="32">
                  <c:v>33273</c:v>
                </c:pt>
                <c:pt idx="33">
                  <c:v>32996</c:v>
                </c:pt>
                <c:pt idx="34">
                  <c:v>29299.8</c:v>
                </c:pt>
                <c:pt idx="35">
                  <c:v>30405.3</c:v>
                </c:pt>
                <c:pt idx="36">
                  <c:v>28854.75</c:v>
                </c:pt>
                <c:pt idx="37">
                  <c:v>28875</c:v>
                </c:pt>
                <c:pt idx="38">
                  <c:v>25196</c:v>
                </c:pt>
                <c:pt idx="39">
                  <c:v>25832</c:v>
                </c:pt>
                <c:pt idx="40">
                  <c:v>26770</c:v>
                </c:pt>
                <c:pt idx="41">
                  <c:v>27125</c:v>
                </c:pt>
                <c:pt idx="42">
                  <c:v>26100</c:v>
                </c:pt>
                <c:pt idx="43">
                  <c:v>28250</c:v>
                </c:pt>
                <c:pt idx="44">
                  <c:v>30750</c:v>
                </c:pt>
                <c:pt idx="45">
                  <c:v>31000</c:v>
                </c:pt>
                <c:pt idx="46">
                  <c:v>27000</c:v>
                </c:pt>
                <c:pt idx="47">
                  <c:v>28020</c:v>
                </c:pt>
                <c:pt idx="48">
                  <c:v>28597</c:v>
                </c:pt>
                <c:pt idx="49">
                  <c:v>29200</c:v>
                </c:pt>
                <c:pt idx="50">
                  <c:v>26910</c:v>
                </c:pt>
                <c:pt idx="51">
                  <c:v>28700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199592"/>
        <c:axId val="314203512"/>
      </c:lineChart>
      <c:catAx>
        <c:axId val="3141995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3512"/>
        <c:crosses val="autoZero"/>
        <c:auto val="1"/>
        <c:lblAlgn val="ctr"/>
        <c:lblOffset val="100"/>
        <c:noMultiLvlLbl val="0"/>
      </c:catAx>
      <c:valAx>
        <c:axId val="314203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19959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"/>
          <c:w val="0.2490046509112116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27"/>
          <c:w val="0.845245908485695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Indo!$C$1</c:f>
              <c:strCache>
                <c:ptCount val="1"/>
                <c:pt idx="0">
                  <c:v>Attribute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Indo!$C$22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Indo!$D$22:$BD$22</c:f>
              <c:numCache>
                <c:formatCode>General</c:formatCode>
                <c:ptCount val="53"/>
                <c:pt idx="0">
                  <c:v>161</c:v>
                </c:pt>
                <c:pt idx="1">
                  <c:v>150</c:v>
                </c:pt>
                <c:pt idx="2">
                  <c:v>24</c:v>
                </c:pt>
                <c:pt idx="3">
                  <c:v>100</c:v>
                </c:pt>
                <c:pt idx="4">
                  <c:v>20</c:v>
                </c:pt>
                <c:pt idx="5">
                  <c:v>20</c:v>
                </c:pt>
                <c:pt idx="6">
                  <c:v>40</c:v>
                </c:pt>
                <c:pt idx="7">
                  <c:v>170</c:v>
                </c:pt>
                <c:pt idx="8">
                  <c:v>335</c:v>
                </c:pt>
                <c:pt idx="9">
                  <c:v>685</c:v>
                </c:pt>
                <c:pt idx="10">
                  <c:v>455</c:v>
                </c:pt>
                <c:pt idx="11">
                  <c:v>487</c:v>
                </c:pt>
                <c:pt idx="12">
                  <c:v>686</c:v>
                </c:pt>
                <c:pt idx="13">
                  <c:v>576</c:v>
                </c:pt>
                <c:pt idx="14">
                  <c:v>846</c:v>
                </c:pt>
                <c:pt idx="15">
                  <c:v>834</c:v>
                </c:pt>
                <c:pt idx="16" formatCode="#,##0">
                  <c:v>1155</c:v>
                </c:pt>
                <c:pt idx="17" formatCode="#,##0">
                  <c:v>1127</c:v>
                </c:pt>
                <c:pt idx="18" formatCode="#,##0">
                  <c:v>1257</c:v>
                </c:pt>
                <c:pt idx="19" formatCode="#,##0">
                  <c:v>1374</c:v>
                </c:pt>
                <c:pt idx="20" formatCode="#,##0">
                  <c:v>1233</c:v>
                </c:pt>
                <c:pt idx="21" formatCode="#,##0">
                  <c:v>1352</c:v>
                </c:pt>
                <c:pt idx="22" formatCode="#,##0">
                  <c:v>1484</c:v>
                </c:pt>
                <c:pt idx="23" formatCode="#,##0">
                  <c:v>1557</c:v>
                </c:pt>
                <c:pt idx="24" formatCode="#,##0">
                  <c:v>1369</c:v>
                </c:pt>
                <c:pt idx="25" formatCode="#,##0">
                  <c:v>1543</c:v>
                </c:pt>
                <c:pt idx="26" formatCode="#,##0">
                  <c:v>1597</c:v>
                </c:pt>
                <c:pt idx="27" formatCode="#,##0">
                  <c:v>1800</c:v>
                </c:pt>
                <c:pt idx="28" formatCode="#,##0">
                  <c:v>1717</c:v>
                </c:pt>
                <c:pt idx="29" formatCode="#,##0">
                  <c:v>1942</c:v>
                </c:pt>
                <c:pt idx="30" formatCode="#,##0">
                  <c:v>2036</c:v>
                </c:pt>
                <c:pt idx="31" formatCode="#,##0">
                  <c:v>2550</c:v>
                </c:pt>
                <c:pt idx="32" formatCode="#,##0">
                  <c:v>2672</c:v>
                </c:pt>
                <c:pt idx="33" formatCode="#,##0">
                  <c:v>2925</c:v>
                </c:pt>
                <c:pt idx="34" formatCode="#,##0">
                  <c:v>3881</c:v>
                </c:pt>
                <c:pt idx="35" formatCode="#,##0">
                  <c:v>3632</c:v>
                </c:pt>
                <c:pt idx="36" formatCode="#,##0">
                  <c:v>4201</c:v>
                </c:pt>
                <c:pt idx="37" formatCode="#,##0">
                  <c:v>3664</c:v>
                </c:pt>
                <c:pt idx="38" formatCode="#,##0">
                  <c:v>3117</c:v>
                </c:pt>
                <c:pt idx="39" formatCode="#,##0">
                  <c:v>3744</c:v>
                </c:pt>
                <c:pt idx="40" formatCode="#,##0">
                  <c:v>4069</c:v>
                </c:pt>
                <c:pt idx="41" formatCode="#,##0">
                  <c:v>3748</c:v>
                </c:pt>
                <c:pt idx="42" formatCode="#,##0">
                  <c:v>4008</c:v>
                </c:pt>
                <c:pt idx="43" formatCode="#,##0">
                  <c:v>4434</c:v>
                </c:pt>
                <c:pt idx="44" formatCode="#,##0">
                  <c:v>4720</c:v>
                </c:pt>
                <c:pt idx="45" formatCode="#,##0">
                  <c:v>5072</c:v>
                </c:pt>
                <c:pt idx="46" formatCode="#,##0">
                  <c:v>5601</c:v>
                </c:pt>
                <c:pt idx="47" formatCode="#,##0">
                  <c:v>5227</c:v>
                </c:pt>
                <c:pt idx="48" formatCode="#,##0">
                  <c:v>5419</c:v>
                </c:pt>
                <c:pt idx="49" formatCode="#,##0">
                  <c:v>5364</c:v>
                </c:pt>
                <c:pt idx="50" formatCode="#,##0">
                  <c:v>5600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Indo!$C$23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Indo!$D$23:$BD$23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5</c:v>
                </c:pt>
                <c:pt idx="31">
                  <c:v>7</c:v>
                </c:pt>
                <c:pt idx="32">
                  <c:v>7</c:v>
                </c:pt>
                <c:pt idx="33">
                  <c:v>8</c:v>
                </c:pt>
                <c:pt idx="34">
                  <c:v>11</c:v>
                </c:pt>
                <c:pt idx="35">
                  <c:v>18</c:v>
                </c:pt>
                <c:pt idx="36">
                  <c:v>49</c:v>
                </c:pt>
                <c:pt idx="37">
                  <c:v>23</c:v>
                </c:pt>
                <c:pt idx="38">
                  <c:v>9</c:v>
                </c:pt>
                <c:pt idx="39">
                  <c:v>31</c:v>
                </c:pt>
                <c:pt idx="40">
                  <c:v>49</c:v>
                </c:pt>
                <c:pt idx="41">
                  <c:v>45</c:v>
                </c:pt>
                <c:pt idx="42">
                  <c:v>73</c:v>
                </c:pt>
                <c:pt idx="43">
                  <c:v>91</c:v>
                </c:pt>
                <c:pt idx="44">
                  <c:v>221</c:v>
                </c:pt>
                <c:pt idx="45">
                  <c:v>163</c:v>
                </c:pt>
                <c:pt idx="46">
                  <c:v>192</c:v>
                </c:pt>
                <c:pt idx="47">
                  <c:v>221</c:v>
                </c:pt>
                <c:pt idx="48">
                  <c:v>144</c:v>
                </c:pt>
                <c:pt idx="49">
                  <c:v>200</c:v>
                </c:pt>
                <c:pt idx="50">
                  <c:v>250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Indo!$C$24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Indo!$D$1:$BD$1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Indo!$D$24:$BD$24</c:f>
              <c:numCache>
                <c:formatCode>General</c:formatCode>
                <c:ptCount val="53"/>
                <c:pt idx="0">
                  <c:v>161</c:v>
                </c:pt>
                <c:pt idx="1">
                  <c:v>150</c:v>
                </c:pt>
                <c:pt idx="2">
                  <c:v>24</c:v>
                </c:pt>
                <c:pt idx="3">
                  <c:v>100</c:v>
                </c:pt>
                <c:pt idx="4">
                  <c:v>20</c:v>
                </c:pt>
                <c:pt idx="5">
                  <c:v>20</c:v>
                </c:pt>
                <c:pt idx="6">
                  <c:v>40</c:v>
                </c:pt>
                <c:pt idx="7">
                  <c:v>170</c:v>
                </c:pt>
                <c:pt idx="8">
                  <c:v>279</c:v>
                </c:pt>
                <c:pt idx="9">
                  <c:v>567</c:v>
                </c:pt>
                <c:pt idx="10">
                  <c:v>396</c:v>
                </c:pt>
                <c:pt idx="11">
                  <c:v>683</c:v>
                </c:pt>
                <c:pt idx="12">
                  <c:v>642</c:v>
                </c:pt>
                <c:pt idx="13">
                  <c:v>557</c:v>
                </c:pt>
                <c:pt idx="14">
                  <c:v>826</c:v>
                </c:pt>
                <c:pt idx="15">
                  <c:v>819</c:v>
                </c:pt>
                <c:pt idx="16" formatCode="#,##0">
                  <c:v>1090</c:v>
                </c:pt>
                <c:pt idx="17" formatCode="#,##0">
                  <c:v>1125</c:v>
                </c:pt>
                <c:pt idx="18" formatCode="#,##0">
                  <c:v>1251</c:v>
                </c:pt>
                <c:pt idx="19" formatCode="#,##0">
                  <c:v>1285</c:v>
                </c:pt>
                <c:pt idx="20" formatCode="#,##0">
                  <c:v>1309</c:v>
                </c:pt>
                <c:pt idx="21" formatCode="#,##0">
                  <c:v>1339</c:v>
                </c:pt>
                <c:pt idx="22" formatCode="#,##0">
                  <c:v>1471</c:v>
                </c:pt>
                <c:pt idx="23" formatCode="#,##0">
                  <c:v>1604</c:v>
                </c:pt>
                <c:pt idx="24" formatCode="#,##0">
                  <c:v>1419</c:v>
                </c:pt>
                <c:pt idx="25" formatCode="#,##0">
                  <c:v>1443</c:v>
                </c:pt>
                <c:pt idx="26" formatCode="#,##0">
                  <c:v>1547</c:v>
                </c:pt>
                <c:pt idx="27" formatCode="#,##0">
                  <c:v>1800</c:v>
                </c:pt>
                <c:pt idx="28" formatCode="#,##0">
                  <c:v>1817</c:v>
                </c:pt>
                <c:pt idx="29" formatCode="#,##0">
                  <c:v>1892</c:v>
                </c:pt>
                <c:pt idx="30" formatCode="#,##0">
                  <c:v>1967</c:v>
                </c:pt>
                <c:pt idx="31" formatCode="#,##0">
                  <c:v>2537</c:v>
                </c:pt>
                <c:pt idx="32" formatCode="#,##0">
                  <c:v>2715</c:v>
                </c:pt>
                <c:pt idx="33" formatCode="#,##0">
                  <c:v>3012</c:v>
                </c:pt>
                <c:pt idx="34" formatCode="#,##0">
                  <c:v>3595</c:v>
                </c:pt>
                <c:pt idx="35" formatCode="#,##0">
                  <c:v>3752</c:v>
                </c:pt>
                <c:pt idx="36" formatCode="#,##0">
                  <c:v>4152</c:v>
                </c:pt>
                <c:pt idx="37" formatCode="#,##0">
                  <c:v>3703</c:v>
                </c:pt>
                <c:pt idx="38" formatCode="#,##0">
                  <c:v>2658</c:v>
                </c:pt>
                <c:pt idx="39" formatCode="#,##0">
                  <c:v>3313</c:v>
                </c:pt>
                <c:pt idx="40" formatCode="#,##0">
                  <c:v>4120</c:v>
                </c:pt>
                <c:pt idx="41" formatCode="#,##0">
                  <c:v>3832</c:v>
                </c:pt>
                <c:pt idx="42" formatCode="#,##0">
                  <c:v>4091</c:v>
                </c:pt>
                <c:pt idx="43" formatCode="#,##0">
                  <c:v>4200</c:v>
                </c:pt>
                <c:pt idx="44" formatCode="#,##0">
                  <c:v>4450</c:v>
                </c:pt>
                <c:pt idx="45" formatCode="#,##0">
                  <c:v>4700</c:v>
                </c:pt>
                <c:pt idx="46" formatCode="#,##0">
                  <c:v>5050</c:v>
                </c:pt>
                <c:pt idx="47" formatCode="#,##0">
                  <c:v>5150</c:v>
                </c:pt>
                <c:pt idx="48" formatCode="#,##0">
                  <c:v>5200</c:v>
                </c:pt>
                <c:pt idx="49" formatCode="#,##0">
                  <c:v>5300</c:v>
                </c:pt>
                <c:pt idx="50" formatCode="#,##0">
                  <c:v>5550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203904"/>
        <c:axId val="314196456"/>
      </c:lineChart>
      <c:catAx>
        <c:axId val="314203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196456"/>
        <c:crosses val="autoZero"/>
        <c:auto val="1"/>
        <c:lblAlgn val="ctr"/>
        <c:lblOffset val="100"/>
        <c:noMultiLvlLbl val="0"/>
      </c:catAx>
      <c:valAx>
        <c:axId val="3141964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390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22"/>
          <c:w val="0.2259502574676143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  <c:userShapes r:id="rId1"/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Jap!$C$2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Jap!$D$2:$BD$2</c:f>
              <c:numCache>
                <c:formatCode>General</c:formatCode>
                <c:ptCount val="53"/>
                <c:pt idx="0">
                  <c:v>113</c:v>
                </c:pt>
                <c:pt idx="1">
                  <c:v>116</c:v>
                </c:pt>
                <c:pt idx="2">
                  <c:v>104</c:v>
                </c:pt>
                <c:pt idx="3">
                  <c:v>104</c:v>
                </c:pt>
                <c:pt idx="4">
                  <c:v>84</c:v>
                </c:pt>
                <c:pt idx="5">
                  <c:v>75</c:v>
                </c:pt>
                <c:pt idx="6">
                  <c:v>63</c:v>
                </c:pt>
                <c:pt idx="7">
                  <c:v>61</c:v>
                </c:pt>
                <c:pt idx="8">
                  <c:v>51</c:v>
                </c:pt>
                <c:pt idx="9">
                  <c:v>40</c:v>
                </c:pt>
                <c:pt idx="10">
                  <c:v>33</c:v>
                </c:pt>
                <c:pt idx="11">
                  <c:v>33</c:v>
                </c:pt>
                <c:pt idx="12">
                  <c:v>24</c:v>
                </c:pt>
                <c:pt idx="13">
                  <c:v>19</c:v>
                </c:pt>
                <c:pt idx="14">
                  <c:v>14</c:v>
                </c:pt>
                <c:pt idx="15">
                  <c:v>11</c:v>
                </c:pt>
                <c:pt idx="16">
                  <c:v>11</c:v>
                </c:pt>
                <c:pt idx="17">
                  <c:v>8</c:v>
                </c:pt>
                <c:pt idx="18">
                  <c:v>5</c:v>
                </c:pt>
                <c:pt idx="19">
                  <c:v>5</c:v>
                </c:pt>
                <c:pt idx="20">
                  <c:v>4</c:v>
                </c:pt>
                <c:pt idx="21">
                  <c:v>3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 formatCode="_(* #,##0_);_(* \(#,##0\);_(* &quot;-&quot;??_);_(@_)">
                  <c:v>0.16500000000000001</c:v>
                </c:pt>
                <c:pt idx="51" formatCode="_(* #,##0_);_(* \(#,##0\);_(* &quot;-&quot;??_);_(@_)">
                  <c:v>0.17</c:v>
                </c:pt>
                <c:pt idx="52" formatCode="_(* #,##0_);_(* \(#,##0\);_(* &quot;-&quot;??_);_(@_)">
                  <c:v>0.18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Jap!$C$3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Jap!$D$3:$BD$3</c:f>
              <c:numCache>
                <c:formatCode>#,##0</c:formatCode>
                <c:ptCount val="53"/>
                <c:pt idx="0">
                  <c:v>1708</c:v>
                </c:pt>
                <c:pt idx="1">
                  <c:v>2109</c:v>
                </c:pt>
                <c:pt idx="2">
                  <c:v>2396</c:v>
                </c:pt>
                <c:pt idx="3">
                  <c:v>3076</c:v>
                </c:pt>
                <c:pt idx="4">
                  <c:v>3223</c:v>
                </c:pt>
                <c:pt idx="5">
                  <c:v>2887</c:v>
                </c:pt>
                <c:pt idx="6">
                  <c:v>3837</c:v>
                </c:pt>
                <c:pt idx="7">
                  <c:v>4582</c:v>
                </c:pt>
                <c:pt idx="8">
                  <c:v>5287</c:v>
                </c:pt>
                <c:pt idx="9">
                  <c:v>5975</c:v>
                </c:pt>
                <c:pt idx="10">
                  <c:v>5173</c:v>
                </c:pt>
                <c:pt idx="11">
                  <c:v>5416</c:v>
                </c:pt>
                <c:pt idx="12">
                  <c:v>6881</c:v>
                </c:pt>
                <c:pt idx="13">
                  <c:v>8210</c:v>
                </c:pt>
                <c:pt idx="14">
                  <c:v>7388</c:v>
                </c:pt>
                <c:pt idx="15">
                  <c:v>7879</c:v>
                </c:pt>
                <c:pt idx="16">
                  <c:v>8874</c:v>
                </c:pt>
                <c:pt idx="17">
                  <c:v>9717</c:v>
                </c:pt>
                <c:pt idx="18">
                  <c:v>10936</c:v>
                </c:pt>
                <c:pt idx="19">
                  <c:v>11876</c:v>
                </c:pt>
                <c:pt idx="20">
                  <c:v>13989</c:v>
                </c:pt>
                <c:pt idx="21">
                  <c:v>12953</c:v>
                </c:pt>
                <c:pt idx="22">
                  <c:v>14537</c:v>
                </c:pt>
                <c:pt idx="23">
                  <c:v>14634</c:v>
                </c:pt>
                <c:pt idx="24">
                  <c:v>13955</c:v>
                </c:pt>
                <c:pt idx="25">
                  <c:v>14553</c:v>
                </c:pt>
                <c:pt idx="26">
                  <c:v>15500</c:v>
                </c:pt>
                <c:pt idx="27">
                  <c:v>16697</c:v>
                </c:pt>
                <c:pt idx="28">
                  <c:v>15900</c:v>
                </c:pt>
                <c:pt idx="29">
                  <c:v>15993</c:v>
                </c:pt>
                <c:pt idx="30">
                  <c:v>16345</c:v>
                </c:pt>
                <c:pt idx="31">
                  <c:v>16546</c:v>
                </c:pt>
                <c:pt idx="32">
                  <c:v>16760</c:v>
                </c:pt>
                <c:pt idx="33">
                  <c:v>16165</c:v>
                </c:pt>
                <c:pt idx="34">
                  <c:v>16481</c:v>
                </c:pt>
                <c:pt idx="35">
                  <c:v>15976</c:v>
                </c:pt>
                <c:pt idx="36">
                  <c:v>15963</c:v>
                </c:pt>
                <c:pt idx="37">
                  <c:v>16422</c:v>
                </c:pt>
                <c:pt idx="38">
                  <c:v>16336</c:v>
                </c:pt>
                <c:pt idx="39">
                  <c:v>16117</c:v>
                </c:pt>
                <c:pt idx="40">
                  <c:v>16340</c:v>
                </c:pt>
                <c:pt idx="41">
                  <c:v>16395</c:v>
                </c:pt>
                <c:pt idx="42">
                  <c:v>16863</c:v>
                </c:pt>
                <c:pt idx="43">
                  <c:v>16781</c:v>
                </c:pt>
                <c:pt idx="44">
                  <c:v>16485</c:v>
                </c:pt>
                <c:pt idx="45">
                  <c:v>16617</c:v>
                </c:pt>
                <c:pt idx="46">
                  <c:v>16713</c:v>
                </c:pt>
                <c:pt idx="47">
                  <c:v>16614</c:v>
                </c:pt>
                <c:pt idx="48">
                  <c:v>16533</c:v>
                </c:pt>
                <c:pt idx="49">
                  <c:v>15979</c:v>
                </c:pt>
                <c:pt idx="50" formatCode="_(* #,##0_);_(* \(#,##0\);_(* &quot;-&quot;??_);_(@_)">
                  <c:v>15284.561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Jap!$C$4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Jap!$D$4:$BD$4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6</c:v>
                </c:pt>
                <c:pt idx="9">
                  <c:v>3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6</c:v>
                </c:pt>
                <c:pt idx="46">
                  <c:v>2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Jap!$C$5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Jap!$D$5:$BD$5</c:f>
              <c:numCache>
                <c:formatCode>#,##0</c:formatCode>
                <c:ptCount val="53"/>
                <c:pt idx="0">
                  <c:v>1821</c:v>
                </c:pt>
                <c:pt idx="1">
                  <c:v>2220</c:v>
                </c:pt>
                <c:pt idx="2">
                  <c:v>2495</c:v>
                </c:pt>
                <c:pt idx="3">
                  <c:v>3132</c:v>
                </c:pt>
                <c:pt idx="4">
                  <c:v>3287</c:v>
                </c:pt>
                <c:pt idx="5">
                  <c:v>2956</c:v>
                </c:pt>
                <c:pt idx="6">
                  <c:v>3989</c:v>
                </c:pt>
                <c:pt idx="7">
                  <c:v>4450</c:v>
                </c:pt>
                <c:pt idx="8">
                  <c:v>5375</c:v>
                </c:pt>
                <c:pt idx="9">
                  <c:v>5927</c:v>
                </c:pt>
                <c:pt idx="10">
                  <c:v>5282</c:v>
                </c:pt>
                <c:pt idx="11">
                  <c:v>5460</c:v>
                </c:pt>
                <c:pt idx="12">
                  <c:v>6795</c:v>
                </c:pt>
                <c:pt idx="13">
                  <c:v>7825</c:v>
                </c:pt>
                <c:pt idx="14">
                  <c:v>7415</c:v>
                </c:pt>
                <c:pt idx="15">
                  <c:v>7925</c:v>
                </c:pt>
                <c:pt idx="16">
                  <c:v>8764</c:v>
                </c:pt>
                <c:pt idx="17">
                  <c:v>9674</c:v>
                </c:pt>
                <c:pt idx="18">
                  <c:v>10730</c:v>
                </c:pt>
                <c:pt idx="19">
                  <c:v>11795</c:v>
                </c:pt>
                <c:pt idx="20">
                  <c:v>13679</c:v>
                </c:pt>
                <c:pt idx="21">
                  <c:v>13557</c:v>
                </c:pt>
                <c:pt idx="22">
                  <c:v>14224</c:v>
                </c:pt>
                <c:pt idx="23">
                  <c:v>14637</c:v>
                </c:pt>
                <c:pt idx="24">
                  <c:v>14192</c:v>
                </c:pt>
                <c:pt idx="25">
                  <c:v>14372</c:v>
                </c:pt>
                <c:pt idx="26">
                  <c:v>15505</c:v>
                </c:pt>
                <c:pt idx="27">
                  <c:v>16600</c:v>
                </c:pt>
                <c:pt idx="28">
                  <c:v>15950</c:v>
                </c:pt>
                <c:pt idx="29">
                  <c:v>15743</c:v>
                </c:pt>
                <c:pt idx="30">
                  <c:v>16379</c:v>
                </c:pt>
                <c:pt idx="31">
                  <c:v>16530</c:v>
                </c:pt>
                <c:pt idx="32">
                  <c:v>16850</c:v>
                </c:pt>
                <c:pt idx="33">
                  <c:v>16450</c:v>
                </c:pt>
                <c:pt idx="34">
                  <c:v>16450</c:v>
                </c:pt>
                <c:pt idx="35">
                  <c:v>16100</c:v>
                </c:pt>
                <c:pt idx="36">
                  <c:v>16100</c:v>
                </c:pt>
                <c:pt idx="37">
                  <c:v>15900</c:v>
                </c:pt>
                <c:pt idx="38">
                  <c:v>16436</c:v>
                </c:pt>
                <c:pt idx="39">
                  <c:v>16317</c:v>
                </c:pt>
                <c:pt idx="40">
                  <c:v>16200</c:v>
                </c:pt>
                <c:pt idx="41">
                  <c:v>16300</c:v>
                </c:pt>
                <c:pt idx="42">
                  <c:v>16800</c:v>
                </c:pt>
                <c:pt idx="43">
                  <c:v>17200</c:v>
                </c:pt>
                <c:pt idx="44">
                  <c:v>16500</c:v>
                </c:pt>
                <c:pt idx="45">
                  <c:v>16700</c:v>
                </c:pt>
                <c:pt idx="46">
                  <c:v>16500</c:v>
                </c:pt>
                <c:pt idx="47">
                  <c:v>16600</c:v>
                </c:pt>
                <c:pt idx="48">
                  <c:v>16700</c:v>
                </c:pt>
                <c:pt idx="49">
                  <c:v>16000</c:v>
                </c:pt>
                <c:pt idx="50" formatCode="_(* #,##0_);_(* \(#,##0\);_(* &quot;-&quot;??_);_(@_)">
                  <c:v>15284.726000000001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199984"/>
        <c:axId val="314200376"/>
      </c:lineChart>
      <c:catAx>
        <c:axId val="314199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0376"/>
        <c:crosses val="autoZero"/>
        <c:auto val="1"/>
        <c:lblAlgn val="ctr"/>
        <c:lblOffset val="100"/>
        <c:noMultiLvlLbl val="0"/>
      </c:catAx>
      <c:valAx>
        <c:axId val="31420037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19998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91165128933230188"/>
          <c:h val="0.10780685832101061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2"/>
          <c:order val="1"/>
          <c:tx>
            <c:strRef>
              <c:f>Jap!$C$6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Jap!$D$6:$BD$6</c:f>
              <c:numCache>
                <c:formatCode>#,##0</c:formatCode>
                <c:ptCount val="53"/>
                <c:pt idx="0">
                  <c:v>3535</c:v>
                </c:pt>
                <c:pt idx="1">
                  <c:v>2843</c:v>
                </c:pt>
                <c:pt idx="2">
                  <c:v>3070</c:v>
                </c:pt>
                <c:pt idx="3">
                  <c:v>3167</c:v>
                </c:pt>
                <c:pt idx="4">
                  <c:v>3416</c:v>
                </c:pt>
                <c:pt idx="5">
                  <c:v>3078</c:v>
                </c:pt>
                <c:pt idx="6">
                  <c:v>3556</c:v>
                </c:pt>
                <c:pt idx="7">
                  <c:v>3499</c:v>
                </c:pt>
                <c:pt idx="8">
                  <c:v>3131</c:v>
                </c:pt>
                <c:pt idx="9">
                  <c:v>3448</c:v>
                </c:pt>
                <c:pt idx="10">
                  <c:v>3669</c:v>
                </c:pt>
                <c:pt idx="11">
                  <c:v>3555</c:v>
                </c:pt>
                <c:pt idx="12">
                  <c:v>3883</c:v>
                </c:pt>
                <c:pt idx="13">
                  <c:v>3728</c:v>
                </c:pt>
                <c:pt idx="14">
                  <c:v>3228</c:v>
                </c:pt>
                <c:pt idx="15">
                  <c:v>3220</c:v>
                </c:pt>
                <c:pt idx="16">
                  <c:v>3037</c:v>
                </c:pt>
                <c:pt idx="17">
                  <c:v>3150</c:v>
                </c:pt>
                <c:pt idx="18">
                  <c:v>3382</c:v>
                </c:pt>
                <c:pt idx="19">
                  <c:v>3336</c:v>
                </c:pt>
                <c:pt idx="20">
                  <c:v>3207</c:v>
                </c:pt>
                <c:pt idx="21">
                  <c:v>3504</c:v>
                </c:pt>
                <c:pt idx="22">
                  <c:v>3137</c:v>
                </c:pt>
                <c:pt idx="23">
                  <c:v>3338</c:v>
                </c:pt>
                <c:pt idx="24">
                  <c:v>3125</c:v>
                </c:pt>
                <c:pt idx="25">
                  <c:v>3054</c:v>
                </c:pt>
                <c:pt idx="26">
                  <c:v>3688</c:v>
                </c:pt>
                <c:pt idx="27">
                  <c:v>3431</c:v>
                </c:pt>
                <c:pt idx="28">
                  <c:v>3491</c:v>
                </c:pt>
                <c:pt idx="29">
                  <c:v>3165</c:v>
                </c:pt>
                <c:pt idx="30">
                  <c:v>2949</c:v>
                </c:pt>
                <c:pt idx="31">
                  <c:v>2705</c:v>
                </c:pt>
                <c:pt idx="32">
                  <c:v>2228</c:v>
                </c:pt>
                <c:pt idx="33">
                  <c:v>1993</c:v>
                </c:pt>
                <c:pt idx="34">
                  <c:v>1650</c:v>
                </c:pt>
                <c:pt idx="35">
                  <c:v>1514</c:v>
                </c:pt>
                <c:pt idx="36">
                  <c:v>1342</c:v>
                </c:pt>
                <c:pt idx="37">
                  <c:v>1341</c:v>
                </c:pt>
                <c:pt idx="38">
                  <c:v>1263</c:v>
                </c:pt>
                <c:pt idx="39">
                  <c:v>1280</c:v>
                </c:pt>
                <c:pt idx="40">
                  <c:v>1138</c:v>
                </c:pt>
                <c:pt idx="41">
                  <c:v>1063</c:v>
                </c:pt>
                <c:pt idx="42">
                  <c:v>1013</c:v>
                </c:pt>
                <c:pt idx="43" formatCode="General">
                  <c:v>778</c:v>
                </c:pt>
                <c:pt idx="44" formatCode="General">
                  <c:v>815</c:v>
                </c:pt>
                <c:pt idx="45" formatCode="General">
                  <c:v>651</c:v>
                </c:pt>
                <c:pt idx="46" formatCode="General">
                  <c:v>610</c:v>
                </c:pt>
                <c:pt idx="47" formatCode="General">
                  <c:v>581</c:v>
                </c:pt>
                <c:pt idx="48" formatCode="General">
                  <c:v>430</c:v>
                </c:pt>
                <c:pt idx="49" formatCode="General">
                  <c:v>304</c:v>
                </c:pt>
                <c:pt idx="50" formatCode="_(* #,##0_);_(* \(#,##0\);_(* &quot;-&quot;??_);_(@_)">
                  <c:v>325</c:v>
                </c:pt>
                <c:pt idx="51" formatCode="_(* #,##0_);_(* \(#,##0\);_(* &quot;-&quot;??_);_(@_)">
                  <c:v>81.37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Jap!$C$7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Jap!$D$7:$BD$7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165</c:v>
                </c:pt>
                <c:pt idx="14">
                  <c:v>243</c:v>
                </c:pt>
                <c:pt idx="15">
                  <c:v>250</c:v>
                </c:pt>
                <c:pt idx="16">
                  <c:v>52</c:v>
                </c:pt>
                <c:pt idx="17">
                  <c:v>32</c:v>
                </c:pt>
                <c:pt idx="18">
                  <c:v>32</c:v>
                </c:pt>
                <c:pt idx="19">
                  <c:v>32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2E-3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Jap!$C$8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Jap!$D$8:$BD$8</c:f>
              <c:numCache>
                <c:formatCode>#,##0</c:formatCode>
                <c:ptCount val="53"/>
                <c:pt idx="0">
                  <c:v>3428</c:v>
                </c:pt>
                <c:pt idx="1">
                  <c:v>3270</c:v>
                </c:pt>
                <c:pt idx="2">
                  <c:v>3005</c:v>
                </c:pt>
                <c:pt idx="3">
                  <c:v>3147</c:v>
                </c:pt>
                <c:pt idx="4">
                  <c:v>3386</c:v>
                </c:pt>
                <c:pt idx="5">
                  <c:v>3200</c:v>
                </c:pt>
                <c:pt idx="6">
                  <c:v>3241</c:v>
                </c:pt>
                <c:pt idx="7">
                  <c:v>3339</c:v>
                </c:pt>
                <c:pt idx="8">
                  <c:v>3463</c:v>
                </c:pt>
                <c:pt idx="9">
                  <c:v>3362</c:v>
                </c:pt>
                <c:pt idx="10">
                  <c:v>3541</c:v>
                </c:pt>
                <c:pt idx="11">
                  <c:v>3596</c:v>
                </c:pt>
                <c:pt idx="12">
                  <c:v>3707</c:v>
                </c:pt>
                <c:pt idx="13">
                  <c:v>3642</c:v>
                </c:pt>
                <c:pt idx="14">
                  <c:v>2902</c:v>
                </c:pt>
                <c:pt idx="15">
                  <c:v>3190</c:v>
                </c:pt>
                <c:pt idx="16">
                  <c:v>3141</c:v>
                </c:pt>
                <c:pt idx="17">
                  <c:v>3100</c:v>
                </c:pt>
                <c:pt idx="18">
                  <c:v>3325</c:v>
                </c:pt>
                <c:pt idx="19">
                  <c:v>3371</c:v>
                </c:pt>
                <c:pt idx="20">
                  <c:v>3295</c:v>
                </c:pt>
                <c:pt idx="21">
                  <c:v>3426</c:v>
                </c:pt>
                <c:pt idx="22">
                  <c:v>3290</c:v>
                </c:pt>
                <c:pt idx="23">
                  <c:v>3300</c:v>
                </c:pt>
                <c:pt idx="24">
                  <c:v>3187</c:v>
                </c:pt>
                <c:pt idx="25">
                  <c:v>3146</c:v>
                </c:pt>
                <c:pt idx="26">
                  <c:v>3445</c:v>
                </c:pt>
                <c:pt idx="27">
                  <c:v>3477</c:v>
                </c:pt>
                <c:pt idx="28">
                  <c:v>3408</c:v>
                </c:pt>
                <c:pt idx="29">
                  <c:v>3229</c:v>
                </c:pt>
                <c:pt idx="30">
                  <c:v>3027</c:v>
                </c:pt>
                <c:pt idx="31">
                  <c:v>2783</c:v>
                </c:pt>
                <c:pt idx="32">
                  <c:v>2301</c:v>
                </c:pt>
                <c:pt idx="33">
                  <c:v>2071</c:v>
                </c:pt>
                <c:pt idx="34">
                  <c:v>1675</c:v>
                </c:pt>
                <c:pt idx="35">
                  <c:v>1529</c:v>
                </c:pt>
                <c:pt idx="36">
                  <c:v>1401</c:v>
                </c:pt>
                <c:pt idx="37">
                  <c:v>1400</c:v>
                </c:pt>
                <c:pt idx="38">
                  <c:v>1250</c:v>
                </c:pt>
                <c:pt idx="39">
                  <c:v>1320</c:v>
                </c:pt>
                <c:pt idx="40">
                  <c:v>1190</c:v>
                </c:pt>
                <c:pt idx="41">
                  <c:v>1050</c:v>
                </c:pt>
                <c:pt idx="42">
                  <c:v>1025</c:v>
                </c:pt>
                <c:pt idx="43" formatCode="General">
                  <c:v>825</c:v>
                </c:pt>
                <c:pt idx="44" formatCode="General">
                  <c:v>815</c:v>
                </c:pt>
                <c:pt idx="45" formatCode="General">
                  <c:v>685</c:v>
                </c:pt>
                <c:pt idx="46" formatCode="General">
                  <c:v>625</c:v>
                </c:pt>
                <c:pt idx="47" formatCode="General">
                  <c:v>585</c:v>
                </c:pt>
                <c:pt idx="48" formatCode="General">
                  <c:v>450</c:v>
                </c:pt>
                <c:pt idx="49" formatCode="General">
                  <c:v>320</c:v>
                </c:pt>
                <c:pt idx="50" formatCode="_(* #,##0_);_(* \(#,##0\);_(* &quot;-&quot;??_);_(@_)">
                  <c:v>325</c:v>
                </c:pt>
                <c:pt idx="51" formatCode="_(* #,##0_);_(* \(#,##0\);_(* &quot;-&quot;??_);_(@_)">
                  <c:v>81.368000000000009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205080"/>
        <c:axId val="314205472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Jap!$C$1</c15:sqref>
                        </c15:formulaRef>
                      </c:ext>
                    </c:extLst>
                    <c:strCache>
                      <c:ptCount val="1"/>
                      <c:pt idx="0">
                        <c:v>Attribute</c:v>
                      </c:pt>
                    </c:strCache>
                  </c:strRef>
                </c:tx>
                <c:spPr>
                  <a:ln>
                    <a:solidFill>
                      <a:srgbClr val="C00000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Jap!$D$1:$BD$1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Jap!$D$1:$BD$1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314205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5472"/>
        <c:crosses val="autoZero"/>
        <c:auto val="1"/>
        <c:lblAlgn val="ctr"/>
        <c:lblOffset val="100"/>
        <c:noMultiLvlLbl val="0"/>
      </c:catAx>
      <c:valAx>
        <c:axId val="31420547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508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259502574676143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Jap!$C$9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Jap!$D$9:$BD$9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240</c:v>
                </c:pt>
                <c:pt idx="5">
                  <c:v>230</c:v>
                </c:pt>
                <c:pt idx="6">
                  <c:v>199</c:v>
                </c:pt>
                <c:pt idx="7">
                  <c:v>190</c:v>
                </c:pt>
                <c:pt idx="8">
                  <c:v>168</c:v>
                </c:pt>
                <c:pt idx="9">
                  <c:v>136</c:v>
                </c:pt>
                <c:pt idx="10">
                  <c:v>126</c:v>
                </c:pt>
                <c:pt idx="11">
                  <c:v>122</c:v>
                </c:pt>
                <c:pt idx="12">
                  <c:v>127</c:v>
                </c:pt>
                <c:pt idx="13">
                  <c:v>118</c:v>
                </c:pt>
                <c:pt idx="14">
                  <c:v>133</c:v>
                </c:pt>
                <c:pt idx="15">
                  <c:v>126</c:v>
                </c:pt>
                <c:pt idx="16">
                  <c:v>110</c:v>
                </c:pt>
                <c:pt idx="17">
                  <c:v>111</c:v>
                </c:pt>
                <c:pt idx="18">
                  <c:v>190</c:v>
                </c:pt>
                <c:pt idx="19">
                  <c:v>192</c:v>
                </c:pt>
                <c:pt idx="20">
                  <c:v>174</c:v>
                </c:pt>
                <c:pt idx="21">
                  <c:v>212</c:v>
                </c:pt>
                <c:pt idx="22">
                  <c:v>226</c:v>
                </c:pt>
                <c:pt idx="23">
                  <c:v>217</c:v>
                </c:pt>
                <c:pt idx="24">
                  <c:v>238</c:v>
                </c:pt>
                <c:pt idx="25">
                  <c:v>228</c:v>
                </c:pt>
                <c:pt idx="26">
                  <c:v>245</c:v>
                </c:pt>
                <c:pt idx="27">
                  <c:v>287</c:v>
                </c:pt>
                <c:pt idx="28">
                  <c:v>277</c:v>
                </c:pt>
                <c:pt idx="29">
                  <c:v>272</c:v>
                </c:pt>
                <c:pt idx="30">
                  <c:v>220</c:v>
                </c:pt>
                <c:pt idx="31">
                  <c:v>197</c:v>
                </c:pt>
                <c:pt idx="32">
                  <c:v>188</c:v>
                </c:pt>
                <c:pt idx="33">
                  <c:v>101</c:v>
                </c:pt>
                <c:pt idx="34">
                  <c:v>99</c:v>
                </c:pt>
                <c:pt idx="35">
                  <c:v>119</c:v>
                </c:pt>
                <c:pt idx="36">
                  <c:v>148</c:v>
                </c:pt>
                <c:pt idx="37">
                  <c:v>145</c:v>
                </c:pt>
                <c:pt idx="38">
                  <c:v>158</c:v>
                </c:pt>
                <c:pt idx="39">
                  <c:v>187</c:v>
                </c:pt>
                <c:pt idx="40">
                  <c:v>235</c:v>
                </c:pt>
                <c:pt idx="41">
                  <c:v>271</c:v>
                </c:pt>
                <c:pt idx="42">
                  <c:v>270</c:v>
                </c:pt>
                <c:pt idx="43">
                  <c:v>232</c:v>
                </c:pt>
                <c:pt idx="44">
                  <c:v>163</c:v>
                </c:pt>
                <c:pt idx="45">
                  <c:v>226</c:v>
                </c:pt>
                <c:pt idx="46">
                  <c:v>225</c:v>
                </c:pt>
                <c:pt idx="47">
                  <c:v>225</c:v>
                </c:pt>
                <c:pt idx="48">
                  <c:v>262</c:v>
                </c:pt>
                <c:pt idx="49">
                  <c:v>227</c:v>
                </c:pt>
                <c:pt idx="50" formatCode="_(* #,##0_);_(* \(#,##0\);_(* &quot;-&quot;??_);_(@_)">
                  <c:v>225</c:v>
                </c:pt>
                <c:pt idx="51" formatCode="_(* #,##0_);_(* \(#,##0\);_(* &quot;-&quot;??_);_(@_)">
                  <c:v>218.8</c:v>
                </c:pt>
                <c:pt idx="52" formatCode="_(* #,##0_);_(* \(#,##0\);_(* &quot;-&quot;??_);_(@_)">
                  <c:v>235.9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Jap!$C$10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Jap!$D$10:$BD$10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 formatCode="#,##0">
                  <c:v>1864</c:v>
                </c:pt>
                <c:pt idx="5" formatCode="#,##0">
                  <c:v>2178</c:v>
                </c:pt>
                <c:pt idx="6" formatCode="#,##0">
                  <c:v>2183</c:v>
                </c:pt>
                <c:pt idx="7" formatCode="#,##0">
                  <c:v>2435</c:v>
                </c:pt>
                <c:pt idx="8" formatCode="#,##0">
                  <c:v>2604</c:v>
                </c:pt>
                <c:pt idx="9" formatCode="#,##0">
                  <c:v>3257</c:v>
                </c:pt>
                <c:pt idx="10" formatCode="#,##0">
                  <c:v>3226</c:v>
                </c:pt>
                <c:pt idx="11" formatCode="#,##0">
                  <c:v>3396</c:v>
                </c:pt>
                <c:pt idx="12" formatCode="#,##0">
                  <c:v>3635</c:v>
                </c:pt>
                <c:pt idx="13" formatCode="#,##0">
                  <c:v>3244</c:v>
                </c:pt>
                <c:pt idx="14" formatCode="#,##0">
                  <c:v>3334</c:v>
                </c:pt>
                <c:pt idx="15" formatCode="#,##0">
                  <c:v>3554</c:v>
                </c:pt>
                <c:pt idx="16" formatCode="#,##0">
                  <c:v>3602</c:v>
                </c:pt>
                <c:pt idx="17" formatCode="#,##0">
                  <c:v>4260</c:v>
                </c:pt>
                <c:pt idx="18" formatCode="#,##0">
                  <c:v>4132</c:v>
                </c:pt>
                <c:pt idx="19" formatCode="#,##0">
                  <c:v>4165</c:v>
                </c:pt>
                <c:pt idx="20" formatCode="#,##0">
                  <c:v>4213</c:v>
                </c:pt>
                <c:pt idx="21" formatCode="#,##0">
                  <c:v>4486</c:v>
                </c:pt>
                <c:pt idx="22" formatCode="#,##0">
                  <c:v>4871</c:v>
                </c:pt>
                <c:pt idx="23" formatCode="#,##0">
                  <c:v>4728</c:v>
                </c:pt>
                <c:pt idx="24" formatCode="#,##0">
                  <c:v>4611</c:v>
                </c:pt>
                <c:pt idx="25" formatCode="#,##0">
                  <c:v>4796</c:v>
                </c:pt>
                <c:pt idx="26" formatCode="#,##0">
                  <c:v>4866</c:v>
                </c:pt>
                <c:pt idx="27" formatCode="#,##0">
                  <c:v>4847</c:v>
                </c:pt>
                <c:pt idx="28" formatCode="#,##0">
                  <c:v>4286</c:v>
                </c:pt>
                <c:pt idx="29" formatCode="#,##0">
                  <c:v>4667</c:v>
                </c:pt>
                <c:pt idx="30" formatCode="#,##0">
                  <c:v>4375</c:v>
                </c:pt>
                <c:pt idx="31" formatCode="#,##0">
                  <c:v>4672</c:v>
                </c:pt>
                <c:pt idx="32" formatCode="#,##0">
                  <c:v>4866</c:v>
                </c:pt>
                <c:pt idx="33" formatCode="#,##0">
                  <c:v>4855</c:v>
                </c:pt>
                <c:pt idx="34" formatCode="#,##0">
                  <c:v>4837</c:v>
                </c:pt>
                <c:pt idx="35" formatCode="#,##0">
                  <c:v>4776</c:v>
                </c:pt>
                <c:pt idx="36" formatCode="#,##0">
                  <c:v>5043</c:v>
                </c:pt>
                <c:pt idx="37" formatCode="#,##0">
                  <c:v>4873</c:v>
                </c:pt>
                <c:pt idx="38" formatCode="#,##0">
                  <c:v>4807</c:v>
                </c:pt>
                <c:pt idx="39" formatCode="#,##0">
                  <c:v>4907</c:v>
                </c:pt>
                <c:pt idx="40" formatCode="#,##0">
                  <c:v>4767</c:v>
                </c:pt>
                <c:pt idx="41" formatCode="#,##0">
                  <c:v>5023</c:v>
                </c:pt>
                <c:pt idx="42" formatCode="#,##0">
                  <c:v>5087</c:v>
                </c:pt>
                <c:pt idx="43" formatCode="#,##0">
                  <c:v>4688</c:v>
                </c:pt>
                <c:pt idx="44" formatCode="#,##0">
                  <c:v>4295</c:v>
                </c:pt>
                <c:pt idx="45" formatCode="#,##0">
                  <c:v>3962</c:v>
                </c:pt>
                <c:pt idx="46" formatCode="#,##0">
                  <c:v>4094</c:v>
                </c:pt>
                <c:pt idx="47" formatCode="#,##0">
                  <c:v>4014</c:v>
                </c:pt>
                <c:pt idx="48" formatCode="#,##0">
                  <c:v>3396</c:v>
                </c:pt>
                <c:pt idx="49" formatCode="#,##0">
                  <c:v>3401</c:v>
                </c:pt>
                <c:pt idx="50" formatCode="_(* #,##0_);_(* \(#,##0\);_(* &quot;-&quot;??_);_(@_)">
                  <c:v>3450</c:v>
                </c:pt>
                <c:pt idx="51" formatCode="_(* #,##0_);_(* \(#,##0\);_(* &quot;-&quot;??_);_(@_)">
                  <c:v>2830.7730000000001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Jap!$C$11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Jap!$D$11:$BD$11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4</c:v>
                </c:pt>
                <c:pt idx="6">
                  <c:v>1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20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7</c:v>
                </c:pt>
                <c:pt idx="47">
                  <c:v>5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1.4999999999999999E-2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Jap!$C$12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Jap!$D$12:$BD$12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 formatCode="#,##0">
                  <c:v>2016</c:v>
                </c:pt>
                <c:pt idx="5" formatCode="#,##0">
                  <c:v>2345</c:v>
                </c:pt>
                <c:pt idx="6" formatCode="#,##0">
                  <c:v>2403</c:v>
                </c:pt>
                <c:pt idx="7" formatCode="#,##0">
                  <c:v>2630</c:v>
                </c:pt>
                <c:pt idx="8" formatCode="#,##0">
                  <c:v>2844</c:v>
                </c:pt>
                <c:pt idx="9" formatCode="#,##0">
                  <c:v>3318</c:v>
                </c:pt>
                <c:pt idx="10" formatCode="#,##0">
                  <c:v>3354</c:v>
                </c:pt>
                <c:pt idx="11" formatCode="#,##0">
                  <c:v>3491</c:v>
                </c:pt>
                <c:pt idx="12" formatCode="#,##0">
                  <c:v>3639</c:v>
                </c:pt>
                <c:pt idx="13" formatCode="#,##0">
                  <c:v>3543</c:v>
                </c:pt>
                <c:pt idx="14" formatCode="#,##0">
                  <c:v>3439</c:v>
                </c:pt>
                <c:pt idx="15" formatCode="#,##0">
                  <c:v>3568</c:v>
                </c:pt>
                <c:pt idx="16" formatCode="#,##0">
                  <c:v>3733</c:v>
                </c:pt>
                <c:pt idx="17" formatCode="#,##0">
                  <c:v>4111</c:v>
                </c:pt>
                <c:pt idx="18" formatCode="#,##0">
                  <c:v>4333</c:v>
                </c:pt>
                <c:pt idx="19" formatCode="#,##0">
                  <c:v>4410</c:v>
                </c:pt>
                <c:pt idx="20" formatCode="#,##0">
                  <c:v>4407</c:v>
                </c:pt>
                <c:pt idx="21" formatCode="#,##0">
                  <c:v>4514</c:v>
                </c:pt>
                <c:pt idx="22" formatCode="#,##0">
                  <c:v>4936</c:v>
                </c:pt>
                <c:pt idx="23" formatCode="#,##0">
                  <c:v>4922</c:v>
                </c:pt>
                <c:pt idx="24" formatCode="#,##0">
                  <c:v>4918</c:v>
                </c:pt>
                <c:pt idx="25" formatCode="#,##0">
                  <c:v>5057</c:v>
                </c:pt>
                <c:pt idx="26" formatCode="#,##0">
                  <c:v>4994</c:v>
                </c:pt>
                <c:pt idx="27" formatCode="#,##0">
                  <c:v>5034</c:v>
                </c:pt>
                <c:pt idx="28" formatCode="#,##0">
                  <c:v>4724</c:v>
                </c:pt>
                <c:pt idx="29" formatCode="#,##0">
                  <c:v>4968</c:v>
                </c:pt>
                <c:pt idx="30" formatCode="#,##0">
                  <c:v>4624</c:v>
                </c:pt>
                <c:pt idx="31" formatCode="#,##0">
                  <c:v>4834</c:v>
                </c:pt>
                <c:pt idx="32" formatCode="#,##0">
                  <c:v>5075</c:v>
                </c:pt>
                <c:pt idx="33" formatCode="#,##0">
                  <c:v>5008</c:v>
                </c:pt>
                <c:pt idx="34" formatCode="#,##0">
                  <c:v>5035</c:v>
                </c:pt>
                <c:pt idx="35" formatCode="#,##0">
                  <c:v>4965</c:v>
                </c:pt>
                <c:pt idx="36" formatCode="#,##0">
                  <c:v>5108</c:v>
                </c:pt>
                <c:pt idx="37" formatCode="#,##0">
                  <c:v>5020</c:v>
                </c:pt>
                <c:pt idx="38" formatCode="#,##0">
                  <c:v>4980</c:v>
                </c:pt>
                <c:pt idx="39" formatCode="#,##0">
                  <c:v>5050</c:v>
                </c:pt>
                <c:pt idx="40" formatCode="#,##0">
                  <c:v>5075</c:v>
                </c:pt>
                <c:pt idx="41" formatCode="#,##0">
                  <c:v>5213</c:v>
                </c:pt>
                <c:pt idx="42" formatCode="#,##0">
                  <c:v>5717</c:v>
                </c:pt>
                <c:pt idx="43" formatCode="#,##0">
                  <c:v>4931</c:v>
                </c:pt>
                <c:pt idx="44" formatCode="#,##0">
                  <c:v>4499</c:v>
                </c:pt>
                <c:pt idx="45" formatCode="#,##0">
                  <c:v>4190</c:v>
                </c:pt>
                <c:pt idx="46" formatCode="#,##0">
                  <c:v>4310</c:v>
                </c:pt>
                <c:pt idx="47" formatCode="#,##0">
                  <c:v>4218</c:v>
                </c:pt>
                <c:pt idx="48" formatCode="#,##0">
                  <c:v>3752</c:v>
                </c:pt>
                <c:pt idx="49" formatCode="#,##0">
                  <c:v>3719</c:v>
                </c:pt>
                <c:pt idx="50" formatCode="_(* #,##0_);_(* \(#,##0\);_(* &quot;-&quot;??_);_(@_)">
                  <c:v>3692</c:v>
                </c:pt>
                <c:pt idx="51" formatCode="_(* #,##0_);_(* \(#,##0\);_(* &quot;-&quot;??_);_(@_)">
                  <c:v>3049.5580000000004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206256"/>
        <c:axId val="314207040"/>
      </c:lineChart>
      <c:catAx>
        <c:axId val="314206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7040"/>
        <c:crosses val="autoZero"/>
        <c:auto val="1"/>
        <c:lblAlgn val="ctr"/>
        <c:lblOffset val="100"/>
        <c:noMultiLvlLbl val="0"/>
      </c:catAx>
      <c:valAx>
        <c:axId val="31420704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625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11228619511625235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2"/>
          <c:order val="1"/>
          <c:tx>
            <c:strRef>
              <c:f>Jap!$C$13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Jap!$D$13:$BD$13</c:f>
              <c:numCache>
                <c:formatCode>#,##0</c:formatCode>
                <c:ptCount val="53"/>
                <c:pt idx="0">
                  <c:v>11700</c:v>
                </c:pt>
                <c:pt idx="1">
                  <c:v>11301</c:v>
                </c:pt>
                <c:pt idx="2">
                  <c:v>11838</c:v>
                </c:pt>
                <c:pt idx="3">
                  <c:v>11659</c:v>
                </c:pt>
                <c:pt idx="4">
                  <c:v>11451</c:v>
                </c:pt>
                <c:pt idx="5">
                  <c:v>11292</c:v>
                </c:pt>
                <c:pt idx="6">
                  <c:v>11598</c:v>
                </c:pt>
                <c:pt idx="7">
                  <c:v>13152</c:v>
                </c:pt>
                <c:pt idx="8">
                  <c:v>13148</c:v>
                </c:pt>
                <c:pt idx="9">
                  <c:v>12743</c:v>
                </c:pt>
                <c:pt idx="10">
                  <c:v>11547</c:v>
                </c:pt>
                <c:pt idx="11">
                  <c:v>9907</c:v>
                </c:pt>
                <c:pt idx="12">
                  <c:v>10819</c:v>
                </c:pt>
                <c:pt idx="13">
                  <c:v>11056</c:v>
                </c:pt>
                <c:pt idx="14">
                  <c:v>11186</c:v>
                </c:pt>
                <c:pt idx="15">
                  <c:v>11980</c:v>
                </c:pt>
                <c:pt idx="16">
                  <c:v>10713</c:v>
                </c:pt>
                <c:pt idx="17">
                  <c:v>11916</c:v>
                </c:pt>
                <c:pt idx="18">
                  <c:v>11456</c:v>
                </c:pt>
                <c:pt idx="19">
                  <c:v>10882</c:v>
                </c:pt>
                <c:pt idx="20">
                  <c:v>8873</c:v>
                </c:pt>
                <c:pt idx="21">
                  <c:v>9337</c:v>
                </c:pt>
                <c:pt idx="22">
                  <c:v>9346</c:v>
                </c:pt>
                <c:pt idx="23">
                  <c:v>9433</c:v>
                </c:pt>
                <c:pt idx="24">
                  <c:v>10809</c:v>
                </c:pt>
                <c:pt idx="25">
                  <c:v>10612</c:v>
                </c:pt>
                <c:pt idx="26">
                  <c:v>10599</c:v>
                </c:pt>
                <c:pt idx="27">
                  <c:v>9671</c:v>
                </c:pt>
                <c:pt idx="28">
                  <c:v>9041</c:v>
                </c:pt>
                <c:pt idx="29">
                  <c:v>9416</c:v>
                </c:pt>
                <c:pt idx="30">
                  <c:v>9554</c:v>
                </c:pt>
                <c:pt idx="31">
                  <c:v>8740</c:v>
                </c:pt>
                <c:pt idx="32">
                  <c:v>9621</c:v>
                </c:pt>
                <c:pt idx="33">
                  <c:v>7129</c:v>
                </c:pt>
                <c:pt idx="34">
                  <c:v>10903</c:v>
                </c:pt>
                <c:pt idx="35">
                  <c:v>9781</c:v>
                </c:pt>
                <c:pt idx="36">
                  <c:v>9413</c:v>
                </c:pt>
                <c:pt idx="37">
                  <c:v>9123</c:v>
                </c:pt>
                <c:pt idx="38">
                  <c:v>8154</c:v>
                </c:pt>
                <c:pt idx="39">
                  <c:v>8350</c:v>
                </c:pt>
                <c:pt idx="40">
                  <c:v>8636</c:v>
                </c:pt>
                <c:pt idx="41">
                  <c:v>8242</c:v>
                </c:pt>
                <c:pt idx="42">
                  <c:v>8089</c:v>
                </c:pt>
                <c:pt idx="43">
                  <c:v>7091</c:v>
                </c:pt>
                <c:pt idx="44">
                  <c:v>7944</c:v>
                </c:pt>
                <c:pt idx="45">
                  <c:v>8257</c:v>
                </c:pt>
                <c:pt idx="46">
                  <c:v>7786</c:v>
                </c:pt>
                <c:pt idx="47">
                  <c:v>7930</c:v>
                </c:pt>
                <c:pt idx="48">
                  <c:v>8029</c:v>
                </c:pt>
                <c:pt idx="49">
                  <c:v>7711</c:v>
                </c:pt>
                <c:pt idx="50" formatCode="_(* #,##0_);_(* \(#,##0\);_(* &quot;-&quot;??_);_(@_)">
                  <c:v>7720</c:v>
                </c:pt>
                <c:pt idx="51" formatCode="_(* #,##0_);_(* \(#,##0\);_(* &quot;-&quot;??_);_(@_)">
                  <c:v>10500</c:v>
                </c:pt>
                <c:pt idx="52" formatCode="_(* #,##0_);_(* \(#,##0\);_(* &quot;-&quot;??_);_(@_)">
                  <c:v>10654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Jap!$C$14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Jap!$D$14:$BD$14</c:f>
              <c:numCache>
                <c:formatCode>General</c:formatCode>
                <c:ptCount val="53"/>
                <c:pt idx="0">
                  <c:v>140</c:v>
                </c:pt>
                <c:pt idx="1">
                  <c:v>173</c:v>
                </c:pt>
                <c:pt idx="2">
                  <c:v>177</c:v>
                </c:pt>
                <c:pt idx="3">
                  <c:v>410</c:v>
                </c:pt>
                <c:pt idx="4">
                  <c:v>880</c:v>
                </c:pt>
                <c:pt idx="5">
                  <c:v>893</c:v>
                </c:pt>
                <c:pt idx="6">
                  <c:v>475</c:v>
                </c:pt>
                <c:pt idx="7">
                  <c:v>298</c:v>
                </c:pt>
                <c:pt idx="8">
                  <c:v>52</c:v>
                </c:pt>
                <c:pt idx="9">
                  <c:v>15</c:v>
                </c:pt>
                <c:pt idx="10">
                  <c:v>10</c:v>
                </c:pt>
                <c:pt idx="11">
                  <c:v>0</c:v>
                </c:pt>
                <c:pt idx="12">
                  <c:v>24</c:v>
                </c:pt>
                <c:pt idx="13">
                  <c:v>57</c:v>
                </c:pt>
                <c:pt idx="14">
                  <c:v>35</c:v>
                </c:pt>
                <c:pt idx="15">
                  <c:v>20</c:v>
                </c:pt>
                <c:pt idx="16">
                  <c:v>21</c:v>
                </c:pt>
                <c:pt idx="17">
                  <c:v>64</c:v>
                </c:pt>
                <c:pt idx="18">
                  <c:v>18</c:v>
                </c:pt>
                <c:pt idx="19">
                  <c:v>14</c:v>
                </c:pt>
                <c:pt idx="20">
                  <c:v>75</c:v>
                </c:pt>
                <c:pt idx="21">
                  <c:v>66</c:v>
                </c:pt>
                <c:pt idx="22">
                  <c:v>14</c:v>
                </c:pt>
                <c:pt idx="23">
                  <c:v>169</c:v>
                </c:pt>
                <c:pt idx="24">
                  <c:v>18</c:v>
                </c:pt>
                <c:pt idx="25">
                  <c:v>20</c:v>
                </c:pt>
                <c:pt idx="26">
                  <c:v>18</c:v>
                </c:pt>
                <c:pt idx="27">
                  <c:v>16</c:v>
                </c:pt>
                <c:pt idx="28">
                  <c:v>16</c:v>
                </c:pt>
                <c:pt idx="29">
                  <c:v>18</c:v>
                </c:pt>
                <c:pt idx="30">
                  <c:v>17</c:v>
                </c:pt>
                <c:pt idx="31">
                  <c:v>18</c:v>
                </c:pt>
                <c:pt idx="32">
                  <c:v>18</c:v>
                </c:pt>
                <c:pt idx="33" formatCode="#,##0">
                  <c:v>2623</c:v>
                </c:pt>
                <c:pt idx="34">
                  <c:v>9</c:v>
                </c:pt>
                <c:pt idx="35">
                  <c:v>451</c:v>
                </c:pt>
                <c:pt idx="36">
                  <c:v>500</c:v>
                </c:pt>
                <c:pt idx="37">
                  <c:v>499</c:v>
                </c:pt>
                <c:pt idx="38">
                  <c:v>554</c:v>
                </c:pt>
                <c:pt idx="39">
                  <c:v>639</c:v>
                </c:pt>
                <c:pt idx="40">
                  <c:v>679</c:v>
                </c:pt>
                <c:pt idx="41">
                  <c:v>655</c:v>
                </c:pt>
                <c:pt idx="42">
                  <c:v>625</c:v>
                </c:pt>
                <c:pt idx="43">
                  <c:v>700</c:v>
                </c:pt>
                <c:pt idx="44">
                  <c:v>775</c:v>
                </c:pt>
                <c:pt idx="45">
                  <c:v>669</c:v>
                </c:pt>
                <c:pt idx="46">
                  <c:v>675</c:v>
                </c:pt>
                <c:pt idx="47">
                  <c:v>597</c:v>
                </c:pt>
                <c:pt idx="48">
                  <c:v>656</c:v>
                </c:pt>
                <c:pt idx="49">
                  <c:v>667</c:v>
                </c:pt>
                <c:pt idx="50" formatCode="_(* #,##0_);_(* \(#,##0\);_(* &quot;-&quot;??_);_(@_)">
                  <c:v>700</c:v>
                </c:pt>
                <c:pt idx="51" formatCode="_(* #,##0_);_(* \(#,##0\);_(* &quot;-&quot;??_);_(@_)">
                  <c:v>741.69100000000003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Jap!$C$15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Jap!$D$15:$BD$15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300</c:v>
                </c:pt>
                <c:pt idx="9">
                  <c:v>508</c:v>
                </c:pt>
                <c:pt idx="10">
                  <c:v>910</c:v>
                </c:pt>
                <c:pt idx="11">
                  <c:v>217</c:v>
                </c:pt>
                <c:pt idx="12">
                  <c:v>572</c:v>
                </c:pt>
                <c:pt idx="13">
                  <c:v>305</c:v>
                </c:pt>
                <c:pt idx="14">
                  <c:v>42</c:v>
                </c:pt>
                <c:pt idx="15">
                  <c:v>0</c:v>
                </c:pt>
                <c:pt idx="16">
                  <c:v>0</c:v>
                </c:pt>
                <c:pt idx="17">
                  <c:v>91</c:v>
                </c:pt>
                <c:pt idx="18">
                  <c:v>467</c:v>
                </c:pt>
                <c:pt idx="19">
                  <c:v>648</c:v>
                </c:pt>
                <c:pt idx="20">
                  <c:v>909</c:v>
                </c:pt>
                <c:pt idx="21">
                  <c:v>304</c:v>
                </c:pt>
                <c:pt idx="22">
                  <c:v>223</c:v>
                </c:pt>
                <c:pt idx="23">
                  <c:v>230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410</c:v>
                </c:pt>
                <c:pt idx="35">
                  <c:v>0</c:v>
                </c:pt>
                <c:pt idx="36">
                  <c:v>30</c:v>
                </c:pt>
                <c:pt idx="37">
                  <c:v>574</c:v>
                </c:pt>
                <c:pt idx="38">
                  <c:v>210</c:v>
                </c:pt>
                <c:pt idx="39">
                  <c:v>200</c:v>
                </c:pt>
                <c:pt idx="40">
                  <c:v>481</c:v>
                </c:pt>
                <c:pt idx="41">
                  <c:v>45</c:v>
                </c:pt>
                <c:pt idx="42">
                  <c:v>200</c:v>
                </c:pt>
                <c:pt idx="43">
                  <c:v>200</c:v>
                </c:pt>
                <c:pt idx="44">
                  <c:v>200</c:v>
                </c:pt>
                <c:pt idx="45">
                  <c:v>200</c:v>
                </c:pt>
                <c:pt idx="46">
                  <c:v>200</c:v>
                </c:pt>
                <c:pt idx="47">
                  <c:v>200</c:v>
                </c:pt>
                <c:pt idx="48">
                  <c:v>200</c:v>
                </c:pt>
                <c:pt idx="49">
                  <c:v>200</c:v>
                </c:pt>
                <c:pt idx="50" formatCode="_(* #,##0_);_(* \(#,##0\);_(* &quot;-&quot;??_);_(@_)">
                  <c:v>200</c:v>
                </c:pt>
                <c:pt idx="51" formatCode="_(* #,##0_);_(* \(#,##0\);_(* &quot;-&quot;??_);_(@_)">
                  <c:v>25.183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Jap!$C$16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Jap!$D$16:$BD$16</c:f>
              <c:numCache>
                <c:formatCode>#,##0</c:formatCode>
                <c:ptCount val="53"/>
                <c:pt idx="0">
                  <c:v>11900</c:v>
                </c:pt>
                <c:pt idx="1">
                  <c:v>11909</c:v>
                </c:pt>
                <c:pt idx="2">
                  <c:v>12115</c:v>
                </c:pt>
                <c:pt idx="3">
                  <c:v>12061</c:v>
                </c:pt>
                <c:pt idx="4">
                  <c:v>12186</c:v>
                </c:pt>
                <c:pt idx="5">
                  <c:v>11880</c:v>
                </c:pt>
                <c:pt idx="6">
                  <c:v>11700</c:v>
                </c:pt>
                <c:pt idx="7">
                  <c:v>11555</c:v>
                </c:pt>
                <c:pt idx="8">
                  <c:v>11187</c:v>
                </c:pt>
                <c:pt idx="9">
                  <c:v>10480</c:v>
                </c:pt>
                <c:pt idx="10">
                  <c:v>11690</c:v>
                </c:pt>
                <c:pt idx="11">
                  <c:v>12459</c:v>
                </c:pt>
                <c:pt idx="12">
                  <c:v>11829</c:v>
                </c:pt>
                <c:pt idx="13">
                  <c:v>11017</c:v>
                </c:pt>
                <c:pt idx="14">
                  <c:v>10924</c:v>
                </c:pt>
                <c:pt idx="15">
                  <c:v>10700</c:v>
                </c:pt>
                <c:pt idx="16">
                  <c:v>10466</c:v>
                </c:pt>
                <c:pt idx="17">
                  <c:v>10026</c:v>
                </c:pt>
                <c:pt idx="18">
                  <c:v>10299</c:v>
                </c:pt>
                <c:pt idx="19">
                  <c:v>10102</c:v>
                </c:pt>
                <c:pt idx="20">
                  <c:v>10100</c:v>
                </c:pt>
                <c:pt idx="21">
                  <c:v>10642</c:v>
                </c:pt>
                <c:pt idx="22">
                  <c:v>10774</c:v>
                </c:pt>
                <c:pt idx="23">
                  <c:v>10192</c:v>
                </c:pt>
                <c:pt idx="24">
                  <c:v>10199</c:v>
                </c:pt>
                <c:pt idx="25">
                  <c:v>10150</c:v>
                </c:pt>
                <c:pt idx="26">
                  <c:v>9707</c:v>
                </c:pt>
                <c:pt idx="27">
                  <c:v>9805</c:v>
                </c:pt>
                <c:pt idx="28">
                  <c:v>9619</c:v>
                </c:pt>
                <c:pt idx="29">
                  <c:v>9782</c:v>
                </c:pt>
                <c:pt idx="30">
                  <c:v>9580</c:v>
                </c:pt>
                <c:pt idx="31">
                  <c:v>9504</c:v>
                </c:pt>
                <c:pt idx="32">
                  <c:v>9667</c:v>
                </c:pt>
                <c:pt idx="33">
                  <c:v>9943</c:v>
                </c:pt>
                <c:pt idx="34">
                  <c:v>9109</c:v>
                </c:pt>
                <c:pt idx="35">
                  <c:v>8968</c:v>
                </c:pt>
                <c:pt idx="36">
                  <c:v>9000</c:v>
                </c:pt>
                <c:pt idx="37">
                  <c:v>9093</c:v>
                </c:pt>
                <c:pt idx="38">
                  <c:v>9290</c:v>
                </c:pt>
                <c:pt idx="39">
                  <c:v>9426</c:v>
                </c:pt>
                <c:pt idx="40">
                  <c:v>8297</c:v>
                </c:pt>
                <c:pt idx="41">
                  <c:v>8779</c:v>
                </c:pt>
                <c:pt idx="42">
                  <c:v>8742</c:v>
                </c:pt>
                <c:pt idx="43">
                  <c:v>8357</c:v>
                </c:pt>
                <c:pt idx="44">
                  <c:v>8300</c:v>
                </c:pt>
                <c:pt idx="45">
                  <c:v>8250</c:v>
                </c:pt>
                <c:pt idx="46">
                  <c:v>8250</c:v>
                </c:pt>
                <c:pt idx="47">
                  <c:v>8177</c:v>
                </c:pt>
                <c:pt idx="48">
                  <c:v>8326</c:v>
                </c:pt>
                <c:pt idx="49">
                  <c:v>8200</c:v>
                </c:pt>
                <c:pt idx="50" formatCode="_(* #,##0_);_(* \(#,##0\);_(* &quot;-&quot;??_);_(@_)">
                  <c:v>8125</c:v>
                </c:pt>
                <c:pt idx="51" formatCode="_(* #,##0_);_(* \(#,##0\);_(* &quot;-&quot;??_);_(@_)">
                  <c:v>11216.508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211352"/>
        <c:axId val="31421056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Jap!$C$1</c15:sqref>
                        </c15:formulaRef>
                      </c:ext>
                    </c:extLst>
                    <c:strCache>
                      <c:ptCount val="1"/>
                      <c:pt idx="0">
                        <c:v>Attribute</c:v>
                      </c:pt>
                    </c:strCache>
                  </c:strRef>
                </c:tx>
                <c:spPr>
                  <a:ln>
                    <a:solidFill>
                      <a:srgbClr val="C00000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Jap!$D$1:$BD$1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Jap!$D$1:$BD$1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314211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10568"/>
        <c:crosses val="autoZero"/>
        <c:auto val="1"/>
        <c:lblAlgn val="ctr"/>
        <c:lblOffset val="100"/>
        <c:noMultiLvlLbl val="0"/>
      </c:catAx>
      <c:valAx>
        <c:axId val="31421056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1135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259502574676143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2"/>
          <c:order val="1"/>
          <c:tx>
            <c:strRef>
              <c:f>Jap!$C$17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Jap!$D$17:$BD$17</c:f>
              <c:numCache>
                <c:formatCode>General</c:formatCode>
                <c:ptCount val="53"/>
                <c:pt idx="0">
                  <c:v>114</c:v>
                </c:pt>
                <c:pt idx="1">
                  <c:v>254</c:v>
                </c:pt>
                <c:pt idx="2">
                  <c:v>542</c:v>
                </c:pt>
                <c:pt idx="3">
                  <c:v>984</c:v>
                </c:pt>
                <c:pt idx="4" formatCode="#,##0">
                  <c:v>1308</c:v>
                </c:pt>
                <c:pt idx="5" formatCode="#,##0">
                  <c:v>1704</c:v>
                </c:pt>
                <c:pt idx="6" formatCode="#,##0">
                  <c:v>2651</c:v>
                </c:pt>
                <c:pt idx="7" formatCode="#,##0">
                  <c:v>2478</c:v>
                </c:pt>
                <c:pt idx="8" formatCode="#,##0">
                  <c:v>2500</c:v>
                </c:pt>
                <c:pt idx="9" formatCode="#,##0">
                  <c:v>3228</c:v>
                </c:pt>
                <c:pt idx="10" formatCode="#,##0">
                  <c:v>4159</c:v>
                </c:pt>
                <c:pt idx="11" formatCode="#,##0">
                  <c:v>3553</c:v>
                </c:pt>
                <c:pt idx="12" formatCode="#,##0">
                  <c:v>3612</c:v>
                </c:pt>
                <c:pt idx="13" formatCode="#,##0">
                  <c:v>4345</c:v>
                </c:pt>
                <c:pt idx="14" formatCode="#,##0">
                  <c:v>4015</c:v>
                </c:pt>
                <c:pt idx="15" formatCode="#,##0">
                  <c:v>3771</c:v>
                </c:pt>
                <c:pt idx="16" formatCode="#,##0">
                  <c:v>4984</c:v>
                </c:pt>
                <c:pt idx="17" formatCode="#,##0">
                  <c:v>5165</c:v>
                </c:pt>
                <c:pt idx="18" formatCode="#,##0">
                  <c:v>5153</c:v>
                </c:pt>
                <c:pt idx="19" formatCode="#,##0">
                  <c:v>5262</c:v>
                </c:pt>
                <c:pt idx="20" formatCode="#,##0">
                  <c:v>3183</c:v>
                </c:pt>
                <c:pt idx="21" formatCode="#,##0">
                  <c:v>3666</c:v>
                </c:pt>
                <c:pt idx="22" formatCode="#,##0">
                  <c:v>2748</c:v>
                </c:pt>
                <c:pt idx="23" formatCode="#,##0">
                  <c:v>3961</c:v>
                </c:pt>
                <c:pt idx="24" formatCode="#,##0">
                  <c:v>4621</c:v>
                </c:pt>
                <c:pt idx="25" formatCode="#,##0">
                  <c:v>5100</c:v>
                </c:pt>
                <c:pt idx="26" formatCode="#,##0">
                  <c:v>4405</c:v>
                </c:pt>
                <c:pt idx="27" formatCode="#,##0">
                  <c:v>3846</c:v>
                </c:pt>
                <c:pt idx="28" formatCode="#,##0">
                  <c:v>4137</c:v>
                </c:pt>
                <c:pt idx="29" formatCode="#,##0">
                  <c:v>3817</c:v>
                </c:pt>
                <c:pt idx="30" formatCode="#,##0">
                  <c:v>3404</c:v>
                </c:pt>
                <c:pt idx="31" formatCode="#,##0">
                  <c:v>3243</c:v>
                </c:pt>
                <c:pt idx="32" formatCode="#,##0">
                  <c:v>3220</c:v>
                </c:pt>
                <c:pt idx="33" formatCode="#,##0">
                  <c:v>2956</c:v>
                </c:pt>
                <c:pt idx="34" formatCode="#,##0">
                  <c:v>2298</c:v>
                </c:pt>
                <c:pt idx="35" formatCode="#,##0">
                  <c:v>2542</c:v>
                </c:pt>
                <c:pt idx="36" formatCode="#,##0">
                  <c:v>2774</c:v>
                </c:pt>
                <c:pt idx="37" formatCode="#,##0">
                  <c:v>2769</c:v>
                </c:pt>
                <c:pt idx="38" formatCode="#,##0">
                  <c:v>2453</c:v>
                </c:pt>
                <c:pt idx="39" formatCode="#,##0">
                  <c:v>2206</c:v>
                </c:pt>
                <c:pt idx="40" formatCode="#,##0">
                  <c:v>1983</c:v>
                </c:pt>
                <c:pt idx="41" formatCode="#,##0">
                  <c:v>1776</c:v>
                </c:pt>
                <c:pt idx="42" formatCode="#,##0">
                  <c:v>1562</c:v>
                </c:pt>
                <c:pt idx="43" formatCode="#,##0">
                  <c:v>1434</c:v>
                </c:pt>
                <c:pt idx="44" formatCode="#,##0">
                  <c:v>1374</c:v>
                </c:pt>
                <c:pt idx="45" formatCode="#,##0">
                  <c:v>1393</c:v>
                </c:pt>
                <c:pt idx="46" formatCode="#,##0">
                  <c:v>1276</c:v>
                </c:pt>
                <c:pt idx="47" formatCode="#,##0">
                  <c:v>1084</c:v>
                </c:pt>
                <c:pt idx="48" formatCode="#,##0">
                  <c:v>1629</c:v>
                </c:pt>
                <c:pt idx="49" formatCode="#,##0">
                  <c:v>1649</c:v>
                </c:pt>
                <c:pt idx="50" formatCode="_(* #,##0_);_(* \(#,##0\);_(* &quot;-&quot;??_);_(@_)">
                  <c:v>1600</c:v>
                </c:pt>
                <c:pt idx="51" formatCode="_(* #,##0_);_(* \(#,##0\);_(* &quot;-&quot;??_);_(@_)">
                  <c:v>1395.8409999999999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Jap!$C$18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Jap!$D$18:$BD$18</c:f>
              <c:numCache>
                <c:formatCode>General</c:formatCode>
                <c:ptCount val="53"/>
                <c:pt idx="0">
                  <c:v>114</c:v>
                </c:pt>
                <c:pt idx="1">
                  <c:v>254</c:v>
                </c:pt>
                <c:pt idx="2">
                  <c:v>543</c:v>
                </c:pt>
                <c:pt idx="3">
                  <c:v>977</c:v>
                </c:pt>
                <c:pt idx="4" formatCode="#,##0">
                  <c:v>1299</c:v>
                </c:pt>
                <c:pt idx="5" formatCode="#,##0">
                  <c:v>1611</c:v>
                </c:pt>
                <c:pt idx="6" formatCode="#,##0">
                  <c:v>2651</c:v>
                </c:pt>
                <c:pt idx="7" formatCode="#,##0">
                  <c:v>2526</c:v>
                </c:pt>
                <c:pt idx="8" formatCode="#,##0">
                  <c:v>2473</c:v>
                </c:pt>
                <c:pt idx="9" formatCode="#,##0">
                  <c:v>3140</c:v>
                </c:pt>
                <c:pt idx="10" formatCode="#,##0">
                  <c:v>4109</c:v>
                </c:pt>
                <c:pt idx="11" formatCode="#,##0">
                  <c:v>3640</c:v>
                </c:pt>
                <c:pt idx="12" formatCode="#,##0">
                  <c:v>3376</c:v>
                </c:pt>
                <c:pt idx="13" formatCode="#,##0">
                  <c:v>4283</c:v>
                </c:pt>
                <c:pt idx="14" formatCode="#,##0">
                  <c:v>4050</c:v>
                </c:pt>
                <c:pt idx="15" formatCode="#,##0">
                  <c:v>3940</c:v>
                </c:pt>
                <c:pt idx="16" formatCode="#,##0">
                  <c:v>4862</c:v>
                </c:pt>
                <c:pt idx="17" formatCode="#,##0">
                  <c:v>5024</c:v>
                </c:pt>
                <c:pt idx="18" formatCode="#,##0">
                  <c:v>5251</c:v>
                </c:pt>
                <c:pt idx="19" formatCode="#,##0">
                  <c:v>5236</c:v>
                </c:pt>
                <c:pt idx="20" formatCode="#,##0">
                  <c:v>3349</c:v>
                </c:pt>
                <c:pt idx="21" formatCode="#,##0">
                  <c:v>3650</c:v>
                </c:pt>
                <c:pt idx="22" formatCode="#,##0">
                  <c:v>2807</c:v>
                </c:pt>
                <c:pt idx="23" formatCode="#,##0">
                  <c:v>3961</c:v>
                </c:pt>
                <c:pt idx="24" formatCode="#,##0">
                  <c:v>4692</c:v>
                </c:pt>
                <c:pt idx="25" formatCode="#,##0">
                  <c:v>5000</c:v>
                </c:pt>
                <c:pt idx="26" formatCode="#,##0">
                  <c:v>4401</c:v>
                </c:pt>
                <c:pt idx="27" formatCode="#,##0">
                  <c:v>3792</c:v>
                </c:pt>
                <c:pt idx="28" formatCode="#,##0">
                  <c:v>4207</c:v>
                </c:pt>
                <c:pt idx="29" formatCode="#,##0">
                  <c:v>3698</c:v>
                </c:pt>
                <c:pt idx="30" formatCode="#,##0">
                  <c:v>3404</c:v>
                </c:pt>
                <c:pt idx="31" formatCode="#,##0">
                  <c:v>3218</c:v>
                </c:pt>
                <c:pt idx="32" formatCode="#,##0">
                  <c:v>3208</c:v>
                </c:pt>
                <c:pt idx="33" formatCode="#,##0">
                  <c:v>3104</c:v>
                </c:pt>
                <c:pt idx="34" formatCode="#,##0">
                  <c:v>2475</c:v>
                </c:pt>
                <c:pt idx="35" formatCode="#,##0">
                  <c:v>2392</c:v>
                </c:pt>
                <c:pt idx="36" formatCode="#,##0">
                  <c:v>2637</c:v>
                </c:pt>
                <c:pt idx="37" formatCode="#,##0">
                  <c:v>2800</c:v>
                </c:pt>
                <c:pt idx="38" formatCode="#,##0">
                  <c:v>2500</c:v>
                </c:pt>
                <c:pt idx="39" formatCode="#,##0">
                  <c:v>2200</c:v>
                </c:pt>
                <c:pt idx="40" formatCode="#,##0">
                  <c:v>2045</c:v>
                </c:pt>
                <c:pt idx="41" formatCode="#,##0">
                  <c:v>1775</c:v>
                </c:pt>
                <c:pt idx="42" formatCode="#,##0">
                  <c:v>1575</c:v>
                </c:pt>
                <c:pt idx="43" formatCode="#,##0">
                  <c:v>1500</c:v>
                </c:pt>
                <c:pt idx="44" formatCode="#,##0">
                  <c:v>1400</c:v>
                </c:pt>
                <c:pt idx="45" formatCode="#,##0">
                  <c:v>1400</c:v>
                </c:pt>
                <c:pt idx="46" formatCode="#,##0">
                  <c:v>1350</c:v>
                </c:pt>
                <c:pt idx="47" formatCode="#,##0">
                  <c:v>1100</c:v>
                </c:pt>
                <c:pt idx="48" formatCode="#,##0">
                  <c:v>1600</c:v>
                </c:pt>
                <c:pt idx="49" formatCode="#,##0">
                  <c:v>1650</c:v>
                </c:pt>
                <c:pt idx="50" formatCode="_(* #,##0_);_(* \(#,##0\);_(* &quot;-&quot;??_);_(@_)">
                  <c:v>1600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210960"/>
        <c:axId val="314209784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Jap!$C$1</c15:sqref>
                        </c15:formulaRef>
                      </c:ext>
                    </c:extLst>
                    <c:strCache>
                      <c:ptCount val="1"/>
                      <c:pt idx="0">
                        <c:v>Attribute</c:v>
                      </c:pt>
                    </c:strCache>
                  </c:strRef>
                </c:tx>
                <c:spPr>
                  <a:ln>
                    <a:solidFill>
                      <a:srgbClr val="C00000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Jap!$D$1:$BD$1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Jap!$D$1:$BD$1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314210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9784"/>
        <c:crosses val="autoZero"/>
        <c:auto val="1"/>
        <c:lblAlgn val="ctr"/>
        <c:lblOffset val="100"/>
        <c:noMultiLvlLbl val="0"/>
      </c:catAx>
      <c:valAx>
        <c:axId val="3142097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1096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78"/>
          <c:w val="0.2259502574676143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19"/>
          <c:w val="0.8452459084856948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Jap!$C$19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Jap!$D$1:$BB$1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Jap!$D$19:$BB$19</c:f>
              <c:numCache>
                <c:formatCode>_(* #,##0_);_(* \(#,##0\);_(* "-"??_);_(@_)</c:formatCode>
                <c:ptCount val="51"/>
                <c:pt idx="0">
                  <c:v>1447.3</c:v>
                </c:pt>
                <c:pt idx="1">
                  <c:v>1975.8</c:v>
                </c:pt>
                <c:pt idx="2">
                  <c:v>1642.6</c:v>
                </c:pt>
                <c:pt idx="3">
                  <c:v>3077.1</c:v>
                </c:pt>
                <c:pt idx="4">
                  <c:v>2694.2</c:v>
                </c:pt>
                <c:pt idx="5">
                  <c:v>2595.6</c:v>
                </c:pt>
                <c:pt idx="6">
                  <c:v>2830.1</c:v>
                </c:pt>
                <c:pt idx="7">
                  <c:v>2717.8</c:v>
                </c:pt>
                <c:pt idx="8">
                  <c:v>2652.9</c:v>
                </c:pt>
                <c:pt idx="9">
                  <c:v>2669</c:v>
                </c:pt>
                <c:pt idx="10">
                  <c:v>1906.1</c:v>
                </c:pt>
                <c:pt idx="11">
                  <c:v>2058.4</c:v>
                </c:pt>
                <c:pt idx="12">
                  <c:v>2045.6</c:v>
                </c:pt>
                <c:pt idx="13">
                  <c:v>1823</c:v>
                </c:pt>
                <c:pt idx="14">
                  <c:v>1973</c:v>
                </c:pt>
                <c:pt idx="15">
                  <c:v>1981</c:v>
                </c:pt>
                <c:pt idx="16">
                  <c:v>2328</c:v>
                </c:pt>
                <c:pt idx="17">
                  <c:v>2544</c:v>
                </c:pt>
                <c:pt idx="18">
                  <c:v>2311</c:v>
                </c:pt>
                <c:pt idx="19">
                  <c:v>2095</c:v>
                </c:pt>
                <c:pt idx="20">
                  <c:v>2237</c:v>
                </c:pt>
                <c:pt idx="21">
                  <c:v>2256</c:v>
                </c:pt>
                <c:pt idx="22">
                  <c:v>2526</c:v>
                </c:pt>
                <c:pt idx="23">
                  <c:v>2553</c:v>
                </c:pt>
                <c:pt idx="24">
                  <c:v>2638</c:v>
                </c:pt>
                <c:pt idx="25">
                  <c:v>2240</c:v>
                </c:pt>
                <c:pt idx="26">
                  <c:v>2374</c:v>
                </c:pt>
                <c:pt idx="27">
                  <c:v>2261</c:v>
                </c:pt>
                <c:pt idx="28">
                  <c:v>2684</c:v>
                </c:pt>
                <c:pt idx="29">
                  <c:v>1983</c:v>
                </c:pt>
                <c:pt idx="30">
                  <c:v>1894</c:v>
                </c:pt>
                <c:pt idx="31">
                  <c:v>1779</c:v>
                </c:pt>
                <c:pt idx="32">
                  <c:v>1640</c:v>
                </c:pt>
                <c:pt idx="33">
                  <c:v>1602</c:v>
                </c:pt>
                <c:pt idx="34">
                  <c:v>1622</c:v>
                </c:pt>
                <c:pt idx="35">
                  <c:v>1616</c:v>
                </c:pt>
                <c:pt idx="36">
                  <c:v>1437</c:v>
                </c:pt>
                <c:pt idx="37">
                  <c:v>1664</c:v>
                </c:pt>
                <c:pt idx="38">
                  <c:v>1571</c:v>
                </c:pt>
                <c:pt idx="39">
                  <c:v>1395</c:v>
                </c:pt>
                <c:pt idx="40">
                  <c:v>1499</c:v>
                </c:pt>
                <c:pt idx="41">
                  <c:v>1328</c:v>
                </c:pt>
                <c:pt idx="42">
                  <c:v>1389</c:v>
                </c:pt>
                <c:pt idx="43">
                  <c:v>1187</c:v>
                </c:pt>
                <c:pt idx="44">
                  <c:v>1214</c:v>
                </c:pt>
                <c:pt idx="45">
                  <c:v>1310</c:v>
                </c:pt>
                <c:pt idx="46">
                  <c:v>1500</c:v>
                </c:pt>
                <c:pt idx="47">
                  <c:v>1598</c:v>
                </c:pt>
                <c:pt idx="48">
                  <c:v>1515</c:v>
                </c:pt>
                <c:pt idx="49">
                  <c:v>1469.6</c:v>
                </c:pt>
                <c:pt idx="50">
                  <c:v>1000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Jap!$C$20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Jap!$D$1:$BB$1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Jap!$D$20:$BB$20</c:f>
              <c:numCache>
                <c:formatCode>_(* #,##0_);_(* \(#,##0\);_(* "-"??_);_(@_)</c:formatCode>
                <c:ptCount val="51"/>
                <c:pt idx="0">
                  <c:v>1306</c:v>
                </c:pt>
                <c:pt idx="1">
                  <c:v>1497</c:v>
                </c:pt>
                <c:pt idx="2">
                  <c:v>1500</c:v>
                </c:pt>
                <c:pt idx="3">
                  <c:v>1327</c:v>
                </c:pt>
                <c:pt idx="4">
                  <c:v>1625</c:v>
                </c:pt>
                <c:pt idx="5">
                  <c:v>1739</c:v>
                </c:pt>
                <c:pt idx="6">
                  <c:v>1816</c:v>
                </c:pt>
                <c:pt idx="7">
                  <c:v>2045</c:v>
                </c:pt>
                <c:pt idx="8">
                  <c:v>2077</c:v>
                </c:pt>
                <c:pt idx="9">
                  <c:v>2400</c:v>
                </c:pt>
                <c:pt idx="10">
                  <c:v>2498</c:v>
                </c:pt>
                <c:pt idx="11">
                  <c:v>2485</c:v>
                </c:pt>
                <c:pt idx="12">
                  <c:v>2522</c:v>
                </c:pt>
                <c:pt idx="13">
                  <c:v>2588</c:v>
                </c:pt>
                <c:pt idx="14">
                  <c:v>2724</c:v>
                </c:pt>
                <c:pt idx="15">
                  <c:v>2427</c:v>
                </c:pt>
                <c:pt idx="16">
                  <c:v>2173</c:v>
                </c:pt>
                <c:pt idx="17">
                  <c:v>2580</c:v>
                </c:pt>
                <c:pt idx="18">
                  <c:v>2530</c:v>
                </c:pt>
                <c:pt idx="19">
                  <c:v>2585</c:v>
                </c:pt>
                <c:pt idx="20">
                  <c:v>1668</c:v>
                </c:pt>
                <c:pt idx="21">
                  <c:v>2209</c:v>
                </c:pt>
                <c:pt idx="22">
                  <c:v>1770</c:v>
                </c:pt>
                <c:pt idx="23">
                  <c:v>1908</c:v>
                </c:pt>
                <c:pt idx="24">
                  <c:v>1859</c:v>
                </c:pt>
                <c:pt idx="25">
                  <c:v>1857</c:v>
                </c:pt>
                <c:pt idx="26">
                  <c:v>1695</c:v>
                </c:pt>
                <c:pt idx="27">
                  <c:v>1848</c:v>
                </c:pt>
                <c:pt idx="28">
                  <c:v>1909</c:v>
                </c:pt>
                <c:pt idx="29">
                  <c:v>1791</c:v>
                </c:pt>
                <c:pt idx="30">
                  <c:v>1762</c:v>
                </c:pt>
                <c:pt idx="31">
                  <c:v>1800</c:v>
                </c:pt>
                <c:pt idx="32">
                  <c:v>1773</c:v>
                </c:pt>
                <c:pt idx="33">
                  <c:v>1693</c:v>
                </c:pt>
                <c:pt idx="34">
                  <c:v>1703</c:v>
                </c:pt>
                <c:pt idx="35">
                  <c:v>1673</c:v>
                </c:pt>
                <c:pt idx="36">
                  <c:v>1608</c:v>
                </c:pt>
                <c:pt idx="37">
                  <c:v>1545</c:v>
                </c:pt>
                <c:pt idx="38">
                  <c:v>1521</c:v>
                </c:pt>
                <c:pt idx="39">
                  <c:v>1650</c:v>
                </c:pt>
                <c:pt idx="40">
                  <c:v>1486</c:v>
                </c:pt>
                <c:pt idx="41">
                  <c:v>1407</c:v>
                </c:pt>
                <c:pt idx="42">
                  <c:v>1483</c:v>
                </c:pt>
                <c:pt idx="43">
                  <c:v>1442</c:v>
                </c:pt>
                <c:pt idx="44">
                  <c:v>1328</c:v>
                </c:pt>
                <c:pt idx="45">
                  <c:v>1385</c:v>
                </c:pt>
                <c:pt idx="46">
                  <c:v>1405</c:v>
                </c:pt>
                <c:pt idx="47">
                  <c:v>1440</c:v>
                </c:pt>
                <c:pt idx="48">
                  <c:v>1452</c:v>
                </c:pt>
                <c:pt idx="49">
                  <c:v>1342</c:v>
                </c:pt>
                <c:pt idx="50">
                  <c:v>1355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Jap!$C$21</c:f>
              <c:strCache>
                <c:ptCount val="1"/>
                <c:pt idx="0">
                  <c:v>Total 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Jap!$D$1:$BB$1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Jap!$D$21:$BB$21</c:f>
              <c:numCache>
                <c:formatCode>_(* #,##0_);_(* \(#,##0\);_(* "-"??_);_(@_)</c:formatCode>
                <c:ptCount val="51"/>
                <c:pt idx="0">
                  <c:v>15</c:v>
                </c:pt>
                <c:pt idx="1">
                  <c:v>6</c:v>
                </c:pt>
                <c:pt idx="2">
                  <c:v>0</c:v>
                </c:pt>
                <c:pt idx="3">
                  <c:v>12</c:v>
                </c:pt>
                <c:pt idx="4">
                  <c:v>5</c:v>
                </c:pt>
                <c:pt idx="5">
                  <c:v>12</c:v>
                </c:pt>
                <c:pt idx="6">
                  <c:v>23</c:v>
                </c:pt>
                <c:pt idx="7">
                  <c:v>47</c:v>
                </c:pt>
                <c:pt idx="8">
                  <c:v>30</c:v>
                </c:pt>
                <c:pt idx="9">
                  <c:v>6</c:v>
                </c:pt>
                <c:pt idx="10">
                  <c:v>9</c:v>
                </c:pt>
                <c:pt idx="11">
                  <c:v>11</c:v>
                </c:pt>
                <c:pt idx="12">
                  <c:v>48</c:v>
                </c:pt>
                <c:pt idx="13">
                  <c:v>20</c:v>
                </c:pt>
                <c:pt idx="14">
                  <c:v>97</c:v>
                </c:pt>
                <c:pt idx="15">
                  <c:v>6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3</c:v>
                </c:pt>
                <c:pt idx="20">
                  <c:v>53</c:v>
                </c:pt>
                <c:pt idx="21">
                  <c:v>5</c:v>
                </c:pt>
                <c:pt idx="22">
                  <c:v>12</c:v>
                </c:pt>
                <c:pt idx="23">
                  <c:v>4</c:v>
                </c:pt>
                <c:pt idx="24">
                  <c:v>5</c:v>
                </c:pt>
                <c:pt idx="25">
                  <c:v>4</c:v>
                </c:pt>
                <c:pt idx="26">
                  <c:v>6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3</c:v>
                </c:pt>
                <c:pt idx="35">
                  <c:v>4</c:v>
                </c:pt>
                <c:pt idx="36">
                  <c:v>6</c:v>
                </c:pt>
                <c:pt idx="37">
                  <c:v>10</c:v>
                </c:pt>
                <c:pt idx="38">
                  <c:v>4</c:v>
                </c:pt>
                <c:pt idx="39">
                  <c:v>7</c:v>
                </c:pt>
                <c:pt idx="40">
                  <c:v>10</c:v>
                </c:pt>
                <c:pt idx="41">
                  <c:v>10</c:v>
                </c:pt>
                <c:pt idx="42">
                  <c:v>10</c:v>
                </c:pt>
                <c:pt idx="43">
                  <c:v>10</c:v>
                </c:pt>
                <c:pt idx="44">
                  <c:v>10</c:v>
                </c:pt>
                <c:pt idx="45">
                  <c:v>10</c:v>
                </c:pt>
                <c:pt idx="46">
                  <c:v>10</c:v>
                </c:pt>
                <c:pt idx="47">
                  <c:v>2</c:v>
                </c:pt>
                <c:pt idx="48">
                  <c:v>2</c:v>
                </c:pt>
                <c:pt idx="49">
                  <c:v>2</c:v>
                </c:pt>
                <c:pt idx="50">
                  <c:v>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Jap!$C$22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Jap!$D$1:$BB$1</c:f>
              <c:numCache>
                <c:formatCode>General</c:formatCode>
                <c:ptCount val="51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</c:numCache>
            </c:numRef>
          </c:cat>
          <c:val>
            <c:numRef>
              <c:f>Jap!$D$22:$BB$22</c:f>
              <c:numCache>
                <c:formatCode>#,##0</c:formatCode>
                <c:ptCount val="51"/>
                <c:pt idx="0">
                  <c:v>2738.3</c:v>
                </c:pt>
                <c:pt idx="1">
                  <c:v>3466.8</c:v>
                </c:pt>
                <c:pt idx="2">
                  <c:v>3142.6</c:v>
                </c:pt>
                <c:pt idx="3">
                  <c:v>4392.1000000000004</c:v>
                </c:pt>
                <c:pt idx="4">
                  <c:v>4314.2</c:v>
                </c:pt>
                <c:pt idx="5">
                  <c:v>4322.6000000000004</c:v>
                </c:pt>
                <c:pt idx="6">
                  <c:v>4623.1000000000004</c:v>
                </c:pt>
                <c:pt idx="7">
                  <c:v>4715.8</c:v>
                </c:pt>
                <c:pt idx="8">
                  <c:v>4699.8999999999996</c:v>
                </c:pt>
                <c:pt idx="9">
                  <c:v>5063</c:v>
                </c:pt>
                <c:pt idx="10">
                  <c:v>4395.1000000000004</c:v>
                </c:pt>
                <c:pt idx="11">
                  <c:v>4532.3999999999996</c:v>
                </c:pt>
                <c:pt idx="12">
                  <c:v>4519.6000000000004</c:v>
                </c:pt>
                <c:pt idx="13">
                  <c:v>4391</c:v>
                </c:pt>
                <c:pt idx="14">
                  <c:v>4600</c:v>
                </c:pt>
                <c:pt idx="15">
                  <c:v>4402</c:v>
                </c:pt>
                <c:pt idx="16">
                  <c:v>4501</c:v>
                </c:pt>
                <c:pt idx="17">
                  <c:v>5123</c:v>
                </c:pt>
                <c:pt idx="18">
                  <c:v>4840</c:v>
                </c:pt>
                <c:pt idx="19">
                  <c:v>4677</c:v>
                </c:pt>
                <c:pt idx="20">
                  <c:v>3852</c:v>
                </c:pt>
                <c:pt idx="21">
                  <c:v>4460</c:v>
                </c:pt>
                <c:pt idx="22">
                  <c:v>4284</c:v>
                </c:pt>
                <c:pt idx="23">
                  <c:v>4457</c:v>
                </c:pt>
                <c:pt idx="24">
                  <c:v>4492</c:v>
                </c:pt>
                <c:pt idx="25">
                  <c:v>4093</c:v>
                </c:pt>
                <c:pt idx="26">
                  <c:v>4063</c:v>
                </c:pt>
                <c:pt idx="27">
                  <c:v>4107</c:v>
                </c:pt>
                <c:pt idx="28">
                  <c:v>4591</c:v>
                </c:pt>
                <c:pt idx="29">
                  <c:v>3772</c:v>
                </c:pt>
                <c:pt idx="30">
                  <c:v>3655</c:v>
                </c:pt>
                <c:pt idx="31">
                  <c:v>3578</c:v>
                </c:pt>
                <c:pt idx="32">
                  <c:v>3412</c:v>
                </c:pt>
                <c:pt idx="33">
                  <c:v>3294</c:v>
                </c:pt>
                <c:pt idx="34">
                  <c:v>3322</c:v>
                </c:pt>
                <c:pt idx="35">
                  <c:v>3285</c:v>
                </c:pt>
                <c:pt idx="36">
                  <c:v>3039</c:v>
                </c:pt>
                <c:pt idx="37">
                  <c:v>3199</c:v>
                </c:pt>
                <c:pt idx="38">
                  <c:v>3088</c:v>
                </c:pt>
                <c:pt idx="39">
                  <c:v>3038</c:v>
                </c:pt>
                <c:pt idx="40">
                  <c:v>2975</c:v>
                </c:pt>
                <c:pt idx="41">
                  <c:v>2725</c:v>
                </c:pt>
                <c:pt idx="42">
                  <c:v>2862</c:v>
                </c:pt>
                <c:pt idx="43">
                  <c:v>2619</c:v>
                </c:pt>
                <c:pt idx="44">
                  <c:v>2532</c:v>
                </c:pt>
                <c:pt idx="45">
                  <c:v>2685</c:v>
                </c:pt>
                <c:pt idx="46">
                  <c:v>2895</c:v>
                </c:pt>
                <c:pt idx="47">
                  <c:v>3036</c:v>
                </c:pt>
                <c:pt idx="48">
                  <c:v>2965</c:v>
                </c:pt>
                <c:pt idx="49">
                  <c:v>2809.6</c:v>
                </c:pt>
                <c:pt idx="50" formatCode="_(* #,##0_);_(* \(#,##0\);_(* &quot;-&quot;??_);_(@_)">
                  <c:v>2353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211744"/>
        <c:axId val="314209392"/>
      </c:lineChart>
      <c:catAx>
        <c:axId val="314211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09392"/>
        <c:crosses val="autoZero"/>
        <c:auto val="1"/>
        <c:lblAlgn val="ctr"/>
        <c:lblOffset val="100"/>
        <c:noMultiLvlLbl val="0"/>
      </c:catAx>
      <c:valAx>
        <c:axId val="31420939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42117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"/>
          <c:w val="0.91165128933230188"/>
          <c:h val="0.107806858321010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27"/>
          <c:w val="0.84524590848569503"/>
          <c:h val="0.58597765443254024"/>
        </c:manualLayout>
      </c:layout>
      <c:lineChart>
        <c:grouping val="standard"/>
        <c:varyColors val="0"/>
        <c:ser>
          <c:idx val="2"/>
          <c:order val="1"/>
          <c:tx>
            <c:strRef>
              <c:f>Jap!$C$23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Jap!$D$23:$BD$23</c:f>
              <c:numCache>
                <c:formatCode>#,##0</c:formatCode>
                <c:ptCount val="53"/>
                <c:pt idx="0">
                  <c:v>1531</c:v>
                </c:pt>
                <c:pt idx="1">
                  <c:v>1781</c:v>
                </c:pt>
                <c:pt idx="2">
                  <c:v>1631</c:v>
                </c:pt>
                <c:pt idx="3" formatCode="General">
                  <c:v>716</c:v>
                </c:pt>
                <c:pt idx="4">
                  <c:v>1244</c:v>
                </c:pt>
                <c:pt idx="5">
                  <c:v>1287</c:v>
                </c:pt>
                <c:pt idx="6">
                  <c:v>1024</c:v>
                </c:pt>
                <c:pt idx="7" formatCode="General">
                  <c:v>997</c:v>
                </c:pt>
                <c:pt idx="8">
                  <c:v>1012</c:v>
                </c:pt>
                <c:pt idx="9" formatCode="General">
                  <c:v>758</c:v>
                </c:pt>
                <c:pt idx="10" formatCode="General">
                  <c:v>474</c:v>
                </c:pt>
                <c:pt idx="11" formatCode="General">
                  <c:v>440</c:v>
                </c:pt>
                <c:pt idx="12" formatCode="General">
                  <c:v>284</c:v>
                </c:pt>
                <c:pt idx="13" formatCode="General">
                  <c:v>202</c:v>
                </c:pt>
                <c:pt idx="14" formatCode="General">
                  <c:v>232</c:v>
                </c:pt>
                <c:pt idx="15" formatCode="General">
                  <c:v>241</c:v>
                </c:pt>
                <c:pt idx="16" formatCode="General">
                  <c:v>222</c:v>
                </c:pt>
                <c:pt idx="17" formatCode="General">
                  <c:v>236</c:v>
                </c:pt>
                <c:pt idx="18" formatCode="General">
                  <c:v>366</c:v>
                </c:pt>
                <c:pt idx="19" formatCode="General">
                  <c:v>541</c:v>
                </c:pt>
                <c:pt idx="20" formatCode="General">
                  <c:v>583</c:v>
                </c:pt>
                <c:pt idx="21" formatCode="General">
                  <c:v>587</c:v>
                </c:pt>
                <c:pt idx="22" formatCode="General">
                  <c:v>742</c:v>
                </c:pt>
                <c:pt idx="23" formatCode="General">
                  <c:v>695</c:v>
                </c:pt>
                <c:pt idx="24" formatCode="General">
                  <c:v>741</c:v>
                </c:pt>
                <c:pt idx="25" formatCode="General">
                  <c:v>874</c:v>
                </c:pt>
                <c:pt idx="26" formatCode="General">
                  <c:v>876</c:v>
                </c:pt>
                <c:pt idx="27" formatCode="General">
                  <c:v>864</c:v>
                </c:pt>
                <c:pt idx="28">
                  <c:v>1021</c:v>
                </c:pt>
                <c:pt idx="29" formatCode="General">
                  <c:v>985</c:v>
                </c:pt>
                <c:pt idx="30" formatCode="General">
                  <c:v>952</c:v>
                </c:pt>
                <c:pt idx="31" formatCode="General">
                  <c:v>759</c:v>
                </c:pt>
                <c:pt idx="32" formatCode="General">
                  <c:v>759</c:v>
                </c:pt>
                <c:pt idx="33" formatCode="General">
                  <c:v>638</c:v>
                </c:pt>
                <c:pt idx="34" formatCode="General">
                  <c:v>565</c:v>
                </c:pt>
                <c:pt idx="35" formatCode="General">
                  <c:v>444</c:v>
                </c:pt>
                <c:pt idx="36" formatCode="General">
                  <c:v>478</c:v>
                </c:pt>
                <c:pt idx="37" formatCode="General">
                  <c:v>573</c:v>
                </c:pt>
                <c:pt idx="38" formatCode="General">
                  <c:v>570</c:v>
                </c:pt>
                <c:pt idx="39" formatCode="General">
                  <c:v>583</c:v>
                </c:pt>
                <c:pt idx="40" formatCode="General">
                  <c:v>688</c:v>
                </c:pt>
                <c:pt idx="41" formatCode="General">
                  <c:v>700</c:v>
                </c:pt>
                <c:pt idx="42" formatCode="General">
                  <c:v>828</c:v>
                </c:pt>
                <c:pt idx="43" formatCode="General">
                  <c:v>855</c:v>
                </c:pt>
                <c:pt idx="44" formatCode="General">
                  <c:v>860</c:v>
                </c:pt>
                <c:pt idx="45" formatCode="General">
                  <c:v>875</c:v>
                </c:pt>
                <c:pt idx="46" formatCode="General">
                  <c:v>837</c:v>
                </c:pt>
                <c:pt idx="47" formatCode="General">
                  <c:v>910</c:v>
                </c:pt>
                <c:pt idx="48" formatCode="General">
                  <c:v>882</c:v>
                </c:pt>
                <c:pt idx="49" formatCode="General">
                  <c:v>675</c:v>
                </c:pt>
                <c:pt idx="50" formatCode="_(* #,##0_);_(* \(#,##0\);_(* &quot;-&quot;??_);_(@_)">
                  <c:v>568</c:v>
                </c:pt>
                <c:pt idx="51" formatCode="_(* #,##0_);_(* \(#,##0\);_(* &quot;-&quot;??_);_(@_)">
                  <c:v>746.3</c:v>
                </c:pt>
                <c:pt idx="52" formatCode="_(* #,##0_);_(* \(#,##0\);_(* &quot;-&quot;??_);_(@_)">
                  <c:v>857.8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Jap!$C$24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Jap!$D$24:$BD$24</c:f>
              <c:numCache>
                <c:formatCode>#,##0</c:formatCode>
                <c:ptCount val="53"/>
                <c:pt idx="0">
                  <c:v>2833</c:v>
                </c:pt>
                <c:pt idx="1">
                  <c:v>2772</c:v>
                </c:pt>
                <c:pt idx="2">
                  <c:v>2662</c:v>
                </c:pt>
                <c:pt idx="3">
                  <c:v>3918</c:v>
                </c:pt>
                <c:pt idx="4">
                  <c:v>3545</c:v>
                </c:pt>
                <c:pt idx="5">
                  <c:v>3526</c:v>
                </c:pt>
                <c:pt idx="6">
                  <c:v>4260</c:v>
                </c:pt>
                <c:pt idx="7">
                  <c:v>4029</c:v>
                </c:pt>
                <c:pt idx="8">
                  <c:v>4189</c:v>
                </c:pt>
                <c:pt idx="9">
                  <c:v>4424</c:v>
                </c:pt>
                <c:pt idx="10">
                  <c:v>4834</c:v>
                </c:pt>
                <c:pt idx="11">
                  <c:v>4964</c:v>
                </c:pt>
                <c:pt idx="12">
                  <c:v>5486</c:v>
                </c:pt>
                <c:pt idx="13">
                  <c:v>5353</c:v>
                </c:pt>
                <c:pt idx="14">
                  <c:v>5404</c:v>
                </c:pt>
                <c:pt idx="15">
                  <c:v>5923</c:v>
                </c:pt>
                <c:pt idx="16">
                  <c:v>5521</c:v>
                </c:pt>
                <c:pt idx="17">
                  <c:v>5764</c:v>
                </c:pt>
                <c:pt idx="18">
                  <c:v>5744</c:v>
                </c:pt>
                <c:pt idx="19">
                  <c:v>5599</c:v>
                </c:pt>
                <c:pt idx="20">
                  <c:v>5840</c:v>
                </c:pt>
                <c:pt idx="21">
                  <c:v>5577</c:v>
                </c:pt>
                <c:pt idx="22">
                  <c:v>5795</c:v>
                </c:pt>
                <c:pt idx="23">
                  <c:v>5857</c:v>
                </c:pt>
                <c:pt idx="24">
                  <c:v>5603</c:v>
                </c:pt>
                <c:pt idx="25">
                  <c:v>5532</c:v>
                </c:pt>
                <c:pt idx="26">
                  <c:v>5577</c:v>
                </c:pt>
                <c:pt idx="27">
                  <c:v>5497</c:v>
                </c:pt>
                <c:pt idx="28">
                  <c:v>5111</c:v>
                </c:pt>
                <c:pt idx="29">
                  <c:v>5413</c:v>
                </c:pt>
                <c:pt idx="30">
                  <c:v>5552</c:v>
                </c:pt>
                <c:pt idx="31">
                  <c:v>5873</c:v>
                </c:pt>
                <c:pt idx="32">
                  <c:v>5958</c:v>
                </c:pt>
                <c:pt idx="33">
                  <c:v>5993</c:v>
                </c:pt>
                <c:pt idx="34">
                  <c:v>6310</c:v>
                </c:pt>
                <c:pt idx="35">
                  <c:v>6101</c:v>
                </c:pt>
                <c:pt idx="36">
                  <c:v>6418</c:v>
                </c:pt>
                <c:pt idx="37">
                  <c:v>6082</c:v>
                </c:pt>
                <c:pt idx="38">
                  <c:v>5945</c:v>
                </c:pt>
                <c:pt idx="39">
                  <c:v>5929</c:v>
                </c:pt>
                <c:pt idx="40">
                  <c:v>5885</c:v>
                </c:pt>
                <c:pt idx="41">
                  <c:v>5836</c:v>
                </c:pt>
                <c:pt idx="42">
                  <c:v>5579</c:v>
                </c:pt>
                <c:pt idx="43">
                  <c:v>5751</c:v>
                </c:pt>
                <c:pt idx="44">
                  <c:v>5744</c:v>
                </c:pt>
                <c:pt idx="45">
                  <c:v>5469</c:v>
                </c:pt>
                <c:pt idx="46">
                  <c:v>5747</c:v>
                </c:pt>
                <c:pt idx="47">
                  <c:v>5701</c:v>
                </c:pt>
                <c:pt idx="48">
                  <c:v>5156</c:v>
                </c:pt>
                <c:pt idx="49">
                  <c:v>5502</c:v>
                </c:pt>
                <c:pt idx="50" formatCode="_(* #,##0_);_(* \(#,##0\);_(* &quot;-&quot;??_);_(@_)">
                  <c:v>5200</c:v>
                </c:pt>
                <c:pt idx="51" formatCode="_(* #,##0_);_(* \(#,##0\);_(* &quot;-&quot;??_);_(@_)">
                  <c:v>6214.22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Jap!$C$25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Jap!$D$25:$BD$25</c:f>
              <c:numCache>
                <c:formatCode>General</c:formatCode>
                <c:ptCount val="53"/>
                <c:pt idx="0">
                  <c:v>52</c:v>
                </c:pt>
                <c:pt idx="1">
                  <c:v>83</c:v>
                </c:pt>
                <c:pt idx="2">
                  <c:v>83</c:v>
                </c:pt>
                <c:pt idx="3">
                  <c:v>79</c:v>
                </c:pt>
                <c:pt idx="4">
                  <c:v>79</c:v>
                </c:pt>
                <c:pt idx="5">
                  <c:v>134</c:v>
                </c:pt>
                <c:pt idx="6">
                  <c:v>77</c:v>
                </c:pt>
                <c:pt idx="7">
                  <c:v>121</c:v>
                </c:pt>
                <c:pt idx="8">
                  <c:v>82</c:v>
                </c:pt>
                <c:pt idx="9">
                  <c:v>57</c:v>
                </c:pt>
                <c:pt idx="10">
                  <c:v>35</c:v>
                </c:pt>
                <c:pt idx="11">
                  <c:v>43</c:v>
                </c:pt>
                <c:pt idx="12">
                  <c:v>42</c:v>
                </c:pt>
                <c:pt idx="13">
                  <c:v>30</c:v>
                </c:pt>
                <c:pt idx="14">
                  <c:v>29</c:v>
                </c:pt>
                <c:pt idx="15">
                  <c:v>36</c:v>
                </c:pt>
                <c:pt idx="16">
                  <c:v>36</c:v>
                </c:pt>
                <c:pt idx="17">
                  <c:v>50</c:v>
                </c:pt>
                <c:pt idx="18">
                  <c:v>88</c:v>
                </c:pt>
                <c:pt idx="19">
                  <c:v>111</c:v>
                </c:pt>
                <c:pt idx="20">
                  <c:v>138</c:v>
                </c:pt>
                <c:pt idx="21">
                  <c:v>160</c:v>
                </c:pt>
                <c:pt idx="22">
                  <c:v>254</c:v>
                </c:pt>
                <c:pt idx="23">
                  <c:v>305</c:v>
                </c:pt>
                <c:pt idx="24">
                  <c:v>269</c:v>
                </c:pt>
                <c:pt idx="25">
                  <c:v>281</c:v>
                </c:pt>
                <c:pt idx="26">
                  <c:v>391</c:v>
                </c:pt>
                <c:pt idx="27">
                  <c:v>393</c:v>
                </c:pt>
                <c:pt idx="28">
                  <c:v>404</c:v>
                </c:pt>
                <c:pt idx="29">
                  <c:v>398</c:v>
                </c:pt>
                <c:pt idx="30">
                  <c:v>435</c:v>
                </c:pt>
                <c:pt idx="31">
                  <c:v>448</c:v>
                </c:pt>
                <c:pt idx="32">
                  <c:v>453</c:v>
                </c:pt>
                <c:pt idx="33">
                  <c:v>443</c:v>
                </c:pt>
                <c:pt idx="34">
                  <c:v>472</c:v>
                </c:pt>
                <c:pt idx="35">
                  <c:v>576</c:v>
                </c:pt>
                <c:pt idx="36">
                  <c:v>408</c:v>
                </c:pt>
                <c:pt idx="37">
                  <c:v>385</c:v>
                </c:pt>
                <c:pt idx="38">
                  <c:v>417</c:v>
                </c:pt>
                <c:pt idx="39">
                  <c:v>490</c:v>
                </c:pt>
                <c:pt idx="40">
                  <c:v>453</c:v>
                </c:pt>
                <c:pt idx="41">
                  <c:v>465</c:v>
                </c:pt>
                <c:pt idx="42">
                  <c:v>460</c:v>
                </c:pt>
                <c:pt idx="43">
                  <c:v>463</c:v>
                </c:pt>
                <c:pt idx="44">
                  <c:v>423</c:v>
                </c:pt>
                <c:pt idx="45">
                  <c:v>423</c:v>
                </c:pt>
                <c:pt idx="46">
                  <c:v>417</c:v>
                </c:pt>
                <c:pt idx="47">
                  <c:v>338</c:v>
                </c:pt>
                <c:pt idx="48">
                  <c:v>272</c:v>
                </c:pt>
                <c:pt idx="49">
                  <c:v>296</c:v>
                </c:pt>
                <c:pt idx="50" formatCode="_(* #,##0_);_(* \(#,##0\);_(* &quot;-&quot;??_);_(@_)">
                  <c:v>300</c:v>
                </c:pt>
                <c:pt idx="51" formatCode="_(* #,##0_);_(* \(#,##0\);_(* &quot;-&quot;??_);_(@_)">
                  <c:v>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Jap!$C$26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Jap!$D$1:$BD$1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Jap!$D$26:$BD$26</c:f>
              <c:numCache>
                <c:formatCode>#,##0</c:formatCode>
                <c:ptCount val="53"/>
                <c:pt idx="0">
                  <c:v>4187</c:v>
                </c:pt>
                <c:pt idx="1">
                  <c:v>4165</c:v>
                </c:pt>
                <c:pt idx="2">
                  <c:v>4390</c:v>
                </c:pt>
                <c:pt idx="3">
                  <c:v>4455</c:v>
                </c:pt>
                <c:pt idx="4">
                  <c:v>4710</c:v>
                </c:pt>
                <c:pt idx="5">
                  <c:v>4704</c:v>
                </c:pt>
                <c:pt idx="6">
                  <c:v>4967</c:v>
                </c:pt>
                <c:pt idx="7">
                  <c:v>5070</c:v>
                </c:pt>
                <c:pt idx="8">
                  <c:v>5169</c:v>
                </c:pt>
                <c:pt idx="9">
                  <c:v>5265</c:v>
                </c:pt>
                <c:pt idx="10">
                  <c:v>5183</c:v>
                </c:pt>
                <c:pt idx="11">
                  <c:v>5311</c:v>
                </c:pt>
                <c:pt idx="12">
                  <c:v>5558</c:v>
                </c:pt>
                <c:pt idx="13">
                  <c:v>5585</c:v>
                </c:pt>
                <c:pt idx="14">
                  <c:v>5567</c:v>
                </c:pt>
                <c:pt idx="15">
                  <c:v>5778</c:v>
                </c:pt>
                <c:pt idx="16">
                  <c:v>5737</c:v>
                </c:pt>
                <c:pt idx="17">
                  <c:v>5815</c:v>
                </c:pt>
                <c:pt idx="18">
                  <c:v>6066</c:v>
                </c:pt>
                <c:pt idx="19">
                  <c:v>6090</c:v>
                </c:pt>
                <c:pt idx="20">
                  <c:v>6095</c:v>
                </c:pt>
                <c:pt idx="21">
                  <c:v>6069</c:v>
                </c:pt>
                <c:pt idx="22">
                  <c:v>6092</c:v>
                </c:pt>
                <c:pt idx="23">
                  <c:v>6210</c:v>
                </c:pt>
                <c:pt idx="24">
                  <c:v>6267</c:v>
                </c:pt>
                <c:pt idx="25">
                  <c:v>6192</c:v>
                </c:pt>
                <c:pt idx="26">
                  <c:v>6100</c:v>
                </c:pt>
                <c:pt idx="27">
                  <c:v>5994</c:v>
                </c:pt>
                <c:pt idx="28">
                  <c:v>5742</c:v>
                </c:pt>
                <c:pt idx="29">
                  <c:v>5919</c:v>
                </c:pt>
                <c:pt idx="30">
                  <c:v>6047</c:v>
                </c:pt>
                <c:pt idx="31">
                  <c:v>6235</c:v>
                </c:pt>
                <c:pt idx="32">
                  <c:v>6418</c:v>
                </c:pt>
                <c:pt idx="33">
                  <c:v>6350</c:v>
                </c:pt>
                <c:pt idx="34">
                  <c:v>6380</c:v>
                </c:pt>
                <c:pt idx="35">
                  <c:v>6380</c:v>
                </c:pt>
                <c:pt idx="36">
                  <c:v>6300</c:v>
                </c:pt>
                <c:pt idx="37">
                  <c:v>6150</c:v>
                </c:pt>
                <c:pt idx="38">
                  <c:v>6150</c:v>
                </c:pt>
                <c:pt idx="39">
                  <c:v>6200</c:v>
                </c:pt>
                <c:pt idx="40">
                  <c:v>6150</c:v>
                </c:pt>
                <c:pt idx="41">
                  <c:v>6100</c:v>
                </c:pt>
                <c:pt idx="42">
                  <c:v>6000</c:v>
                </c:pt>
                <c:pt idx="43">
                  <c:v>5950</c:v>
                </c:pt>
                <c:pt idx="44">
                  <c:v>6030</c:v>
                </c:pt>
                <c:pt idx="45">
                  <c:v>6020</c:v>
                </c:pt>
                <c:pt idx="46">
                  <c:v>6000</c:v>
                </c:pt>
                <c:pt idx="47">
                  <c:v>6000</c:v>
                </c:pt>
                <c:pt idx="48">
                  <c:v>5950</c:v>
                </c:pt>
                <c:pt idx="49">
                  <c:v>5900</c:v>
                </c:pt>
                <c:pt idx="50" formatCode="_(* #,##0_);_(* \(#,##0\);_(* &quot;-&quot;??_);_(@_)">
                  <c:v>5850</c:v>
                </c:pt>
                <c:pt idx="51" formatCode="_(* #,##0_);_(* \(#,##0\);_(* &quot;-&quot;??_);_(@_)">
                  <c:v>6960.52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81328"/>
        <c:axId val="315575056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Jap!$C$1</c15:sqref>
                        </c15:formulaRef>
                      </c:ext>
                    </c:extLst>
                    <c:strCache>
                      <c:ptCount val="1"/>
                      <c:pt idx="0">
                        <c:v>Attribute</c:v>
                      </c:pt>
                    </c:strCache>
                  </c:strRef>
                </c:tx>
                <c:spPr>
                  <a:ln>
                    <a:solidFill>
                      <a:srgbClr val="C00000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Jap!$D$1:$BD$1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Jap!$D$1:$BD$1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315581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5056"/>
        <c:crosses val="autoZero"/>
        <c:auto val="1"/>
        <c:lblAlgn val="ctr"/>
        <c:lblOffset val="100"/>
        <c:noMultiLvlLbl val="0"/>
      </c:catAx>
      <c:valAx>
        <c:axId val="3155750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132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22"/>
          <c:w val="0.2259502574676143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  <c:userShapes r:id="rId1"/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SKor!$C$2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SKor!$D$2:$BD$2</c:f>
              <c:numCache>
                <c:formatCode>General</c:formatCode>
                <c:ptCount val="53"/>
                <c:pt idx="0">
                  <c:v>14</c:v>
                </c:pt>
                <c:pt idx="1">
                  <c:v>16</c:v>
                </c:pt>
                <c:pt idx="2">
                  <c:v>18</c:v>
                </c:pt>
                <c:pt idx="3">
                  <c:v>20</c:v>
                </c:pt>
                <c:pt idx="4">
                  <c:v>35</c:v>
                </c:pt>
                <c:pt idx="5">
                  <c:v>40</c:v>
                </c:pt>
                <c:pt idx="6">
                  <c:v>34</c:v>
                </c:pt>
                <c:pt idx="7">
                  <c:v>60</c:v>
                </c:pt>
                <c:pt idx="8">
                  <c:v>63</c:v>
                </c:pt>
                <c:pt idx="9">
                  <c:v>63</c:v>
                </c:pt>
                <c:pt idx="10">
                  <c:v>68</c:v>
                </c:pt>
                <c:pt idx="11">
                  <c:v>64</c:v>
                </c:pt>
                <c:pt idx="12">
                  <c:v>54</c:v>
                </c:pt>
                <c:pt idx="13">
                  <c:v>61</c:v>
                </c:pt>
                <c:pt idx="14">
                  <c:v>52</c:v>
                </c:pt>
                <c:pt idx="15">
                  <c:v>54</c:v>
                </c:pt>
                <c:pt idx="16">
                  <c:v>70</c:v>
                </c:pt>
                <c:pt idx="17">
                  <c:v>83</c:v>
                </c:pt>
                <c:pt idx="18">
                  <c:v>100</c:v>
                </c:pt>
                <c:pt idx="19">
                  <c:v>149</c:v>
                </c:pt>
                <c:pt idx="20">
                  <c:v>154</c:v>
                </c:pt>
                <c:pt idx="21">
                  <c:v>145</c:v>
                </c:pt>
                <c:pt idx="22">
                  <c:v>117</c:v>
                </c:pt>
                <c:pt idx="23">
                  <c:v>101</c:v>
                </c:pt>
                <c:pt idx="24">
                  <c:v>133</c:v>
                </c:pt>
                <c:pt idx="25">
                  <c:v>132</c:v>
                </c:pt>
                <c:pt idx="26">
                  <c:v>113</c:v>
                </c:pt>
                <c:pt idx="27">
                  <c:v>127</c:v>
                </c:pt>
                <c:pt idx="28">
                  <c:v>106</c:v>
                </c:pt>
                <c:pt idx="29">
                  <c:v>121</c:v>
                </c:pt>
                <c:pt idx="30">
                  <c:v>120</c:v>
                </c:pt>
                <c:pt idx="31">
                  <c:v>75</c:v>
                </c:pt>
                <c:pt idx="32">
                  <c:v>92</c:v>
                </c:pt>
                <c:pt idx="33">
                  <c:v>82</c:v>
                </c:pt>
                <c:pt idx="34">
                  <c:v>89</c:v>
                </c:pt>
                <c:pt idx="35">
                  <c:v>70</c:v>
                </c:pt>
                <c:pt idx="36">
                  <c:v>72</c:v>
                </c:pt>
                <c:pt idx="37">
                  <c:v>87</c:v>
                </c:pt>
                <c:pt idx="38">
                  <c:v>80</c:v>
                </c:pt>
                <c:pt idx="39">
                  <c:v>79</c:v>
                </c:pt>
                <c:pt idx="40">
                  <c:v>64</c:v>
                </c:pt>
                <c:pt idx="41">
                  <c:v>57</c:v>
                </c:pt>
                <c:pt idx="42">
                  <c:v>73</c:v>
                </c:pt>
                <c:pt idx="43">
                  <c:v>70</c:v>
                </c:pt>
                <c:pt idx="44">
                  <c:v>78</c:v>
                </c:pt>
                <c:pt idx="45">
                  <c:v>73</c:v>
                </c:pt>
                <c:pt idx="46">
                  <c:v>65</c:v>
                </c:pt>
                <c:pt idx="47">
                  <c:v>84</c:v>
                </c:pt>
                <c:pt idx="48">
                  <c:v>93</c:v>
                </c:pt>
                <c:pt idx="49">
                  <c:v>77</c:v>
                </c:pt>
                <c:pt idx="50" formatCode="_(* #,##0_);_(* \(#,##0\);_(* &quot;-&quot;??_);_(@_)">
                  <c:v>73.611999999999995</c:v>
                </c:pt>
                <c:pt idx="51" formatCode="_(* #,##0_);_(* \(#,##0\);_(* &quot;-&quot;??_);_(@_)">
                  <c:v>83.21</c:v>
                </c:pt>
                <c:pt idx="52" formatCode="_(* #,##0_);_(* \(#,##0\);_(* &quot;-&quot;??_);_(@_)">
                  <c:v>80.465000000000003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SKor!$C$3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SKor!$D$3:$BD$3</c:f>
              <c:numCache>
                <c:formatCode>General</c:formatCode>
                <c:ptCount val="53"/>
                <c:pt idx="0">
                  <c:v>22</c:v>
                </c:pt>
                <c:pt idx="1">
                  <c:v>21</c:v>
                </c:pt>
                <c:pt idx="2">
                  <c:v>18</c:v>
                </c:pt>
                <c:pt idx="3">
                  <c:v>26</c:v>
                </c:pt>
                <c:pt idx="4">
                  <c:v>2</c:v>
                </c:pt>
                <c:pt idx="5">
                  <c:v>3</c:v>
                </c:pt>
                <c:pt idx="6">
                  <c:v>39</c:v>
                </c:pt>
                <c:pt idx="7">
                  <c:v>142</c:v>
                </c:pt>
                <c:pt idx="8">
                  <c:v>174</c:v>
                </c:pt>
                <c:pt idx="9">
                  <c:v>284</c:v>
                </c:pt>
                <c:pt idx="10">
                  <c:v>315</c:v>
                </c:pt>
                <c:pt idx="11">
                  <c:v>422</c:v>
                </c:pt>
                <c:pt idx="12">
                  <c:v>456</c:v>
                </c:pt>
                <c:pt idx="13">
                  <c:v>573</c:v>
                </c:pt>
                <c:pt idx="14">
                  <c:v>532</c:v>
                </c:pt>
                <c:pt idx="15">
                  <c:v>890</c:v>
                </c:pt>
                <c:pt idx="16" formatCode="#,##0">
                  <c:v>1370</c:v>
                </c:pt>
                <c:pt idx="17" formatCode="#,##0">
                  <c:v>1791</c:v>
                </c:pt>
                <c:pt idx="18" formatCode="#,##0">
                  <c:v>2881</c:v>
                </c:pt>
                <c:pt idx="19" formatCode="#,##0">
                  <c:v>2234</c:v>
                </c:pt>
                <c:pt idx="20" formatCode="#,##0">
                  <c:v>2355</c:v>
                </c:pt>
                <c:pt idx="21" formatCode="#,##0">
                  <c:v>2814</c:v>
                </c:pt>
                <c:pt idx="22" formatCode="#,##0">
                  <c:v>4167</c:v>
                </c:pt>
                <c:pt idx="23" formatCode="#,##0">
                  <c:v>3223</c:v>
                </c:pt>
                <c:pt idx="24" formatCode="#,##0">
                  <c:v>3000</c:v>
                </c:pt>
                <c:pt idx="25" formatCode="#,##0">
                  <c:v>3625</c:v>
                </c:pt>
                <c:pt idx="26" formatCode="#,##0">
                  <c:v>4775</c:v>
                </c:pt>
                <c:pt idx="27" formatCode="#,##0">
                  <c:v>5023</c:v>
                </c:pt>
                <c:pt idx="28" formatCode="#,##0">
                  <c:v>5700</c:v>
                </c:pt>
                <c:pt idx="29" formatCode="#,##0">
                  <c:v>6100</c:v>
                </c:pt>
                <c:pt idx="30" formatCode="#,##0">
                  <c:v>5571</c:v>
                </c:pt>
                <c:pt idx="31" formatCode="#,##0">
                  <c:v>6222</c:v>
                </c:pt>
                <c:pt idx="32" formatCode="#,##0">
                  <c:v>6544</c:v>
                </c:pt>
                <c:pt idx="33" formatCode="#,##0">
                  <c:v>5696</c:v>
                </c:pt>
                <c:pt idx="34" formatCode="#,##0">
                  <c:v>8227</c:v>
                </c:pt>
                <c:pt idx="35" formatCode="#,##0">
                  <c:v>8963</c:v>
                </c:pt>
                <c:pt idx="36" formatCode="#,##0">
                  <c:v>8326</c:v>
                </c:pt>
                <c:pt idx="37" formatCode="#,##0">
                  <c:v>7528</c:v>
                </c:pt>
                <c:pt idx="38" formatCode="#,##0">
                  <c:v>7515</c:v>
                </c:pt>
                <c:pt idx="39" formatCode="#,##0">
                  <c:v>8692</c:v>
                </c:pt>
                <c:pt idx="40" formatCode="#,##0">
                  <c:v>8728</c:v>
                </c:pt>
                <c:pt idx="41" formatCode="#,##0">
                  <c:v>8617</c:v>
                </c:pt>
                <c:pt idx="42" formatCode="#,##0">
                  <c:v>8781</c:v>
                </c:pt>
                <c:pt idx="43" formatCode="#,##0">
                  <c:v>8778</c:v>
                </c:pt>
                <c:pt idx="44" formatCode="#,##0">
                  <c:v>8633</c:v>
                </c:pt>
                <c:pt idx="45" formatCode="#,##0">
                  <c:v>8483</c:v>
                </c:pt>
                <c:pt idx="46" formatCode="#,##0">
                  <c:v>8731</c:v>
                </c:pt>
                <c:pt idx="47" formatCode="#,##0">
                  <c:v>9311</c:v>
                </c:pt>
                <c:pt idx="48" formatCode="#,##0">
                  <c:v>7188</c:v>
                </c:pt>
                <c:pt idx="49" formatCode="#,##0">
                  <c:v>8461</c:v>
                </c:pt>
                <c:pt idx="50" formatCode="_(* #,##0_);_(* \(#,##0\);_(* &quot;-&quot;??_);_(@_)">
                  <c:v>7758.6580000000004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SKor!$C$4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SKor!$D$4:$BD$4</c:f>
              <c:numCache>
                <c:formatCode>General</c:formatCode>
                <c:ptCount val="53"/>
                <c:pt idx="0">
                  <c:v>36</c:v>
                </c:pt>
                <c:pt idx="1">
                  <c:v>37</c:v>
                </c:pt>
                <c:pt idx="2">
                  <c:v>36</c:v>
                </c:pt>
                <c:pt idx="3">
                  <c:v>39</c:v>
                </c:pt>
                <c:pt idx="4">
                  <c:v>34</c:v>
                </c:pt>
                <c:pt idx="5">
                  <c:v>40</c:v>
                </c:pt>
                <c:pt idx="6">
                  <c:v>61</c:v>
                </c:pt>
                <c:pt idx="7">
                  <c:v>198</c:v>
                </c:pt>
                <c:pt idx="8">
                  <c:v>244</c:v>
                </c:pt>
                <c:pt idx="9">
                  <c:v>333</c:v>
                </c:pt>
                <c:pt idx="10">
                  <c:v>365</c:v>
                </c:pt>
                <c:pt idx="11">
                  <c:v>465</c:v>
                </c:pt>
                <c:pt idx="12">
                  <c:v>437</c:v>
                </c:pt>
                <c:pt idx="13">
                  <c:v>594</c:v>
                </c:pt>
                <c:pt idx="14">
                  <c:v>691</c:v>
                </c:pt>
                <c:pt idx="15">
                  <c:v>888</c:v>
                </c:pt>
                <c:pt idx="16" formatCode="#,##0">
                  <c:v>1339</c:v>
                </c:pt>
                <c:pt idx="17" formatCode="#,##0">
                  <c:v>1860</c:v>
                </c:pt>
                <c:pt idx="18" formatCode="#,##0">
                  <c:v>2914</c:v>
                </c:pt>
                <c:pt idx="19" formatCode="#,##0">
                  <c:v>2517</c:v>
                </c:pt>
                <c:pt idx="20" formatCode="#,##0">
                  <c:v>2533</c:v>
                </c:pt>
                <c:pt idx="21" formatCode="#,##0">
                  <c:v>2930</c:v>
                </c:pt>
                <c:pt idx="22" formatCode="#,##0">
                  <c:v>4228</c:v>
                </c:pt>
                <c:pt idx="23" formatCode="#,##0">
                  <c:v>3305</c:v>
                </c:pt>
                <c:pt idx="24" formatCode="#,##0">
                  <c:v>3254</c:v>
                </c:pt>
                <c:pt idx="25" formatCode="#,##0">
                  <c:v>3675</c:v>
                </c:pt>
                <c:pt idx="26" formatCode="#,##0">
                  <c:v>4743</c:v>
                </c:pt>
                <c:pt idx="27" formatCode="#,##0">
                  <c:v>4970</c:v>
                </c:pt>
                <c:pt idx="28" formatCode="#,##0">
                  <c:v>5848</c:v>
                </c:pt>
                <c:pt idx="29" formatCode="#,##0">
                  <c:v>6500</c:v>
                </c:pt>
                <c:pt idx="30" formatCode="#,##0">
                  <c:v>5577</c:v>
                </c:pt>
                <c:pt idx="31" formatCode="#,##0">
                  <c:v>6077</c:v>
                </c:pt>
                <c:pt idx="32" formatCode="#,##0">
                  <c:v>6630</c:v>
                </c:pt>
                <c:pt idx="33" formatCode="#,##0">
                  <c:v>5795</c:v>
                </c:pt>
                <c:pt idx="34" formatCode="#,##0">
                  <c:v>8014</c:v>
                </c:pt>
                <c:pt idx="35" formatCode="#,##0">
                  <c:v>9146</c:v>
                </c:pt>
                <c:pt idx="36" formatCode="#,##0">
                  <c:v>8284</c:v>
                </c:pt>
                <c:pt idx="37" formatCode="#,##0">
                  <c:v>7673</c:v>
                </c:pt>
                <c:pt idx="38" formatCode="#,##0">
                  <c:v>7526</c:v>
                </c:pt>
                <c:pt idx="39" formatCode="#,##0">
                  <c:v>8624</c:v>
                </c:pt>
                <c:pt idx="40" formatCode="#,##0">
                  <c:v>8616</c:v>
                </c:pt>
                <c:pt idx="41" formatCode="#,##0">
                  <c:v>8735</c:v>
                </c:pt>
                <c:pt idx="42" formatCode="#,##0">
                  <c:v>8782</c:v>
                </c:pt>
                <c:pt idx="43" formatCode="#,##0">
                  <c:v>8722</c:v>
                </c:pt>
                <c:pt idx="44" formatCode="#,##0">
                  <c:v>8666</c:v>
                </c:pt>
                <c:pt idx="45" formatCode="#,##0">
                  <c:v>8579</c:v>
                </c:pt>
                <c:pt idx="46" formatCode="#,##0">
                  <c:v>8833</c:v>
                </c:pt>
                <c:pt idx="47" formatCode="#,##0">
                  <c:v>8638</c:v>
                </c:pt>
                <c:pt idx="48" formatCode="#,##0">
                  <c:v>7894</c:v>
                </c:pt>
                <c:pt idx="49" formatCode="#,##0">
                  <c:v>8412</c:v>
                </c:pt>
                <c:pt idx="50" formatCode="_(* #,##0_);_(* \(#,##0\);_(* &quot;-&quot;??_);_(@_)">
                  <c:v>7832.27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70744"/>
        <c:axId val="315578584"/>
      </c:lineChart>
      <c:catAx>
        <c:axId val="315570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8584"/>
        <c:crosses val="autoZero"/>
        <c:auto val="1"/>
        <c:lblAlgn val="ctr"/>
        <c:lblOffset val="100"/>
        <c:noMultiLvlLbl val="0"/>
      </c:catAx>
      <c:valAx>
        <c:axId val="3155785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07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91165128933230188"/>
          <c:h val="0.10780685832101061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SKor!$C$5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SKor!$D$5:$BD$5</c:f>
              <c:numCache>
                <c:formatCode>General</c:formatCode>
                <c:ptCount val="53"/>
                <c:pt idx="0">
                  <c:v>30</c:v>
                </c:pt>
                <c:pt idx="1">
                  <c:v>42</c:v>
                </c:pt>
                <c:pt idx="2">
                  <c:v>27</c:v>
                </c:pt>
                <c:pt idx="3">
                  <c:v>18</c:v>
                </c:pt>
                <c:pt idx="4">
                  <c:v>19</c:v>
                </c:pt>
                <c:pt idx="5">
                  <c:v>17</c:v>
                </c:pt>
                <c:pt idx="6">
                  <c:v>20</c:v>
                </c:pt>
                <c:pt idx="7">
                  <c:v>18</c:v>
                </c:pt>
                <c:pt idx="8">
                  <c:v>20</c:v>
                </c:pt>
                <c:pt idx="9">
                  <c:v>20</c:v>
                </c:pt>
                <c:pt idx="10">
                  <c:v>21</c:v>
                </c:pt>
                <c:pt idx="11">
                  <c:v>19</c:v>
                </c:pt>
                <c:pt idx="12">
                  <c:v>18</c:v>
                </c:pt>
                <c:pt idx="13">
                  <c:v>19</c:v>
                </c:pt>
                <c:pt idx="14">
                  <c:v>17</c:v>
                </c:pt>
                <c:pt idx="15">
                  <c:v>16</c:v>
                </c:pt>
                <c:pt idx="16">
                  <c:v>10</c:v>
                </c:pt>
                <c:pt idx="17">
                  <c:v>9</c:v>
                </c:pt>
                <c:pt idx="18">
                  <c:v>9</c:v>
                </c:pt>
                <c:pt idx="19">
                  <c:v>14</c:v>
                </c:pt>
                <c:pt idx="20">
                  <c:v>12</c:v>
                </c:pt>
                <c:pt idx="21">
                  <c:v>7</c:v>
                </c:pt>
                <c:pt idx="22">
                  <c:v>6</c:v>
                </c:pt>
                <c:pt idx="23">
                  <c:v>5</c:v>
                </c:pt>
                <c:pt idx="24">
                  <c:v>4</c:v>
                </c:pt>
                <c:pt idx="25">
                  <c:v>3</c:v>
                </c:pt>
                <c:pt idx="26">
                  <c:v>2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0</c:v>
                </c:pt>
                <c:pt idx="52" formatCode="_(* #,##0_);_(* \(#,##0\);_(* &quot;-&quot;??_);_(@_)">
                  <c:v>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SKor!$C$6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SKor!$D$6:$BD$6</c:f>
              <c:numCache>
                <c:formatCode>General</c:formatCode>
                <c:ptCount val="53"/>
                <c:pt idx="0">
                  <c:v>216</c:v>
                </c:pt>
                <c:pt idx="1">
                  <c:v>254</c:v>
                </c:pt>
                <c:pt idx="2">
                  <c:v>324</c:v>
                </c:pt>
                <c:pt idx="3">
                  <c:v>270</c:v>
                </c:pt>
                <c:pt idx="4">
                  <c:v>316</c:v>
                </c:pt>
                <c:pt idx="5">
                  <c:v>327</c:v>
                </c:pt>
                <c:pt idx="6">
                  <c:v>362</c:v>
                </c:pt>
                <c:pt idx="7">
                  <c:v>404</c:v>
                </c:pt>
                <c:pt idx="8">
                  <c:v>450</c:v>
                </c:pt>
                <c:pt idx="9">
                  <c:v>470</c:v>
                </c:pt>
                <c:pt idx="10">
                  <c:v>557</c:v>
                </c:pt>
                <c:pt idx="11">
                  <c:v>523</c:v>
                </c:pt>
                <c:pt idx="12">
                  <c:v>484</c:v>
                </c:pt>
                <c:pt idx="13">
                  <c:v>788</c:v>
                </c:pt>
                <c:pt idx="14">
                  <c:v>722</c:v>
                </c:pt>
                <c:pt idx="15" formatCode="#,##0">
                  <c:v>1013</c:v>
                </c:pt>
                <c:pt idx="16">
                  <c:v>909</c:v>
                </c:pt>
                <c:pt idx="17" formatCode="#,##0">
                  <c:v>1312</c:v>
                </c:pt>
                <c:pt idx="18" formatCode="#,##0">
                  <c:v>1363</c:v>
                </c:pt>
                <c:pt idx="19" formatCode="#,##0">
                  <c:v>1627</c:v>
                </c:pt>
                <c:pt idx="20" formatCode="#,##0">
                  <c:v>1527</c:v>
                </c:pt>
                <c:pt idx="21" formatCode="#,##0">
                  <c:v>1496</c:v>
                </c:pt>
                <c:pt idx="22" formatCode="#,##0">
                  <c:v>1562</c:v>
                </c:pt>
                <c:pt idx="23" formatCode="#,##0">
                  <c:v>1602</c:v>
                </c:pt>
                <c:pt idx="24" formatCode="#,##0">
                  <c:v>1601</c:v>
                </c:pt>
                <c:pt idx="25" formatCode="#,##0">
                  <c:v>1682</c:v>
                </c:pt>
                <c:pt idx="26" formatCode="#,##0">
                  <c:v>1901</c:v>
                </c:pt>
                <c:pt idx="27" formatCode="#,##0">
                  <c:v>1957</c:v>
                </c:pt>
                <c:pt idx="28" formatCode="#,##0">
                  <c:v>2145</c:v>
                </c:pt>
                <c:pt idx="29" formatCode="#,##0">
                  <c:v>2040</c:v>
                </c:pt>
                <c:pt idx="30" formatCode="#,##0">
                  <c:v>2052</c:v>
                </c:pt>
                <c:pt idx="31" formatCode="#,##0">
                  <c:v>1801</c:v>
                </c:pt>
                <c:pt idx="32" formatCode="#,##0">
                  <c:v>1711</c:v>
                </c:pt>
                <c:pt idx="33" formatCode="#,##0">
                  <c:v>1689</c:v>
                </c:pt>
                <c:pt idx="34" formatCode="#,##0">
                  <c:v>1747</c:v>
                </c:pt>
                <c:pt idx="35" formatCode="#,##0">
                  <c:v>1661</c:v>
                </c:pt>
                <c:pt idx="36" formatCode="#,##0">
                  <c:v>1504</c:v>
                </c:pt>
                <c:pt idx="37" formatCode="#,##0">
                  <c:v>1322</c:v>
                </c:pt>
                <c:pt idx="38" formatCode="#,##0">
                  <c:v>1472</c:v>
                </c:pt>
                <c:pt idx="39" formatCode="#,##0">
                  <c:v>1525</c:v>
                </c:pt>
                <c:pt idx="40" formatCode="#,##0">
                  <c:v>1421</c:v>
                </c:pt>
                <c:pt idx="41" formatCode="#,##0">
                  <c:v>1616</c:v>
                </c:pt>
                <c:pt idx="42" formatCode="#,##0">
                  <c:v>1492</c:v>
                </c:pt>
                <c:pt idx="43" formatCode="#,##0">
                  <c:v>1274</c:v>
                </c:pt>
                <c:pt idx="44" formatCode="#,##0">
                  <c:v>1343</c:v>
                </c:pt>
                <c:pt idx="45" formatCode="#,##0">
                  <c:v>1011</c:v>
                </c:pt>
                <c:pt idx="46" formatCode="#,##0">
                  <c:v>1068</c:v>
                </c:pt>
                <c:pt idx="47">
                  <c:v>975</c:v>
                </c:pt>
                <c:pt idx="48">
                  <c:v>988</c:v>
                </c:pt>
                <c:pt idx="49" formatCode="#,##0">
                  <c:v>1010</c:v>
                </c:pt>
                <c:pt idx="50" formatCode="_(* #,##0_);_(* \(#,##0\);_(* &quot;-&quot;??_);_(@_)">
                  <c:v>234.209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SKor!$C$7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SKor!$D$7:$BD$7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5</c:v>
                </c:pt>
                <c:pt idx="24">
                  <c:v>0</c:v>
                </c:pt>
                <c:pt idx="25">
                  <c:v>1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8</c:v>
                </c:pt>
                <c:pt idx="34">
                  <c:v>14</c:v>
                </c:pt>
                <c:pt idx="35">
                  <c:v>7</c:v>
                </c:pt>
                <c:pt idx="36">
                  <c:v>65</c:v>
                </c:pt>
                <c:pt idx="37">
                  <c:v>51</c:v>
                </c:pt>
                <c:pt idx="38">
                  <c:v>35</c:v>
                </c:pt>
                <c:pt idx="39">
                  <c:v>24</c:v>
                </c:pt>
                <c:pt idx="40">
                  <c:v>14</c:v>
                </c:pt>
                <c:pt idx="41">
                  <c:v>4</c:v>
                </c:pt>
                <c:pt idx="42">
                  <c:v>7</c:v>
                </c:pt>
                <c:pt idx="43">
                  <c:v>5</c:v>
                </c:pt>
                <c:pt idx="44">
                  <c:v>9</c:v>
                </c:pt>
                <c:pt idx="45">
                  <c:v>6</c:v>
                </c:pt>
                <c:pt idx="46">
                  <c:v>3</c:v>
                </c:pt>
                <c:pt idx="47">
                  <c:v>4</c:v>
                </c:pt>
                <c:pt idx="48">
                  <c:v>1</c:v>
                </c:pt>
                <c:pt idx="49">
                  <c:v>0</c:v>
                </c:pt>
                <c:pt idx="50" formatCode="_(* #,##0_);_(* \(#,##0\);_(* &quot;-&quot;??_);_(@_)">
                  <c:v>2.0830000000000002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SKor!$C$8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SKor!$D$8:$BD$8</c:f>
              <c:numCache>
                <c:formatCode>General</c:formatCode>
                <c:ptCount val="53"/>
                <c:pt idx="0">
                  <c:v>271</c:v>
                </c:pt>
                <c:pt idx="1">
                  <c:v>261</c:v>
                </c:pt>
                <c:pt idx="2">
                  <c:v>356</c:v>
                </c:pt>
                <c:pt idx="3">
                  <c:v>330</c:v>
                </c:pt>
                <c:pt idx="4">
                  <c:v>313</c:v>
                </c:pt>
                <c:pt idx="5">
                  <c:v>340</c:v>
                </c:pt>
                <c:pt idx="6">
                  <c:v>376</c:v>
                </c:pt>
                <c:pt idx="7">
                  <c:v>422</c:v>
                </c:pt>
                <c:pt idx="8">
                  <c:v>450</c:v>
                </c:pt>
                <c:pt idx="9">
                  <c:v>480</c:v>
                </c:pt>
                <c:pt idx="10">
                  <c:v>550</c:v>
                </c:pt>
                <c:pt idx="11">
                  <c:v>540</c:v>
                </c:pt>
                <c:pt idx="12">
                  <c:v>540</c:v>
                </c:pt>
                <c:pt idx="13">
                  <c:v>767</c:v>
                </c:pt>
                <c:pt idx="14">
                  <c:v>744</c:v>
                </c:pt>
                <c:pt idx="15">
                  <c:v>913</c:v>
                </c:pt>
                <c:pt idx="16">
                  <c:v>951</c:v>
                </c:pt>
                <c:pt idx="17" formatCode="#,##0">
                  <c:v>1156</c:v>
                </c:pt>
                <c:pt idx="18" formatCode="#,##0">
                  <c:v>1270</c:v>
                </c:pt>
                <c:pt idx="19" formatCode="#,##0">
                  <c:v>1550</c:v>
                </c:pt>
                <c:pt idx="20" formatCode="#,##0">
                  <c:v>1461</c:v>
                </c:pt>
                <c:pt idx="21" formatCode="#,##0">
                  <c:v>1561</c:v>
                </c:pt>
                <c:pt idx="22" formatCode="#,##0">
                  <c:v>1565</c:v>
                </c:pt>
                <c:pt idx="23" formatCode="#,##0">
                  <c:v>1620</c:v>
                </c:pt>
                <c:pt idx="24" formatCode="#,##0">
                  <c:v>1637</c:v>
                </c:pt>
                <c:pt idx="25" formatCode="#,##0">
                  <c:v>1707</c:v>
                </c:pt>
                <c:pt idx="26" formatCode="#,##0">
                  <c:v>1844</c:v>
                </c:pt>
                <c:pt idx="27" formatCode="#,##0">
                  <c:v>1995</c:v>
                </c:pt>
                <c:pt idx="28" formatCode="#,##0">
                  <c:v>2071</c:v>
                </c:pt>
                <c:pt idx="29" formatCode="#,##0">
                  <c:v>2003</c:v>
                </c:pt>
                <c:pt idx="30" formatCode="#,##0">
                  <c:v>2001</c:v>
                </c:pt>
                <c:pt idx="31" formatCode="#,##0">
                  <c:v>1919</c:v>
                </c:pt>
                <c:pt idx="32" formatCode="#,##0">
                  <c:v>1725</c:v>
                </c:pt>
                <c:pt idx="33" formatCode="#,##0">
                  <c:v>1750</c:v>
                </c:pt>
                <c:pt idx="34" formatCode="#,##0">
                  <c:v>1663</c:v>
                </c:pt>
                <c:pt idx="35" formatCode="#,##0">
                  <c:v>1667</c:v>
                </c:pt>
                <c:pt idx="36" formatCode="#,##0">
                  <c:v>1475</c:v>
                </c:pt>
                <c:pt idx="37" formatCode="#,##0">
                  <c:v>1353</c:v>
                </c:pt>
                <c:pt idx="38" formatCode="#,##0">
                  <c:v>1464</c:v>
                </c:pt>
                <c:pt idx="39" formatCode="#,##0">
                  <c:v>1475</c:v>
                </c:pt>
                <c:pt idx="40" formatCode="#,##0">
                  <c:v>1450</c:v>
                </c:pt>
                <c:pt idx="41" formatCode="#,##0">
                  <c:v>1500</c:v>
                </c:pt>
                <c:pt idx="42" formatCode="#,##0">
                  <c:v>1500</c:v>
                </c:pt>
                <c:pt idx="43" formatCode="#,##0">
                  <c:v>1350</c:v>
                </c:pt>
                <c:pt idx="44" formatCode="#,##0">
                  <c:v>1350</c:v>
                </c:pt>
                <c:pt idx="45" formatCode="#,##0">
                  <c:v>1100</c:v>
                </c:pt>
                <c:pt idx="46" formatCode="#,##0">
                  <c:v>1100</c:v>
                </c:pt>
                <c:pt idx="47" formatCode="#,##0">
                  <c:v>1000</c:v>
                </c:pt>
                <c:pt idx="48" formatCode="#,##0">
                  <c:v>1000</c:v>
                </c:pt>
                <c:pt idx="49" formatCode="#,##0">
                  <c:v>1025</c:v>
                </c:pt>
                <c:pt idx="50" formatCode="_(* #,##0_);_(* \(#,##0\);_(* &quot;-&quot;??_);_(@_)">
                  <c:v>232.126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82504"/>
        <c:axId val="315572704"/>
      </c:lineChart>
      <c:catAx>
        <c:axId val="315582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2704"/>
        <c:crosses val="autoZero"/>
        <c:auto val="1"/>
        <c:lblAlgn val="ctr"/>
        <c:lblOffset val="100"/>
        <c:noMultiLvlLbl val="0"/>
      </c:catAx>
      <c:valAx>
        <c:axId val="31557270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250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259502574676143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SKor!$C$9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SKor!$D$9:$BD$9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163</c:v>
                </c:pt>
                <c:pt idx="5">
                  <c:v>174</c:v>
                </c:pt>
                <c:pt idx="6">
                  <c:v>161</c:v>
                </c:pt>
                <c:pt idx="7">
                  <c:v>201</c:v>
                </c:pt>
                <c:pt idx="8">
                  <c:v>245</c:v>
                </c:pt>
                <c:pt idx="9">
                  <c:v>229</c:v>
                </c:pt>
                <c:pt idx="10">
                  <c:v>232</c:v>
                </c:pt>
                <c:pt idx="11">
                  <c:v>229</c:v>
                </c:pt>
                <c:pt idx="12">
                  <c:v>224</c:v>
                </c:pt>
                <c:pt idx="13">
                  <c:v>246</c:v>
                </c:pt>
                <c:pt idx="14">
                  <c:v>319</c:v>
                </c:pt>
                <c:pt idx="15">
                  <c:v>311</c:v>
                </c:pt>
                <c:pt idx="16">
                  <c:v>295</c:v>
                </c:pt>
                <c:pt idx="17">
                  <c:v>319</c:v>
                </c:pt>
                <c:pt idx="18">
                  <c:v>293</c:v>
                </c:pt>
                <c:pt idx="19">
                  <c:v>257</c:v>
                </c:pt>
                <c:pt idx="20">
                  <c:v>216</c:v>
                </c:pt>
                <c:pt idx="21">
                  <c:v>257</c:v>
                </c:pt>
                <c:pt idx="22">
                  <c:v>233</c:v>
                </c:pt>
                <c:pt idx="23">
                  <c:v>226</c:v>
                </c:pt>
                <c:pt idx="24">
                  <c:v>254</c:v>
                </c:pt>
                <c:pt idx="25">
                  <c:v>234</c:v>
                </c:pt>
                <c:pt idx="26">
                  <c:v>199</c:v>
                </c:pt>
                <c:pt idx="27">
                  <c:v>203</c:v>
                </c:pt>
                <c:pt idx="28">
                  <c:v>239</c:v>
                </c:pt>
                <c:pt idx="29">
                  <c:v>252</c:v>
                </c:pt>
                <c:pt idx="30">
                  <c:v>233</c:v>
                </c:pt>
                <c:pt idx="31">
                  <c:v>183</c:v>
                </c:pt>
                <c:pt idx="32">
                  <c:v>176</c:v>
                </c:pt>
                <c:pt idx="33">
                  <c:v>170</c:v>
                </c:pt>
                <c:pt idx="34">
                  <c:v>154</c:v>
                </c:pt>
                <c:pt idx="35">
                  <c:v>160</c:v>
                </c:pt>
                <c:pt idx="36">
                  <c:v>160</c:v>
                </c:pt>
                <c:pt idx="37">
                  <c:v>156</c:v>
                </c:pt>
                <c:pt idx="38">
                  <c:v>140</c:v>
                </c:pt>
                <c:pt idx="39">
                  <c:v>116</c:v>
                </c:pt>
                <c:pt idx="40">
                  <c:v>113</c:v>
                </c:pt>
                <c:pt idx="41">
                  <c:v>118</c:v>
                </c:pt>
                <c:pt idx="42">
                  <c:v>115</c:v>
                </c:pt>
                <c:pt idx="43">
                  <c:v>105</c:v>
                </c:pt>
                <c:pt idx="44">
                  <c:v>139</c:v>
                </c:pt>
                <c:pt idx="45">
                  <c:v>183</c:v>
                </c:pt>
                <c:pt idx="46">
                  <c:v>156</c:v>
                </c:pt>
                <c:pt idx="47">
                  <c:v>114</c:v>
                </c:pt>
                <c:pt idx="48">
                  <c:v>132</c:v>
                </c:pt>
                <c:pt idx="49">
                  <c:v>130</c:v>
                </c:pt>
                <c:pt idx="50" formatCode="_(* #,##0_);_(* \(#,##0\);_(* &quot;-&quot;??_);_(@_)">
                  <c:v>1447.559</c:v>
                </c:pt>
                <c:pt idx="51" formatCode="_(* #,##0_);_(* \(#,##0\);_(* &quot;-&quot;??_);_(@_)">
                  <c:v>122.51900000000001</c:v>
                </c:pt>
                <c:pt idx="52" formatCode="_(* #,##0_);_(* \(#,##0\);_(* &quot;-&quot;??_);_(@_)">
                  <c:v>154.06700000000001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SKor!$C$10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SKor!$D$10:$BD$10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26</c:v>
                </c:pt>
                <c:pt idx="7">
                  <c:v>4</c:v>
                </c:pt>
                <c:pt idx="8">
                  <c:v>18</c:v>
                </c:pt>
                <c:pt idx="9">
                  <c:v>30</c:v>
                </c:pt>
                <c:pt idx="10">
                  <c:v>62</c:v>
                </c:pt>
                <c:pt idx="11">
                  <c:v>37</c:v>
                </c:pt>
                <c:pt idx="12">
                  <c:v>71</c:v>
                </c:pt>
                <c:pt idx="13">
                  <c:v>50</c:v>
                </c:pt>
                <c:pt idx="14">
                  <c:v>57</c:v>
                </c:pt>
                <c:pt idx="15">
                  <c:v>148</c:v>
                </c:pt>
                <c:pt idx="16">
                  <c:v>133</c:v>
                </c:pt>
                <c:pt idx="17">
                  <c:v>239</c:v>
                </c:pt>
                <c:pt idx="18">
                  <c:v>428</c:v>
                </c:pt>
                <c:pt idx="19">
                  <c:v>417</c:v>
                </c:pt>
                <c:pt idx="20">
                  <c:v>529</c:v>
                </c:pt>
                <c:pt idx="21">
                  <c:v>541</c:v>
                </c:pt>
                <c:pt idx="22">
                  <c:v>695</c:v>
                </c:pt>
                <c:pt idx="23">
                  <c:v>712</c:v>
                </c:pt>
                <c:pt idx="24">
                  <c:v>809</c:v>
                </c:pt>
                <c:pt idx="25" formatCode="#,##0">
                  <c:v>1005</c:v>
                </c:pt>
                <c:pt idx="26" formatCode="#,##0">
                  <c:v>1014</c:v>
                </c:pt>
                <c:pt idx="27" formatCode="#,##0">
                  <c:v>1096</c:v>
                </c:pt>
                <c:pt idx="28" formatCode="#,##0">
                  <c:v>1009</c:v>
                </c:pt>
                <c:pt idx="29" formatCode="#,##0">
                  <c:v>1075</c:v>
                </c:pt>
                <c:pt idx="30">
                  <c:v>929</c:v>
                </c:pt>
                <c:pt idx="31" formatCode="#,##0">
                  <c:v>1330</c:v>
                </c:pt>
                <c:pt idx="32" formatCode="#,##0">
                  <c:v>1131</c:v>
                </c:pt>
                <c:pt idx="33" formatCode="#,##0">
                  <c:v>1160</c:v>
                </c:pt>
                <c:pt idx="34" formatCode="#,##0">
                  <c:v>1384</c:v>
                </c:pt>
                <c:pt idx="35" formatCode="#,##0">
                  <c:v>1422</c:v>
                </c:pt>
                <c:pt idx="36" formatCode="#,##0">
                  <c:v>1620</c:v>
                </c:pt>
                <c:pt idx="37" formatCode="#,##0">
                  <c:v>1349</c:v>
                </c:pt>
                <c:pt idx="38" formatCode="#,##0">
                  <c:v>1400</c:v>
                </c:pt>
                <c:pt idx="39" formatCode="#,##0">
                  <c:v>1606</c:v>
                </c:pt>
                <c:pt idx="40" formatCode="#,##0">
                  <c:v>1389</c:v>
                </c:pt>
                <c:pt idx="41" formatCode="#,##0">
                  <c:v>1434</c:v>
                </c:pt>
                <c:pt idx="42" formatCode="#,##0">
                  <c:v>1516</c:v>
                </c:pt>
                <c:pt idx="43" formatCode="#,##0">
                  <c:v>1368</c:v>
                </c:pt>
                <c:pt idx="44" formatCode="#,##0">
                  <c:v>1240</c:v>
                </c:pt>
                <c:pt idx="45" formatCode="#,##0">
                  <c:v>1190</c:v>
                </c:pt>
                <c:pt idx="46" formatCode="#,##0">
                  <c:v>1231</c:v>
                </c:pt>
                <c:pt idx="47" formatCode="#,##0">
                  <c:v>1232</c:v>
                </c:pt>
                <c:pt idx="48" formatCode="#,##0">
                  <c:v>1167</c:v>
                </c:pt>
                <c:pt idx="49" formatCode="#,##0">
                  <c:v>1197</c:v>
                </c:pt>
                <c:pt idx="50" formatCode="_(* #,##0_);_(* \(#,##0\);_(* &quot;-&quot;??_);_(@_)">
                  <c:v>1679.6849999999999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SKor!$C$11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SKor!$D$11:$BD$11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163</c:v>
                </c:pt>
                <c:pt idx="5">
                  <c:v>174</c:v>
                </c:pt>
                <c:pt idx="6">
                  <c:v>187</c:v>
                </c:pt>
                <c:pt idx="7">
                  <c:v>205</c:v>
                </c:pt>
                <c:pt idx="8">
                  <c:v>263</c:v>
                </c:pt>
                <c:pt idx="9">
                  <c:v>254</c:v>
                </c:pt>
                <c:pt idx="10">
                  <c:v>290</c:v>
                </c:pt>
                <c:pt idx="11">
                  <c:v>261</c:v>
                </c:pt>
                <c:pt idx="12">
                  <c:v>289</c:v>
                </c:pt>
                <c:pt idx="13">
                  <c:v>296</c:v>
                </c:pt>
                <c:pt idx="14">
                  <c:v>376</c:v>
                </c:pt>
                <c:pt idx="15">
                  <c:v>459</c:v>
                </c:pt>
                <c:pt idx="16">
                  <c:v>428</c:v>
                </c:pt>
                <c:pt idx="17">
                  <c:v>515</c:v>
                </c:pt>
                <c:pt idx="18">
                  <c:v>681</c:v>
                </c:pt>
                <c:pt idx="19">
                  <c:v>733</c:v>
                </c:pt>
                <c:pt idx="20">
                  <c:v>727</c:v>
                </c:pt>
                <c:pt idx="21">
                  <c:v>806</c:v>
                </c:pt>
                <c:pt idx="22">
                  <c:v>919</c:v>
                </c:pt>
                <c:pt idx="23">
                  <c:v>937</c:v>
                </c:pt>
                <c:pt idx="24" formatCode="#,##0">
                  <c:v>1108</c:v>
                </c:pt>
                <c:pt idx="25" formatCode="#,##0">
                  <c:v>1220</c:v>
                </c:pt>
                <c:pt idx="26" formatCode="#,##0">
                  <c:v>1231</c:v>
                </c:pt>
                <c:pt idx="27" formatCode="#,##0">
                  <c:v>1252</c:v>
                </c:pt>
                <c:pt idx="28" formatCode="#,##0">
                  <c:v>1286</c:v>
                </c:pt>
                <c:pt idx="29" formatCode="#,##0">
                  <c:v>1179</c:v>
                </c:pt>
                <c:pt idx="30" formatCode="#,##0">
                  <c:v>1162</c:v>
                </c:pt>
                <c:pt idx="31" formatCode="#,##0">
                  <c:v>1523</c:v>
                </c:pt>
                <c:pt idx="32" formatCode="#,##0">
                  <c:v>1296</c:v>
                </c:pt>
                <c:pt idx="33" formatCode="#,##0">
                  <c:v>1334</c:v>
                </c:pt>
                <c:pt idx="34" formatCode="#,##0">
                  <c:v>1523</c:v>
                </c:pt>
                <c:pt idx="35" formatCode="#,##0">
                  <c:v>1589</c:v>
                </c:pt>
                <c:pt idx="36" formatCode="#,##0">
                  <c:v>1796</c:v>
                </c:pt>
                <c:pt idx="37" formatCode="#,##0">
                  <c:v>1563</c:v>
                </c:pt>
                <c:pt idx="38" formatCode="#,##0">
                  <c:v>1573</c:v>
                </c:pt>
                <c:pt idx="39" formatCode="#,##0">
                  <c:v>1687</c:v>
                </c:pt>
                <c:pt idx="40" formatCode="#,##0">
                  <c:v>1491</c:v>
                </c:pt>
                <c:pt idx="41" formatCode="#,##0">
                  <c:v>1555</c:v>
                </c:pt>
                <c:pt idx="42" formatCode="#,##0">
                  <c:v>1631</c:v>
                </c:pt>
                <c:pt idx="43" formatCode="#,##0">
                  <c:v>1531</c:v>
                </c:pt>
                <c:pt idx="44" formatCode="#,##0">
                  <c:v>1370</c:v>
                </c:pt>
                <c:pt idx="45" formatCode="#,##0">
                  <c:v>1372</c:v>
                </c:pt>
                <c:pt idx="46" formatCode="#,##0">
                  <c:v>1374</c:v>
                </c:pt>
                <c:pt idx="47" formatCode="#,##0">
                  <c:v>1386</c:v>
                </c:pt>
                <c:pt idx="48" formatCode="#,##0">
                  <c:v>1292</c:v>
                </c:pt>
                <c:pt idx="49" formatCode="#,##0">
                  <c:v>1334</c:v>
                </c:pt>
                <c:pt idx="50" formatCode="_(* #,##0_);_(* \(#,##0\);_(* &quot;-&quot;??_);_(@_)">
                  <c:v>1388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78192"/>
        <c:axId val="315580936"/>
      </c:lineChart>
      <c:catAx>
        <c:axId val="315578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0936"/>
        <c:crosses val="autoZero"/>
        <c:auto val="1"/>
        <c:lblAlgn val="ctr"/>
        <c:lblOffset val="100"/>
        <c:noMultiLvlLbl val="0"/>
      </c:catAx>
      <c:valAx>
        <c:axId val="3155809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819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11228619511625235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SKor!$C$12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SKor!$D$12:$BD$12</c:f>
              <c:numCache>
                <c:formatCode>#,##0</c:formatCode>
                <c:ptCount val="53"/>
                <c:pt idx="0">
                  <c:v>3047</c:v>
                </c:pt>
                <c:pt idx="1">
                  <c:v>3463</c:v>
                </c:pt>
                <c:pt idx="2">
                  <c:v>3015</c:v>
                </c:pt>
                <c:pt idx="3">
                  <c:v>3758</c:v>
                </c:pt>
                <c:pt idx="4">
                  <c:v>3954</c:v>
                </c:pt>
                <c:pt idx="5">
                  <c:v>3501</c:v>
                </c:pt>
                <c:pt idx="6">
                  <c:v>3919</c:v>
                </c:pt>
                <c:pt idx="7">
                  <c:v>3603</c:v>
                </c:pt>
                <c:pt idx="8">
                  <c:v>3195</c:v>
                </c:pt>
                <c:pt idx="9">
                  <c:v>4090</c:v>
                </c:pt>
                <c:pt idx="10">
                  <c:v>3939</c:v>
                </c:pt>
                <c:pt idx="11">
                  <c:v>3998</c:v>
                </c:pt>
                <c:pt idx="12">
                  <c:v>3957</c:v>
                </c:pt>
                <c:pt idx="13">
                  <c:v>4212</c:v>
                </c:pt>
                <c:pt idx="14">
                  <c:v>4445</c:v>
                </c:pt>
                <c:pt idx="15">
                  <c:v>4669</c:v>
                </c:pt>
                <c:pt idx="16">
                  <c:v>5215</c:v>
                </c:pt>
                <c:pt idx="17">
                  <c:v>6006</c:v>
                </c:pt>
                <c:pt idx="18">
                  <c:v>5797</c:v>
                </c:pt>
                <c:pt idx="19">
                  <c:v>5136</c:v>
                </c:pt>
                <c:pt idx="20">
                  <c:v>4000</c:v>
                </c:pt>
                <c:pt idx="21">
                  <c:v>5063</c:v>
                </c:pt>
                <c:pt idx="22">
                  <c:v>5175</c:v>
                </c:pt>
                <c:pt idx="23">
                  <c:v>5404</c:v>
                </c:pt>
                <c:pt idx="24">
                  <c:v>5682</c:v>
                </c:pt>
                <c:pt idx="25">
                  <c:v>5626</c:v>
                </c:pt>
                <c:pt idx="26">
                  <c:v>5607</c:v>
                </c:pt>
                <c:pt idx="27">
                  <c:v>5493</c:v>
                </c:pt>
                <c:pt idx="28">
                  <c:v>6053</c:v>
                </c:pt>
                <c:pt idx="29">
                  <c:v>5898</c:v>
                </c:pt>
                <c:pt idx="30">
                  <c:v>5606</c:v>
                </c:pt>
                <c:pt idx="31">
                  <c:v>5385</c:v>
                </c:pt>
                <c:pt idx="32">
                  <c:v>5331</c:v>
                </c:pt>
                <c:pt idx="33">
                  <c:v>4750</c:v>
                </c:pt>
                <c:pt idx="34">
                  <c:v>5060</c:v>
                </c:pt>
                <c:pt idx="35">
                  <c:v>4694</c:v>
                </c:pt>
                <c:pt idx="36">
                  <c:v>5323</c:v>
                </c:pt>
                <c:pt idx="37">
                  <c:v>5450</c:v>
                </c:pt>
                <c:pt idx="38">
                  <c:v>5100</c:v>
                </c:pt>
                <c:pt idx="39">
                  <c:v>5263</c:v>
                </c:pt>
                <c:pt idx="40">
                  <c:v>5291</c:v>
                </c:pt>
                <c:pt idx="41">
                  <c:v>5515</c:v>
                </c:pt>
                <c:pt idx="42">
                  <c:v>4927</c:v>
                </c:pt>
                <c:pt idx="43">
                  <c:v>4451</c:v>
                </c:pt>
                <c:pt idx="44">
                  <c:v>5000</c:v>
                </c:pt>
                <c:pt idx="45">
                  <c:v>4768</c:v>
                </c:pt>
                <c:pt idx="46">
                  <c:v>4680</c:v>
                </c:pt>
                <c:pt idx="47">
                  <c:v>4408</c:v>
                </c:pt>
                <c:pt idx="48">
                  <c:v>4843</c:v>
                </c:pt>
                <c:pt idx="49">
                  <c:v>4916</c:v>
                </c:pt>
                <c:pt idx="50" formatCode="_(* #,##0_);_(* \(#,##0\);_(* &quot;-&quot;??_);_(@_)">
                  <c:v>6034.3</c:v>
                </c:pt>
                <c:pt idx="51" formatCode="_(* #,##0_);_(* \(#,##0\);_(* &quot;-&quot;??_);_(@_)">
                  <c:v>5934</c:v>
                </c:pt>
                <c:pt idx="52" formatCode="_(* #,##0_);_(* \(#,##0\);_(* &quot;-&quot;??_);_(@_)">
                  <c:v>5631.6890000000003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SKor!$C$13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SKor!$D$13:$BD$13</c:f>
              <c:numCache>
                <c:formatCode>General</c:formatCode>
                <c:ptCount val="53"/>
                <c:pt idx="0">
                  <c:v>5</c:v>
                </c:pt>
                <c:pt idx="1">
                  <c:v>0</c:v>
                </c:pt>
                <c:pt idx="2">
                  <c:v>117</c:v>
                </c:pt>
                <c:pt idx="3">
                  <c:v>0</c:v>
                </c:pt>
                <c:pt idx="4">
                  <c:v>0</c:v>
                </c:pt>
                <c:pt idx="5">
                  <c:v>18</c:v>
                </c:pt>
                <c:pt idx="6">
                  <c:v>139</c:v>
                </c:pt>
                <c:pt idx="7">
                  <c:v>247</c:v>
                </c:pt>
                <c:pt idx="8">
                  <c:v>631</c:v>
                </c:pt>
                <c:pt idx="9">
                  <c:v>254</c:v>
                </c:pt>
                <c:pt idx="10">
                  <c:v>937</c:v>
                </c:pt>
                <c:pt idx="11">
                  <c:v>584</c:v>
                </c:pt>
                <c:pt idx="12">
                  <c:v>437</c:v>
                </c:pt>
                <c:pt idx="13">
                  <c:v>206</c:v>
                </c:pt>
                <c:pt idx="14">
                  <c:v>489</c:v>
                </c:pt>
                <c:pt idx="15">
                  <c:v>168</c:v>
                </c:pt>
                <c:pt idx="16">
                  <c:v>55</c:v>
                </c:pt>
                <c:pt idx="17">
                  <c:v>0</c:v>
                </c:pt>
                <c:pt idx="18">
                  <c:v>501</c:v>
                </c:pt>
                <c:pt idx="19">
                  <c:v>580</c:v>
                </c:pt>
                <c:pt idx="20" formatCode="#,##0">
                  <c:v>2245</c:v>
                </c:pt>
                <c:pt idx="21">
                  <c:v>269</c:v>
                </c:pt>
                <c:pt idx="22">
                  <c:v>216</c:v>
                </c:pt>
                <c:pt idx="23">
                  <c:v>7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2</c:v>
                </c:pt>
                <c:pt idx="29">
                  <c:v>11</c:v>
                </c:pt>
                <c:pt idx="30">
                  <c:v>2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115</c:v>
                </c:pt>
                <c:pt idx="36">
                  <c:v>0</c:v>
                </c:pt>
                <c:pt idx="37">
                  <c:v>77</c:v>
                </c:pt>
                <c:pt idx="38">
                  <c:v>99</c:v>
                </c:pt>
                <c:pt idx="39">
                  <c:v>101</c:v>
                </c:pt>
                <c:pt idx="40">
                  <c:v>95</c:v>
                </c:pt>
                <c:pt idx="41">
                  <c:v>117</c:v>
                </c:pt>
                <c:pt idx="42">
                  <c:v>133</c:v>
                </c:pt>
                <c:pt idx="43">
                  <c:v>193</c:v>
                </c:pt>
                <c:pt idx="44">
                  <c:v>192</c:v>
                </c:pt>
                <c:pt idx="45">
                  <c:v>217</c:v>
                </c:pt>
                <c:pt idx="46">
                  <c:v>255</c:v>
                </c:pt>
                <c:pt idx="47">
                  <c:v>254</c:v>
                </c:pt>
                <c:pt idx="48">
                  <c:v>250</c:v>
                </c:pt>
                <c:pt idx="49">
                  <c:v>310</c:v>
                </c:pt>
                <c:pt idx="50" formatCode="_(* #,##0_);_(* \(#,##0\);_(* &quot;-&quot;??_);_(@_)">
                  <c:v>531.52499999999998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SKor!$C$14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SKor!$D$14:$BD$14</c:f>
              <c:numCache>
                <c:formatCode>General</c:formatCode>
                <c:ptCount val="53"/>
                <c:pt idx="0">
                  <c:v>4</c:v>
                </c:pt>
                <c:pt idx="1">
                  <c:v>60</c:v>
                </c:pt>
                <c:pt idx="2">
                  <c:v>5</c:v>
                </c:pt>
                <c:pt idx="3">
                  <c:v>13</c:v>
                </c:pt>
                <c:pt idx="4">
                  <c:v>19</c:v>
                </c:pt>
                <c:pt idx="5">
                  <c:v>40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80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135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1</c:v>
                </c:pt>
                <c:pt idx="30">
                  <c:v>17</c:v>
                </c:pt>
                <c:pt idx="31">
                  <c:v>2</c:v>
                </c:pt>
                <c:pt idx="32">
                  <c:v>2</c:v>
                </c:pt>
                <c:pt idx="33">
                  <c:v>0</c:v>
                </c:pt>
                <c:pt idx="34">
                  <c:v>151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126</c:v>
                </c:pt>
                <c:pt idx="42">
                  <c:v>568</c:v>
                </c:pt>
                <c:pt idx="43">
                  <c:v>211</c:v>
                </c:pt>
                <c:pt idx="44">
                  <c:v>269</c:v>
                </c:pt>
                <c:pt idx="45">
                  <c:v>221</c:v>
                </c:pt>
                <c:pt idx="46">
                  <c:v>161</c:v>
                </c:pt>
                <c:pt idx="47">
                  <c:v>0</c:v>
                </c:pt>
                <c:pt idx="48">
                  <c:v>3</c:v>
                </c:pt>
                <c:pt idx="49">
                  <c:v>9</c:v>
                </c:pt>
                <c:pt idx="50" formatCode="_(* #,##0_);_(* \(#,##0\);_(* &quot;-&quot;??_);_(@_)">
                  <c:v>3.726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SKor!$C$15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SKor!$D$15:$BD$15</c:f>
              <c:numCache>
                <c:formatCode>#,##0</c:formatCode>
                <c:ptCount val="53"/>
                <c:pt idx="0">
                  <c:v>3121</c:v>
                </c:pt>
                <c:pt idx="1">
                  <c:v>3442</c:v>
                </c:pt>
                <c:pt idx="2">
                  <c:v>3127</c:v>
                </c:pt>
                <c:pt idx="3">
                  <c:v>3740</c:v>
                </c:pt>
                <c:pt idx="4">
                  <c:v>3913</c:v>
                </c:pt>
                <c:pt idx="5">
                  <c:v>3444</c:v>
                </c:pt>
                <c:pt idx="6">
                  <c:v>4119</c:v>
                </c:pt>
                <c:pt idx="7">
                  <c:v>3811</c:v>
                </c:pt>
                <c:pt idx="8">
                  <c:v>3866</c:v>
                </c:pt>
                <c:pt idx="9">
                  <c:v>4271</c:v>
                </c:pt>
                <c:pt idx="10">
                  <c:v>4945</c:v>
                </c:pt>
                <c:pt idx="11">
                  <c:v>3973</c:v>
                </c:pt>
                <c:pt idx="12">
                  <c:v>4296</c:v>
                </c:pt>
                <c:pt idx="13">
                  <c:v>4641</c:v>
                </c:pt>
                <c:pt idx="14">
                  <c:v>4707</c:v>
                </c:pt>
                <c:pt idx="15">
                  <c:v>4646</c:v>
                </c:pt>
                <c:pt idx="16">
                  <c:v>5100</c:v>
                </c:pt>
                <c:pt idx="17">
                  <c:v>5784</c:v>
                </c:pt>
                <c:pt idx="18">
                  <c:v>6764</c:v>
                </c:pt>
                <c:pt idx="19">
                  <c:v>5786</c:v>
                </c:pt>
                <c:pt idx="20">
                  <c:v>5432</c:v>
                </c:pt>
                <c:pt idx="21">
                  <c:v>5404</c:v>
                </c:pt>
                <c:pt idx="22">
                  <c:v>5303</c:v>
                </c:pt>
                <c:pt idx="23">
                  <c:v>5540</c:v>
                </c:pt>
                <c:pt idx="24">
                  <c:v>5497</c:v>
                </c:pt>
                <c:pt idx="25">
                  <c:v>5807</c:v>
                </c:pt>
                <c:pt idx="26">
                  <c:v>5700</c:v>
                </c:pt>
                <c:pt idx="27">
                  <c:v>5506</c:v>
                </c:pt>
                <c:pt idx="28">
                  <c:v>5591</c:v>
                </c:pt>
                <c:pt idx="29">
                  <c:v>5468</c:v>
                </c:pt>
                <c:pt idx="30">
                  <c:v>5490</c:v>
                </c:pt>
                <c:pt idx="31">
                  <c:v>5526</c:v>
                </c:pt>
                <c:pt idx="32">
                  <c:v>5500</c:v>
                </c:pt>
                <c:pt idx="33">
                  <c:v>5424</c:v>
                </c:pt>
                <c:pt idx="34">
                  <c:v>5406</c:v>
                </c:pt>
                <c:pt idx="35">
                  <c:v>5230</c:v>
                </c:pt>
                <c:pt idx="36">
                  <c:v>5070</c:v>
                </c:pt>
                <c:pt idx="37">
                  <c:v>5216</c:v>
                </c:pt>
                <c:pt idx="38">
                  <c:v>5280</c:v>
                </c:pt>
                <c:pt idx="39">
                  <c:v>5114</c:v>
                </c:pt>
                <c:pt idx="40">
                  <c:v>5152</c:v>
                </c:pt>
                <c:pt idx="41">
                  <c:v>5155</c:v>
                </c:pt>
                <c:pt idx="42">
                  <c:v>5134</c:v>
                </c:pt>
                <c:pt idx="43">
                  <c:v>4512</c:v>
                </c:pt>
                <c:pt idx="44">
                  <c:v>4951</c:v>
                </c:pt>
                <c:pt idx="45">
                  <c:v>4766</c:v>
                </c:pt>
                <c:pt idx="46">
                  <c:v>4887</c:v>
                </c:pt>
                <c:pt idx="47">
                  <c:v>4670</c:v>
                </c:pt>
                <c:pt idx="48">
                  <c:v>4788</c:v>
                </c:pt>
                <c:pt idx="49">
                  <c:v>4760</c:v>
                </c:pt>
                <c:pt idx="50" formatCode="_(* #,##0_);_(* \(#,##0\);_(* &quot;-&quot;??_);_(@_)">
                  <c:v>6562.0990000000002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82896"/>
        <c:axId val="315573096"/>
      </c:lineChart>
      <c:catAx>
        <c:axId val="3155828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3096"/>
        <c:crosses val="autoZero"/>
        <c:auto val="1"/>
        <c:lblAlgn val="ctr"/>
        <c:lblOffset val="100"/>
        <c:noMultiLvlLbl val="0"/>
      </c:catAx>
      <c:valAx>
        <c:axId val="3155730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289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2259502574676143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SKor!$C$16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SKor!$D$16:$BD$16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5</c:v>
                </c:pt>
                <c:pt idx="15">
                  <c:v>4</c:v>
                </c:pt>
                <c:pt idx="16">
                  <c:v>4</c:v>
                </c:pt>
                <c:pt idx="17">
                  <c:v>5</c:v>
                </c:pt>
                <c:pt idx="18">
                  <c:v>5</c:v>
                </c:pt>
                <c:pt idx="19">
                  <c:v>4</c:v>
                </c:pt>
                <c:pt idx="20">
                  <c:v>4</c:v>
                </c:pt>
                <c:pt idx="21">
                  <c:v>5</c:v>
                </c:pt>
                <c:pt idx="22">
                  <c:v>4</c:v>
                </c:pt>
                <c:pt idx="23">
                  <c:v>3</c:v>
                </c:pt>
                <c:pt idx="24">
                  <c:v>3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1</c:v>
                </c:pt>
                <c:pt idx="34">
                  <c:v>1</c:v>
                </c:pt>
                <c:pt idx="35">
                  <c:v>2</c:v>
                </c:pt>
                <c:pt idx="36">
                  <c:v>1</c:v>
                </c:pt>
                <c:pt idx="37">
                  <c:v>2</c:v>
                </c:pt>
                <c:pt idx="38">
                  <c:v>2</c:v>
                </c:pt>
                <c:pt idx="39">
                  <c:v>2</c:v>
                </c:pt>
                <c:pt idx="40">
                  <c:v>1</c:v>
                </c:pt>
                <c:pt idx="41">
                  <c:v>1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2.2930000000000001</c:v>
                </c:pt>
                <c:pt idx="51" formatCode="_(* #,##0_);_(* \(#,##0\);_(* &quot;-&quot;??_);_(@_)">
                  <c:v>2.4</c:v>
                </c:pt>
                <c:pt idx="52" formatCode="_(* #,##0_);_(* \(#,##0\);_(* &quot;-&quot;??_);_(@_)">
                  <c:v>2.5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SKor!$C$17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SKor!$D$17:$BD$17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63</c:v>
                </c:pt>
                <c:pt idx="14">
                  <c:v>28</c:v>
                </c:pt>
                <c:pt idx="15">
                  <c:v>0</c:v>
                </c:pt>
                <c:pt idx="16">
                  <c:v>35</c:v>
                </c:pt>
                <c:pt idx="17">
                  <c:v>0</c:v>
                </c:pt>
                <c:pt idx="18">
                  <c:v>106</c:v>
                </c:pt>
                <c:pt idx="19">
                  <c:v>24</c:v>
                </c:pt>
                <c:pt idx="20">
                  <c:v>70</c:v>
                </c:pt>
                <c:pt idx="21">
                  <c:v>394</c:v>
                </c:pt>
                <c:pt idx="22">
                  <c:v>175</c:v>
                </c:pt>
                <c:pt idx="23">
                  <c:v>300</c:v>
                </c:pt>
                <c:pt idx="24">
                  <c:v>303</c:v>
                </c:pt>
                <c:pt idx="25">
                  <c:v>304</c:v>
                </c:pt>
                <c:pt idx="26">
                  <c:v>37</c:v>
                </c:pt>
                <c:pt idx="27">
                  <c:v>0</c:v>
                </c:pt>
                <c:pt idx="28">
                  <c:v>640</c:v>
                </c:pt>
                <c:pt idx="29">
                  <c:v>134</c:v>
                </c:pt>
                <c:pt idx="30">
                  <c:v>0</c:v>
                </c:pt>
                <c:pt idx="31">
                  <c:v>124</c:v>
                </c:pt>
                <c:pt idx="32">
                  <c:v>117</c:v>
                </c:pt>
                <c:pt idx="33">
                  <c:v>13</c:v>
                </c:pt>
                <c:pt idx="34">
                  <c:v>51</c:v>
                </c:pt>
                <c:pt idx="35">
                  <c:v>172</c:v>
                </c:pt>
                <c:pt idx="36">
                  <c:v>72</c:v>
                </c:pt>
                <c:pt idx="37">
                  <c:v>1</c:v>
                </c:pt>
                <c:pt idx="38">
                  <c:v>1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28</c:v>
                </c:pt>
                <c:pt idx="44">
                  <c:v>6</c:v>
                </c:pt>
                <c:pt idx="45">
                  <c:v>14</c:v>
                </c:pt>
                <c:pt idx="46">
                  <c:v>5</c:v>
                </c:pt>
                <c:pt idx="47">
                  <c:v>17</c:v>
                </c:pt>
                <c:pt idx="48">
                  <c:v>4</c:v>
                </c:pt>
                <c:pt idx="49">
                  <c:v>3</c:v>
                </c:pt>
                <c:pt idx="50" formatCode="_(* #,##0_);_(* \(#,##0\);_(* &quot;-&quot;??_);_(@_)">
                  <c:v>5.7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SKor!$C$18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SKor!$D$18:$BD$18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63</c:v>
                </c:pt>
                <c:pt idx="14">
                  <c:v>33</c:v>
                </c:pt>
                <c:pt idx="15">
                  <c:v>4</c:v>
                </c:pt>
                <c:pt idx="16">
                  <c:v>39</c:v>
                </c:pt>
                <c:pt idx="17">
                  <c:v>5</c:v>
                </c:pt>
                <c:pt idx="18">
                  <c:v>98</c:v>
                </c:pt>
                <c:pt idx="19">
                  <c:v>41</c:v>
                </c:pt>
                <c:pt idx="20">
                  <c:v>38</c:v>
                </c:pt>
                <c:pt idx="21">
                  <c:v>370</c:v>
                </c:pt>
                <c:pt idx="22">
                  <c:v>209</c:v>
                </c:pt>
                <c:pt idx="23">
                  <c:v>320</c:v>
                </c:pt>
                <c:pt idx="24">
                  <c:v>308</c:v>
                </c:pt>
                <c:pt idx="25">
                  <c:v>314</c:v>
                </c:pt>
                <c:pt idx="26">
                  <c:v>44</c:v>
                </c:pt>
                <c:pt idx="27">
                  <c:v>0</c:v>
                </c:pt>
                <c:pt idx="28">
                  <c:v>561</c:v>
                </c:pt>
                <c:pt idx="29">
                  <c:v>222</c:v>
                </c:pt>
                <c:pt idx="30">
                  <c:v>2</c:v>
                </c:pt>
                <c:pt idx="31">
                  <c:v>86</c:v>
                </c:pt>
                <c:pt idx="32">
                  <c:v>159</c:v>
                </c:pt>
                <c:pt idx="33">
                  <c:v>14</c:v>
                </c:pt>
                <c:pt idx="34">
                  <c:v>52</c:v>
                </c:pt>
                <c:pt idx="35">
                  <c:v>174</c:v>
                </c:pt>
                <c:pt idx="36">
                  <c:v>73</c:v>
                </c:pt>
                <c:pt idx="37">
                  <c:v>3</c:v>
                </c:pt>
                <c:pt idx="38">
                  <c:v>3</c:v>
                </c:pt>
                <c:pt idx="39">
                  <c:v>6</c:v>
                </c:pt>
                <c:pt idx="40">
                  <c:v>5</c:v>
                </c:pt>
                <c:pt idx="41">
                  <c:v>5</c:v>
                </c:pt>
                <c:pt idx="42">
                  <c:v>4</c:v>
                </c:pt>
                <c:pt idx="43">
                  <c:v>28</c:v>
                </c:pt>
                <c:pt idx="44">
                  <c:v>6</c:v>
                </c:pt>
                <c:pt idx="45">
                  <c:v>14</c:v>
                </c:pt>
                <c:pt idx="46">
                  <c:v>5</c:v>
                </c:pt>
                <c:pt idx="47">
                  <c:v>17</c:v>
                </c:pt>
                <c:pt idx="48">
                  <c:v>4</c:v>
                </c:pt>
                <c:pt idx="49">
                  <c:v>3</c:v>
                </c:pt>
                <c:pt idx="50" formatCode="_(* #,##0_);_(* \(#,##0\);_(* &quot;-&quot;??_);_(@_)">
                  <c:v>7.9930000000000003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80152"/>
        <c:axId val="315579368"/>
      </c:lineChart>
      <c:catAx>
        <c:axId val="3155801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9368"/>
        <c:crosses val="autoZero"/>
        <c:auto val="1"/>
        <c:lblAlgn val="ctr"/>
        <c:lblOffset val="100"/>
        <c:noMultiLvlLbl val="0"/>
      </c:catAx>
      <c:valAx>
        <c:axId val="31557936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015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78"/>
          <c:w val="0.14362716201194398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19"/>
          <c:w val="0.8452459084856948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SKor!$C$19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SKor!$D$19:$BD$19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26</c:v>
                </c:pt>
                <c:pt idx="13">
                  <c:v>308</c:v>
                </c:pt>
                <c:pt idx="14">
                  <c:v>360</c:v>
                </c:pt>
                <c:pt idx="15">
                  <c:v>313</c:v>
                </c:pt>
                <c:pt idx="16">
                  <c:v>428</c:v>
                </c:pt>
                <c:pt idx="17">
                  <c:v>557</c:v>
                </c:pt>
                <c:pt idx="18">
                  <c:v>669</c:v>
                </c:pt>
                <c:pt idx="19">
                  <c:v>690</c:v>
                </c:pt>
                <c:pt idx="20">
                  <c:v>760</c:v>
                </c:pt>
                <c:pt idx="21">
                  <c:v>710</c:v>
                </c:pt>
                <c:pt idx="22">
                  <c:v>822</c:v>
                </c:pt>
                <c:pt idx="23">
                  <c:v>770</c:v>
                </c:pt>
                <c:pt idx="24">
                  <c:v>855</c:v>
                </c:pt>
                <c:pt idx="25">
                  <c:v>970</c:v>
                </c:pt>
                <c:pt idx="26" formatCode="#,##0">
                  <c:v>1101</c:v>
                </c:pt>
                <c:pt idx="27" formatCode="#,##0">
                  <c:v>1105</c:v>
                </c:pt>
                <c:pt idx="28" formatCode="#,##0">
                  <c:v>1109</c:v>
                </c:pt>
                <c:pt idx="29" formatCode="#,##0">
                  <c:v>1110</c:v>
                </c:pt>
                <c:pt idx="30" formatCode="#,##0">
                  <c:v>1233</c:v>
                </c:pt>
                <c:pt idx="31" formatCode="#,##0">
                  <c:v>1258</c:v>
                </c:pt>
                <c:pt idx="32" formatCode="#,##0">
                  <c:v>1233</c:v>
                </c:pt>
                <c:pt idx="33" formatCode="#,##0">
                  <c:v>1258</c:v>
                </c:pt>
                <c:pt idx="34" formatCode="#,##0">
                  <c:v>1345</c:v>
                </c:pt>
                <c:pt idx="35" formatCode="#,##0">
                  <c:v>1411</c:v>
                </c:pt>
                <c:pt idx="36" formatCode="#,##0">
                  <c:v>1497</c:v>
                </c:pt>
                <c:pt idx="37" formatCode="#,##0">
                  <c:v>1424</c:v>
                </c:pt>
                <c:pt idx="38" formatCode="#,##0">
                  <c:v>1403</c:v>
                </c:pt>
                <c:pt idx="39" formatCode="#,##0">
                  <c:v>1514</c:v>
                </c:pt>
                <c:pt idx="40" formatCode="#,##0">
                  <c:v>1574</c:v>
                </c:pt>
                <c:pt idx="41" formatCode="#,##0">
                  <c:v>1590</c:v>
                </c:pt>
                <c:pt idx="42" formatCode="#,##0">
                  <c:v>1590</c:v>
                </c:pt>
                <c:pt idx="43" formatCode="#,##0">
                  <c:v>1682</c:v>
                </c:pt>
                <c:pt idx="44" formatCode="#,##0">
                  <c:v>1652</c:v>
                </c:pt>
                <c:pt idx="45" formatCode="#,##0">
                  <c:v>1669</c:v>
                </c:pt>
                <c:pt idx="46" formatCode="#,##0">
                  <c:v>1518</c:v>
                </c:pt>
                <c:pt idx="47" formatCode="#,##0">
                  <c:v>1648</c:v>
                </c:pt>
                <c:pt idx="48" formatCode="#,##0">
                  <c:v>1550</c:v>
                </c:pt>
                <c:pt idx="49" formatCode="#,##0">
                  <c:v>1600</c:v>
                </c:pt>
                <c:pt idx="50" formatCode="_(* #,##0_);_(* \(#,##0\);_(* &quot;-&quot;??_);_(@_)">
                  <c:v>1600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SKor!$C$20</c:f>
              <c:strCache>
                <c:ptCount val="1"/>
                <c:pt idx="0">
                  <c:v>Total Exports</c:v>
                </c:pt>
              </c:strCache>
            </c:strRef>
          </c:tx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SKor!$D$20:$BD$20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73</c:v>
                </c:pt>
                <c:pt idx="14">
                  <c:v>167</c:v>
                </c:pt>
                <c:pt idx="15">
                  <c:v>81</c:v>
                </c:pt>
                <c:pt idx="16">
                  <c:v>86</c:v>
                </c:pt>
                <c:pt idx="17">
                  <c:v>107</c:v>
                </c:pt>
                <c:pt idx="18">
                  <c:v>122</c:v>
                </c:pt>
                <c:pt idx="19">
                  <c:v>205</c:v>
                </c:pt>
                <c:pt idx="20">
                  <c:v>380</c:v>
                </c:pt>
                <c:pt idx="21">
                  <c:v>300</c:v>
                </c:pt>
                <c:pt idx="22">
                  <c:v>335</c:v>
                </c:pt>
                <c:pt idx="23">
                  <c:v>234</c:v>
                </c:pt>
                <c:pt idx="24">
                  <c:v>360</c:v>
                </c:pt>
                <c:pt idx="25">
                  <c:v>296</c:v>
                </c:pt>
                <c:pt idx="26">
                  <c:v>289</c:v>
                </c:pt>
                <c:pt idx="27">
                  <c:v>320</c:v>
                </c:pt>
                <c:pt idx="28">
                  <c:v>305</c:v>
                </c:pt>
                <c:pt idx="29">
                  <c:v>372</c:v>
                </c:pt>
                <c:pt idx="30">
                  <c:v>260</c:v>
                </c:pt>
                <c:pt idx="31">
                  <c:v>276</c:v>
                </c:pt>
                <c:pt idx="32">
                  <c:v>260</c:v>
                </c:pt>
                <c:pt idx="33">
                  <c:v>274</c:v>
                </c:pt>
                <c:pt idx="34">
                  <c:v>305</c:v>
                </c:pt>
                <c:pt idx="35">
                  <c:v>276</c:v>
                </c:pt>
                <c:pt idx="36">
                  <c:v>271</c:v>
                </c:pt>
                <c:pt idx="37">
                  <c:v>348</c:v>
                </c:pt>
                <c:pt idx="38">
                  <c:v>328</c:v>
                </c:pt>
                <c:pt idx="39">
                  <c:v>348</c:v>
                </c:pt>
                <c:pt idx="40">
                  <c:v>316</c:v>
                </c:pt>
                <c:pt idx="41">
                  <c:v>314</c:v>
                </c:pt>
                <c:pt idx="42">
                  <c:v>326</c:v>
                </c:pt>
                <c:pt idx="43">
                  <c:v>338</c:v>
                </c:pt>
                <c:pt idx="44">
                  <c:v>314</c:v>
                </c:pt>
                <c:pt idx="45">
                  <c:v>338</c:v>
                </c:pt>
                <c:pt idx="46">
                  <c:v>407</c:v>
                </c:pt>
                <c:pt idx="47">
                  <c:v>310</c:v>
                </c:pt>
                <c:pt idx="48">
                  <c:v>296</c:v>
                </c:pt>
                <c:pt idx="49">
                  <c:v>340</c:v>
                </c:pt>
                <c:pt idx="50" formatCode="_(* #,##0_);_(* \(#,##0\);_(* &quot;-&quot;??_);_(@_)">
                  <c:v>340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SKor!$C$21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SKor!$D$21:$BD$21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241</c:v>
                </c:pt>
                <c:pt idx="14">
                  <c:v>200</c:v>
                </c:pt>
                <c:pt idx="15">
                  <c:v>235</c:v>
                </c:pt>
                <c:pt idx="16">
                  <c:v>324</c:v>
                </c:pt>
                <c:pt idx="17">
                  <c:v>452</c:v>
                </c:pt>
                <c:pt idx="18">
                  <c:v>547</c:v>
                </c:pt>
                <c:pt idx="19">
                  <c:v>455</c:v>
                </c:pt>
                <c:pt idx="20">
                  <c:v>406</c:v>
                </c:pt>
                <c:pt idx="21">
                  <c:v>417</c:v>
                </c:pt>
                <c:pt idx="22">
                  <c:v>453</c:v>
                </c:pt>
                <c:pt idx="23">
                  <c:v>506</c:v>
                </c:pt>
                <c:pt idx="24">
                  <c:v>514</c:v>
                </c:pt>
                <c:pt idx="25">
                  <c:v>602</c:v>
                </c:pt>
                <c:pt idx="26">
                  <c:v>750</c:v>
                </c:pt>
                <c:pt idx="27">
                  <c:v>780</c:v>
                </c:pt>
                <c:pt idx="28">
                  <c:v>790</c:v>
                </c:pt>
                <c:pt idx="29">
                  <c:v>859</c:v>
                </c:pt>
                <c:pt idx="30">
                  <c:v>968</c:v>
                </c:pt>
                <c:pt idx="31">
                  <c:v>987</c:v>
                </c:pt>
                <c:pt idx="32">
                  <c:v>968</c:v>
                </c:pt>
                <c:pt idx="33">
                  <c:v>987</c:v>
                </c:pt>
                <c:pt idx="34" formatCode="#,##0">
                  <c:v>1015</c:v>
                </c:pt>
                <c:pt idx="35" formatCode="#,##0">
                  <c:v>1122</c:v>
                </c:pt>
                <c:pt idx="36" formatCode="#,##0">
                  <c:v>1214</c:v>
                </c:pt>
                <c:pt idx="37" formatCode="#,##0">
                  <c:v>1092</c:v>
                </c:pt>
                <c:pt idx="38" formatCode="#,##0">
                  <c:v>1118</c:v>
                </c:pt>
                <c:pt idx="39" formatCode="#,##0">
                  <c:v>1174</c:v>
                </c:pt>
                <c:pt idx="40" formatCode="#,##0">
                  <c:v>1245</c:v>
                </c:pt>
                <c:pt idx="41" formatCode="#,##0">
                  <c:v>1124</c:v>
                </c:pt>
                <c:pt idx="42" formatCode="#,##0">
                  <c:v>1114</c:v>
                </c:pt>
                <c:pt idx="43" formatCode="#,##0">
                  <c:v>1164</c:v>
                </c:pt>
                <c:pt idx="44" formatCode="#,##0">
                  <c:v>1198</c:v>
                </c:pt>
                <c:pt idx="45" formatCode="#,##0">
                  <c:v>1196</c:v>
                </c:pt>
                <c:pt idx="46" formatCode="#,##0">
                  <c:v>1005</c:v>
                </c:pt>
                <c:pt idx="47" formatCode="#,##0">
                  <c:v>1140</c:v>
                </c:pt>
                <c:pt idx="48" formatCode="#,##0">
                  <c:v>1069</c:v>
                </c:pt>
                <c:pt idx="49" formatCode="#,##0">
                  <c:v>1155</c:v>
                </c:pt>
                <c:pt idx="50" formatCode="_(* #,##0_);_(* \(#,##0\);_(* &quot;-&quot;??_);_(@_)">
                  <c:v>1155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79760"/>
        <c:axId val="315578976"/>
      </c:lineChart>
      <c:catAx>
        <c:axId val="315579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8976"/>
        <c:crosses val="autoZero"/>
        <c:auto val="1"/>
        <c:lblAlgn val="ctr"/>
        <c:lblOffset val="100"/>
        <c:noMultiLvlLbl val="0"/>
      </c:catAx>
      <c:valAx>
        <c:axId val="31557897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976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"/>
          <c:w val="0.14226438962681848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27"/>
          <c:w val="0.845245908485695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SKor!$C$22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SKor!$D$22:$BD$22</c:f>
              <c:numCache>
                <c:formatCode>General</c:formatCode>
                <c:ptCount val="53"/>
                <c:pt idx="0">
                  <c:v>159</c:v>
                </c:pt>
                <c:pt idx="1">
                  <c:v>172</c:v>
                </c:pt>
                <c:pt idx="2">
                  <c:v>164</c:v>
                </c:pt>
                <c:pt idx="3">
                  <c:v>139</c:v>
                </c:pt>
                <c:pt idx="4">
                  <c:v>190</c:v>
                </c:pt>
                <c:pt idx="5">
                  <c:v>184</c:v>
                </c:pt>
                <c:pt idx="6">
                  <c:v>193</c:v>
                </c:pt>
                <c:pt idx="7">
                  <c:v>211</c:v>
                </c:pt>
                <c:pt idx="8">
                  <c:v>224</c:v>
                </c:pt>
                <c:pt idx="9">
                  <c:v>219</c:v>
                </c:pt>
                <c:pt idx="10">
                  <c:v>196</c:v>
                </c:pt>
                <c:pt idx="11">
                  <c:v>149</c:v>
                </c:pt>
                <c:pt idx="12">
                  <c:v>100</c:v>
                </c:pt>
                <c:pt idx="13">
                  <c:v>74</c:v>
                </c:pt>
                <c:pt idx="14">
                  <c:v>97</c:v>
                </c:pt>
                <c:pt idx="15">
                  <c:v>82</c:v>
                </c:pt>
                <c:pt idx="16">
                  <c:v>45</c:v>
                </c:pt>
                <c:pt idx="17">
                  <c:v>36</c:v>
                </c:pt>
                <c:pt idx="18">
                  <c:v>42</c:v>
                </c:pt>
                <c:pt idx="19">
                  <c:v>42</c:v>
                </c:pt>
                <c:pt idx="20">
                  <c:v>92</c:v>
                </c:pt>
                <c:pt idx="21">
                  <c:v>57</c:v>
                </c:pt>
                <c:pt idx="22">
                  <c:v>66</c:v>
                </c:pt>
                <c:pt idx="23">
                  <c:v>112</c:v>
                </c:pt>
                <c:pt idx="24">
                  <c:v>17</c:v>
                </c:pt>
                <c:pt idx="25">
                  <c:v>11</c:v>
                </c:pt>
                <c:pt idx="26">
                  <c:v>5</c:v>
                </c:pt>
                <c:pt idx="27">
                  <c:v>4</c:v>
                </c:pt>
                <c:pt idx="28">
                  <c:v>2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2</c:v>
                </c:pt>
                <c:pt idx="35">
                  <c:v>10</c:v>
                </c:pt>
                <c:pt idx="36">
                  <c:v>11</c:v>
                </c:pt>
                <c:pt idx="37">
                  <c:v>5</c:v>
                </c:pt>
                <c:pt idx="38">
                  <c:v>5</c:v>
                </c:pt>
                <c:pt idx="39">
                  <c:v>6</c:v>
                </c:pt>
                <c:pt idx="40">
                  <c:v>2</c:v>
                </c:pt>
                <c:pt idx="41">
                  <c:v>3</c:v>
                </c:pt>
                <c:pt idx="42">
                  <c:v>6</c:v>
                </c:pt>
                <c:pt idx="43">
                  <c:v>10</c:v>
                </c:pt>
                <c:pt idx="44">
                  <c:v>13</c:v>
                </c:pt>
                <c:pt idx="45">
                  <c:v>8</c:v>
                </c:pt>
                <c:pt idx="46">
                  <c:v>6</c:v>
                </c:pt>
                <c:pt idx="47">
                  <c:v>8</c:v>
                </c:pt>
                <c:pt idx="48">
                  <c:v>10</c:v>
                </c:pt>
                <c:pt idx="49">
                  <c:v>26</c:v>
                </c:pt>
                <c:pt idx="50" formatCode="_(* #,##0_);_(* \(#,##0\);_(* &quot;-&quot;??_);_(@_)">
                  <c:v>43.677</c:v>
                </c:pt>
                <c:pt idx="51" formatCode="_(* #,##0_);_(* \(#,##0\);_(* &quot;-&quot;??_);_(@_)">
                  <c:v>37.014000000000003</c:v>
                </c:pt>
                <c:pt idx="52" formatCode="_(* #,##0_);_(* \(#,##0\);_(* &quot;-&quot;??_);_(@_)">
                  <c:v>27.13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SKor!$C$23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SKor!$D$23:$BD$23</c:f>
              <c:numCache>
                <c:formatCode>General</c:formatCode>
                <c:ptCount val="53"/>
                <c:pt idx="0">
                  <c:v>361</c:v>
                </c:pt>
                <c:pt idx="1">
                  <c:v>413</c:v>
                </c:pt>
                <c:pt idx="2">
                  <c:v>913</c:v>
                </c:pt>
                <c:pt idx="3">
                  <c:v>834</c:v>
                </c:pt>
                <c:pt idx="4">
                  <c:v>528</c:v>
                </c:pt>
                <c:pt idx="5">
                  <c:v>600</c:v>
                </c:pt>
                <c:pt idx="6">
                  <c:v>654</c:v>
                </c:pt>
                <c:pt idx="7" formatCode="#,##0">
                  <c:v>1126</c:v>
                </c:pt>
                <c:pt idx="8" formatCode="#,##0">
                  <c:v>1369</c:v>
                </c:pt>
                <c:pt idx="9" formatCode="#,##0">
                  <c:v>1254</c:v>
                </c:pt>
                <c:pt idx="10" formatCode="#,##0">
                  <c:v>1384</c:v>
                </c:pt>
                <c:pt idx="11" formatCode="#,##0">
                  <c:v>1778</c:v>
                </c:pt>
                <c:pt idx="12" formatCode="#,##0">
                  <c:v>1772</c:v>
                </c:pt>
                <c:pt idx="13" formatCode="#,##0">
                  <c:v>1427</c:v>
                </c:pt>
                <c:pt idx="14" formatCode="#,##0">
                  <c:v>1584</c:v>
                </c:pt>
                <c:pt idx="15" formatCode="#,##0">
                  <c:v>1857</c:v>
                </c:pt>
                <c:pt idx="16" formatCode="#,##0">
                  <c:v>1979</c:v>
                </c:pt>
                <c:pt idx="17" formatCode="#,##0">
                  <c:v>1587</c:v>
                </c:pt>
                <c:pt idx="18" formatCode="#,##0">
                  <c:v>1652</c:v>
                </c:pt>
                <c:pt idx="19" formatCode="#,##0">
                  <c:v>1810</c:v>
                </c:pt>
                <c:pt idx="20" formatCode="#,##0">
                  <c:v>2095</c:v>
                </c:pt>
                <c:pt idx="21" formatCode="#,##0">
                  <c:v>1868</c:v>
                </c:pt>
                <c:pt idx="22" formatCode="#,##0">
                  <c:v>1880</c:v>
                </c:pt>
                <c:pt idx="23" formatCode="#,##0">
                  <c:v>2351</c:v>
                </c:pt>
                <c:pt idx="24" formatCode="#,##0">
                  <c:v>3111</c:v>
                </c:pt>
                <c:pt idx="25" formatCode="#,##0">
                  <c:v>3032</c:v>
                </c:pt>
                <c:pt idx="26" formatCode="#,##0">
                  <c:v>3895</c:v>
                </c:pt>
                <c:pt idx="27" formatCode="#,##0">
                  <c:v>4459</c:v>
                </c:pt>
                <c:pt idx="28" formatCode="#,##0">
                  <c:v>2822</c:v>
                </c:pt>
                <c:pt idx="29" formatCode="#,##0">
                  <c:v>2009</c:v>
                </c:pt>
                <c:pt idx="30" formatCode="#,##0">
                  <c:v>4206</c:v>
                </c:pt>
                <c:pt idx="31" formatCode="#,##0">
                  <c:v>4396</c:v>
                </c:pt>
                <c:pt idx="32" formatCode="#,##0">
                  <c:v>3994</c:v>
                </c:pt>
                <c:pt idx="33" formatCode="#,##0">
                  <c:v>5647</c:v>
                </c:pt>
                <c:pt idx="34" formatCode="#,##0">
                  <c:v>4293</c:v>
                </c:pt>
                <c:pt idx="35" formatCode="#,##0">
                  <c:v>2554</c:v>
                </c:pt>
                <c:pt idx="36" formatCode="#,##0">
                  <c:v>3465</c:v>
                </c:pt>
                <c:pt idx="37" formatCode="#,##0">
                  <c:v>3917</c:v>
                </c:pt>
                <c:pt idx="38" formatCode="#,##0">
                  <c:v>4689</c:v>
                </c:pt>
                <c:pt idx="39" formatCode="#,##0">
                  <c:v>3811</c:v>
                </c:pt>
                <c:pt idx="40" formatCode="#,##0">
                  <c:v>3127</c:v>
                </c:pt>
                <c:pt idx="41" formatCode="#,##0">
                  <c:v>3979</c:v>
                </c:pt>
                <c:pt idx="42" formatCode="#,##0">
                  <c:v>4052</c:v>
                </c:pt>
                <c:pt idx="43" formatCode="#,##0">
                  <c:v>3434</c:v>
                </c:pt>
                <c:pt idx="44" formatCode="#,##0">
                  <c:v>3591</c:v>
                </c:pt>
                <c:pt idx="45" formatCode="#,##0">
                  <c:v>3884</c:v>
                </c:pt>
                <c:pt idx="46" formatCode="#,##0">
                  <c:v>3439</c:v>
                </c:pt>
                <c:pt idx="47" formatCode="#,##0">
                  <c:v>3092</c:v>
                </c:pt>
                <c:pt idx="48" formatCode="#,##0">
                  <c:v>3371</c:v>
                </c:pt>
                <c:pt idx="49" formatCode="#,##0">
                  <c:v>4470</c:v>
                </c:pt>
                <c:pt idx="50" formatCode="_(* #,##0_);_(* \(#,##0\);_(* &quot;-&quot;??_);_(@_)">
                  <c:v>4671.3360000000002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SKor!$C$24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SKor!$D$24:$BD$24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4</c:v>
                </c:pt>
                <c:pt idx="27">
                  <c:v>5</c:v>
                </c:pt>
                <c:pt idx="28">
                  <c:v>5</c:v>
                </c:pt>
                <c:pt idx="29">
                  <c:v>8</c:v>
                </c:pt>
                <c:pt idx="30">
                  <c:v>25</c:v>
                </c:pt>
                <c:pt idx="31">
                  <c:v>27</c:v>
                </c:pt>
                <c:pt idx="32">
                  <c:v>38</c:v>
                </c:pt>
                <c:pt idx="33">
                  <c:v>32</c:v>
                </c:pt>
                <c:pt idx="34">
                  <c:v>50</c:v>
                </c:pt>
                <c:pt idx="35">
                  <c:v>59</c:v>
                </c:pt>
                <c:pt idx="36">
                  <c:v>65</c:v>
                </c:pt>
                <c:pt idx="37">
                  <c:v>82</c:v>
                </c:pt>
                <c:pt idx="38">
                  <c:v>96</c:v>
                </c:pt>
                <c:pt idx="39">
                  <c:v>124</c:v>
                </c:pt>
                <c:pt idx="40">
                  <c:v>128</c:v>
                </c:pt>
                <c:pt idx="41">
                  <c:v>122</c:v>
                </c:pt>
                <c:pt idx="42">
                  <c:v>123</c:v>
                </c:pt>
                <c:pt idx="43">
                  <c:v>131</c:v>
                </c:pt>
                <c:pt idx="44">
                  <c:v>126</c:v>
                </c:pt>
                <c:pt idx="45">
                  <c:v>94</c:v>
                </c:pt>
                <c:pt idx="46">
                  <c:v>87</c:v>
                </c:pt>
                <c:pt idx="47">
                  <c:v>92</c:v>
                </c:pt>
                <c:pt idx="48">
                  <c:v>94</c:v>
                </c:pt>
                <c:pt idx="49">
                  <c:v>105</c:v>
                </c:pt>
                <c:pt idx="50" formatCode="_(* #,##0_);_(* \(#,##0\);_(* &quot;-&quot;??_);_(@_)">
                  <c:v>2E-3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SKor!$C$25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SKor!$D$1:$BD$1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SKor!$D$25:$BD$25</c:f>
              <c:numCache>
                <c:formatCode>General</c:formatCode>
                <c:ptCount val="53"/>
                <c:pt idx="0">
                  <c:v>520</c:v>
                </c:pt>
                <c:pt idx="1">
                  <c:v>585</c:v>
                </c:pt>
                <c:pt idx="2" formatCode="#,##0">
                  <c:v>1077</c:v>
                </c:pt>
                <c:pt idx="3">
                  <c:v>973</c:v>
                </c:pt>
                <c:pt idx="4">
                  <c:v>718</c:v>
                </c:pt>
                <c:pt idx="5">
                  <c:v>784</c:v>
                </c:pt>
                <c:pt idx="6">
                  <c:v>847</c:v>
                </c:pt>
                <c:pt idx="7" formatCode="#,##0">
                  <c:v>1242</c:v>
                </c:pt>
                <c:pt idx="8" formatCode="#,##0">
                  <c:v>1402</c:v>
                </c:pt>
                <c:pt idx="9" formatCode="#,##0">
                  <c:v>1421</c:v>
                </c:pt>
                <c:pt idx="10" formatCode="#,##0">
                  <c:v>1656</c:v>
                </c:pt>
                <c:pt idx="11" formatCode="#,##0">
                  <c:v>2033</c:v>
                </c:pt>
                <c:pt idx="12" formatCode="#,##0">
                  <c:v>1896</c:v>
                </c:pt>
                <c:pt idx="13" formatCode="#,##0">
                  <c:v>1497</c:v>
                </c:pt>
                <c:pt idx="14" formatCode="#,##0">
                  <c:v>1704</c:v>
                </c:pt>
                <c:pt idx="15" formatCode="#,##0">
                  <c:v>1816</c:v>
                </c:pt>
                <c:pt idx="16" formatCode="#,##0">
                  <c:v>1981</c:v>
                </c:pt>
                <c:pt idx="17" formatCode="#,##0">
                  <c:v>1691</c:v>
                </c:pt>
                <c:pt idx="18" formatCode="#,##0">
                  <c:v>1741</c:v>
                </c:pt>
                <c:pt idx="19" formatCode="#,##0">
                  <c:v>1874</c:v>
                </c:pt>
                <c:pt idx="20" formatCode="#,##0">
                  <c:v>2069</c:v>
                </c:pt>
                <c:pt idx="21" formatCode="#,##0">
                  <c:v>1983</c:v>
                </c:pt>
                <c:pt idx="22" formatCode="#,##0">
                  <c:v>1980</c:v>
                </c:pt>
                <c:pt idx="23" formatCode="#,##0">
                  <c:v>2356</c:v>
                </c:pt>
                <c:pt idx="24" formatCode="#,##0">
                  <c:v>2988</c:v>
                </c:pt>
                <c:pt idx="25" formatCode="#,##0">
                  <c:v>3145</c:v>
                </c:pt>
                <c:pt idx="26" formatCode="#,##0">
                  <c:v>3844</c:v>
                </c:pt>
                <c:pt idx="27" formatCode="#,##0">
                  <c:v>4282</c:v>
                </c:pt>
                <c:pt idx="28" formatCode="#,##0">
                  <c:v>3283</c:v>
                </c:pt>
                <c:pt idx="29" formatCode="#,##0">
                  <c:v>1992</c:v>
                </c:pt>
                <c:pt idx="30" formatCode="#,##0">
                  <c:v>3525</c:v>
                </c:pt>
                <c:pt idx="31" formatCode="#,##0">
                  <c:v>4846</c:v>
                </c:pt>
                <c:pt idx="32" formatCode="#,##0">
                  <c:v>3481</c:v>
                </c:pt>
                <c:pt idx="33" formatCode="#,##0">
                  <c:v>5619</c:v>
                </c:pt>
                <c:pt idx="34" formatCode="#,##0">
                  <c:v>4245</c:v>
                </c:pt>
                <c:pt idx="35" formatCode="#,##0">
                  <c:v>2496</c:v>
                </c:pt>
                <c:pt idx="36" formatCode="#,##0">
                  <c:v>3351</c:v>
                </c:pt>
                <c:pt idx="37" formatCode="#,##0">
                  <c:v>3850</c:v>
                </c:pt>
                <c:pt idx="38" formatCode="#,##0">
                  <c:v>4548</c:v>
                </c:pt>
                <c:pt idx="39" formatCode="#,##0">
                  <c:v>3493</c:v>
                </c:pt>
                <c:pt idx="40" formatCode="#,##0">
                  <c:v>3001</c:v>
                </c:pt>
                <c:pt idx="41" formatCode="#,##0">
                  <c:v>3810</c:v>
                </c:pt>
                <c:pt idx="42" formatCode="#,##0">
                  <c:v>4050</c:v>
                </c:pt>
                <c:pt idx="43" formatCode="#,##0">
                  <c:v>3340</c:v>
                </c:pt>
                <c:pt idx="44" formatCode="#,##0">
                  <c:v>3500</c:v>
                </c:pt>
                <c:pt idx="45" formatCode="#,##0">
                  <c:v>3900</c:v>
                </c:pt>
                <c:pt idx="46" formatCode="#,##0">
                  <c:v>3300</c:v>
                </c:pt>
                <c:pt idx="47" formatCode="#,##0">
                  <c:v>3000</c:v>
                </c:pt>
                <c:pt idx="48" formatCode="#,##0">
                  <c:v>3050</c:v>
                </c:pt>
                <c:pt idx="49" formatCode="#,##0">
                  <c:v>4450</c:v>
                </c:pt>
                <c:pt idx="50" formatCode="_(* #,##0_);_(* \(#,##0\);_(* &quot;-&quot;??_);_(@_)">
                  <c:v>4715.0109999999995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82112"/>
        <c:axId val="315574272"/>
      </c:lineChart>
      <c:catAx>
        <c:axId val="3155821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4272"/>
        <c:crosses val="autoZero"/>
        <c:auto val="1"/>
        <c:lblAlgn val="ctr"/>
        <c:lblOffset val="100"/>
        <c:noMultiLvlLbl val="0"/>
      </c:catAx>
      <c:valAx>
        <c:axId val="31557427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211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22"/>
          <c:w val="0.2259502574676143"/>
          <c:h val="0.1307411813077639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  <c:userShapes r:id="rId1"/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768133901295125"/>
          <c:y val="0.16144916311690594"/>
          <c:w val="0.8321311475409836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Mex!$C$2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Mex!$D$2:$BD$2</c:f>
              <c:numCache>
                <c:formatCode>#,##0</c:formatCode>
                <c:ptCount val="53"/>
                <c:pt idx="0">
                  <c:v>5386</c:v>
                </c:pt>
                <c:pt idx="1">
                  <c:v>5561</c:v>
                </c:pt>
                <c:pt idx="2">
                  <c:v>5450</c:v>
                </c:pt>
                <c:pt idx="3">
                  <c:v>6690</c:v>
                </c:pt>
                <c:pt idx="4">
                  <c:v>7500</c:v>
                </c:pt>
                <c:pt idx="5">
                  <c:v>8000</c:v>
                </c:pt>
                <c:pt idx="6">
                  <c:v>8200</c:v>
                </c:pt>
                <c:pt idx="7">
                  <c:v>8000</c:v>
                </c:pt>
                <c:pt idx="8">
                  <c:v>8500</c:v>
                </c:pt>
                <c:pt idx="9">
                  <c:v>6500</c:v>
                </c:pt>
                <c:pt idx="10">
                  <c:v>8900</c:v>
                </c:pt>
                <c:pt idx="11">
                  <c:v>9100</c:v>
                </c:pt>
                <c:pt idx="12">
                  <c:v>8100</c:v>
                </c:pt>
                <c:pt idx="13">
                  <c:v>9000</c:v>
                </c:pt>
                <c:pt idx="14">
                  <c:v>7780</c:v>
                </c:pt>
                <c:pt idx="15">
                  <c:v>9300</c:v>
                </c:pt>
                <c:pt idx="16">
                  <c:v>9600</c:v>
                </c:pt>
                <c:pt idx="17">
                  <c:v>9700</c:v>
                </c:pt>
                <c:pt idx="18">
                  <c:v>10200</c:v>
                </c:pt>
                <c:pt idx="19">
                  <c:v>9200</c:v>
                </c:pt>
                <c:pt idx="20">
                  <c:v>10400</c:v>
                </c:pt>
                <c:pt idx="21">
                  <c:v>12500</c:v>
                </c:pt>
                <c:pt idx="22">
                  <c:v>7000</c:v>
                </c:pt>
                <c:pt idx="23">
                  <c:v>9300</c:v>
                </c:pt>
                <c:pt idx="24">
                  <c:v>9900</c:v>
                </c:pt>
                <c:pt idx="25">
                  <c:v>10500</c:v>
                </c:pt>
                <c:pt idx="26">
                  <c:v>10000</c:v>
                </c:pt>
                <c:pt idx="27">
                  <c:v>9900</c:v>
                </c:pt>
                <c:pt idx="28">
                  <c:v>10100</c:v>
                </c:pt>
                <c:pt idx="29">
                  <c:v>9750</c:v>
                </c:pt>
                <c:pt idx="30">
                  <c:v>14100</c:v>
                </c:pt>
                <c:pt idx="31">
                  <c:v>14689</c:v>
                </c:pt>
                <c:pt idx="32">
                  <c:v>18631</c:v>
                </c:pt>
                <c:pt idx="33">
                  <c:v>19276</c:v>
                </c:pt>
                <c:pt idx="34">
                  <c:v>16994</c:v>
                </c:pt>
                <c:pt idx="35">
                  <c:v>17780</c:v>
                </c:pt>
                <c:pt idx="36">
                  <c:v>18922</c:v>
                </c:pt>
                <c:pt idx="37">
                  <c:v>17368</c:v>
                </c:pt>
                <c:pt idx="38">
                  <c:v>17789</c:v>
                </c:pt>
                <c:pt idx="39">
                  <c:v>19240</c:v>
                </c:pt>
                <c:pt idx="40">
                  <c:v>17917</c:v>
                </c:pt>
                <c:pt idx="41">
                  <c:v>20400</c:v>
                </c:pt>
                <c:pt idx="42">
                  <c:v>19280</c:v>
                </c:pt>
                <c:pt idx="43">
                  <c:v>21800</c:v>
                </c:pt>
                <c:pt idx="44">
                  <c:v>22050</c:v>
                </c:pt>
                <c:pt idx="45">
                  <c:v>19500</c:v>
                </c:pt>
                <c:pt idx="46">
                  <c:v>22350</c:v>
                </c:pt>
                <c:pt idx="47">
                  <c:v>23600</c:v>
                </c:pt>
                <c:pt idx="48">
                  <c:v>24226</c:v>
                </c:pt>
                <c:pt idx="49">
                  <c:v>20374</c:v>
                </c:pt>
                <c:pt idx="50" formatCode="_(* #,##0_);_(* \(#,##0\);_(* &quot;-&quot;??_);_(@_)">
                  <c:v>17635.417000000001</c:v>
                </c:pt>
                <c:pt idx="51" formatCode="_(* #,##0_);_(* \(#,##0\);_(* &quot;-&quot;??_);_(@_)">
                  <c:v>22069.254000000001</c:v>
                </c:pt>
                <c:pt idx="52" formatCode="_(* #,##0_);_(* \(#,##0\);_(* &quot;-&quot;??_);_(@_)">
                  <c:v>22663.953000000001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Mex!$C$3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Mex!$D$3:$BD$3</c:f>
              <c:numCache>
                <c:formatCode>General</c:formatCode>
                <c:ptCount val="53"/>
                <c:pt idx="0">
                  <c:v>61</c:v>
                </c:pt>
                <c:pt idx="1">
                  <c:v>20</c:v>
                </c:pt>
                <c:pt idx="2">
                  <c:v>450</c:v>
                </c:pt>
                <c:pt idx="3">
                  <c:v>117</c:v>
                </c:pt>
                <c:pt idx="4">
                  <c:v>20</c:v>
                </c:pt>
                <c:pt idx="5">
                  <c:v>14</c:v>
                </c:pt>
                <c:pt idx="6">
                  <c:v>15</c:v>
                </c:pt>
                <c:pt idx="7">
                  <c:v>25</c:v>
                </c:pt>
                <c:pt idx="8">
                  <c:v>18</c:v>
                </c:pt>
                <c:pt idx="9">
                  <c:v>780</c:v>
                </c:pt>
                <c:pt idx="10">
                  <c:v>139</c:v>
                </c:pt>
                <c:pt idx="11">
                  <c:v>37</c:v>
                </c:pt>
                <c:pt idx="12" formatCode="#,##0">
                  <c:v>1300</c:v>
                </c:pt>
                <c:pt idx="13" formatCode="#,##0">
                  <c:v>1200</c:v>
                </c:pt>
                <c:pt idx="14" formatCode="#,##0">
                  <c:v>2100</c:v>
                </c:pt>
                <c:pt idx="15" formatCode="#,##0">
                  <c:v>1450</c:v>
                </c:pt>
                <c:pt idx="16" formatCode="#,##0">
                  <c:v>1500</c:v>
                </c:pt>
                <c:pt idx="17" formatCode="#,##0">
                  <c:v>1690</c:v>
                </c:pt>
                <c:pt idx="18">
                  <c:v>630</c:v>
                </c:pt>
                <c:pt idx="19" formatCode="#,##0">
                  <c:v>3870</c:v>
                </c:pt>
                <c:pt idx="20" formatCode="#,##0">
                  <c:v>3833</c:v>
                </c:pt>
                <c:pt idx="21">
                  <c:v>571</c:v>
                </c:pt>
                <c:pt idx="22" formatCode="#,##0">
                  <c:v>4003</c:v>
                </c:pt>
                <c:pt idx="23" formatCode="#,##0">
                  <c:v>2459</c:v>
                </c:pt>
                <c:pt idx="24" formatCode="#,##0">
                  <c:v>1684</c:v>
                </c:pt>
                <c:pt idx="25" formatCode="#,##0">
                  <c:v>1736</c:v>
                </c:pt>
                <c:pt idx="26" formatCode="#,##0">
                  <c:v>3256</c:v>
                </c:pt>
                <c:pt idx="27" formatCode="#,##0">
                  <c:v>2899</c:v>
                </c:pt>
                <c:pt idx="28" formatCode="#,##0">
                  <c:v>3138</c:v>
                </c:pt>
                <c:pt idx="29" formatCode="#,##0">
                  <c:v>4995</c:v>
                </c:pt>
                <c:pt idx="30" formatCode="#,##0">
                  <c:v>1939</c:v>
                </c:pt>
                <c:pt idx="31" formatCode="#,##0">
                  <c:v>1024</c:v>
                </c:pt>
                <c:pt idx="32">
                  <c:v>396</c:v>
                </c:pt>
                <c:pt idx="33" formatCode="#,##0">
                  <c:v>1691</c:v>
                </c:pt>
                <c:pt idx="34" formatCode="#,##0">
                  <c:v>3166</c:v>
                </c:pt>
                <c:pt idx="35" formatCode="#,##0">
                  <c:v>6433</c:v>
                </c:pt>
                <c:pt idx="36" formatCode="#,##0">
                  <c:v>3141</c:v>
                </c:pt>
                <c:pt idx="37" formatCode="#,##0">
                  <c:v>4376</c:v>
                </c:pt>
                <c:pt idx="38" formatCode="#,##0">
                  <c:v>5615</c:v>
                </c:pt>
                <c:pt idx="39" formatCode="#,##0">
                  <c:v>4911</c:v>
                </c:pt>
                <c:pt idx="40" formatCode="#,##0">
                  <c:v>6017</c:v>
                </c:pt>
                <c:pt idx="41" formatCode="#,##0">
                  <c:v>4076</c:v>
                </c:pt>
                <c:pt idx="42" formatCode="#,##0">
                  <c:v>5269</c:v>
                </c:pt>
                <c:pt idx="43" formatCode="#,##0">
                  <c:v>5739</c:v>
                </c:pt>
                <c:pt idx="44" formatCode="#,##0">
                  <c:v>5945</c:v>
                </c:pt>
                <c:pt idx="45" formatCode="#,##0">
                  <c:v>6787</c:v>
                </c:pt>
                <c:pt idx="46" formatCode="#,##0">
                  <c:v>8944</c:v>
                </c:pt>
                <c:pt idx="47" formatCode="#,##0">
                  <c:v>9556</c:v>
                </c:pt>
                <c:pt idx="48" formatCode="#,##0">
                  <c:v>7764</c:v>
                </c:pt>
                <c:pt idx="49" formatCode="#,##0">
                  <c:v>8298</c:v>
                </c:pt>
                <c:pt idx="50" formatCode="_(* #,##0_);_(* \(#,##0\);_(* &quot;-&quot;??_);_(@_)">
                  <c:v>9476.1710000000003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Mex!$C$4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Mex!$D$4:$BD$4</c:f>
              <c:numCache>
                <c:formatCode>General</c:formatCode>
                <c:ptCount val="53"/>
                <c:pt idx="0">
                  <c:v>53</c:v>
                </c:pt>
                <c:pt idx="1">
                  <c:v>3</c:v>
                </c:pt>
                <c:pt idx="2">
                  <c:v>0</c:v>
                </c:pt>
                <c:pt idx="3">
                  <c:v>66</c:v>
                </c:pt>
                <c:pt idx="4" formatCode="#,##0">
                  <c:v>1170</c:v>
                </c:pt>
                <c:pt idx="5" formatCode="#,##0">
                  <c:v>1105</c:v>
                </c:pt>
                <c:pt idx="6" formatCode="#,##0">
                  <c:v>1055</c:v>
                </c:pt>
                <c:pt idx="7">
                  <c:v>921</c:v>
                </c:pt>
                <c:pt idx="8">
                  <c:v>938</c:v>
                </c:pt>
                <c:pt idx="9">
                  <c:v>61</c:v>
                </c:pt>
                <c:pt idx="10">
                  <c:v>293</c:v>
                </c:pt>
                <c:pt idx="11">
                  <c:v>469</c:v>
                </c:pt>
                <c:pt idx="12">
                  <c:v>96</c:v>
                </c:pt>
                <c:pt idx="13">
                  <c:v>0</c:v>
                </c:pt>
                <c:pt idx="14">
                  <c:v>0</c:v>
                </c:pt>
                <c:pt idx="15">
                  <c:v>4</c:v>
                </c:pt>
                <c:pt idx="16">
                  <c:v>40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12</c:v>
                </c:pt>
                <c:pt idx="32">
                  <c:v>8</c:v>
                </c:pt>
                <c:pt idx="33">
                  <c:v>113</c:v>
                </c:pt>
                <c:pt idx="34">
                  <c:v>74</c:v>
                </c:pt>
                <c:pt idx="35">
                  <c:v>72</c:v>
                </c:pt>
                <c:pt idx="36">
                  <c:v>123</c:v>
                </c:pt>
                <c:pt idx="37">
                  <c:v>258</c:v>
                </c:pt>
                <c:pt idx="38">
                  <c:v>16</c:v>
                </c:pt>
                <c:pt idx="39">
                  <c:v>8</c:v>
                </c:pt>
                <c:pt idx="40">
                  <c:v>17</c:v>
                </c:pt>
                <c:pt idx="41">
                  <c:v>164</c:v>
                </c:pt>
                <c:pt idx="42">
                  <c:v>7</c:v>
                </c:pt>
                <c:pt idx="43">
                  <c:v>5</c:v>
                </c:pt>
                <c:pt idx="44">
                  <c:v>27</c:v>
                </c:pt>
                <c:pt idx="45">
                  <c:v>209</c:v>
                </c:pt>
                <c:pt idx="46">
                  <c:v>217</c:v>
                </c:pt>
                <c:pt idx="47">
                  <c:v>109</c:v>
                </c:pt>
                <c:pt idx="48">
                  <c:v>162</c:v>
                </c:pt>
                <c:pt idx="49">
                  <c:v>642</c:v>
                </c:pt>
                <c:pt idx="50" formatCode="_(* #,##0_);_(* \(#,##0\);_(* &quot;-&quot;??_);_(@_)">
                  <c:v>101.01900000000001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Mex!$C$5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Mex!$D$5:$BD$5</c:f>
              <c:numCache>
                <c:formatCode>#,##0</c:formatCode>
                <c:ptCount val="53"/>
                <c:pt idx="0">
                  <c:v>5399</c:v>
                </c:pt>
                <c:pt idx="1">
                  <c:v>5497</c:v>
                </c:pt>
                <c:pt idx="2">
                  <c:v>5700</c:v>
                </c:pt>
                <c:pt idx="3">
                  <c:v>6000</c:v>
                </c:pt>
                <c:pt idx="4">
                  <c:v>6500</c:v>
                </c:pt>
                <c:pt idx="5">
                  <c:v>7010</c:v>
                </c:pt>
                <c:pt idx="6">
                  <c:v>7410</c:v>
                </c:pt>
                <c:pt idx="7">
                  <c:v>7520</c:v>
                </c:pt>
                <c:pt idx="8">
                  <c:v>7810</c:v>
                </c:pt>
                <c:pt idx="9">
                  <c:v>7300</c:v>
                </c:pt>
                <c:pt idx="10">
                  <c:v>8300</c:v>
                </c:pt>
                <c:pt idx="11">
                  <c:v>9092</c:v>
                </c:pt>
                <c:pt idx="12">
                  <c:v>9254</c:v>
                </c:pt>
                <c:pt idx="13">
                  <c:v>9800</c:v>
                </c:pt>
                <c:pt idx="14">
                  <c:v>9980</c:v>
                </c:pt>
                <c:pt idx="15">
                  <c:v>10570</c:v>
                </c:pt>
                <c:pt idx="16">
                  <c:v>10980</c:v>
                </c:pt>
                <c:pt idx="17">
                  <c:v>11300</c:v>
                </c:pt>
                <c:pt idx="18">
                  <c:v>11400</c:v>
                </c:pt>
                <c:pt idx="19">
                  <c:v>12700</c:v>
                </c:pt>
                <c:pt idx="20">
                  <c:v>12800</c:v>
                </c:pt>
                <c:pt idx="21">
                  <c:v>13518</c:v>
                </c:pt>
                <c:pt idx="22">
                  <c:v>12300</c:v>
                </c:pt>
                <c:pt idx="23">
                  <c:v>11600</c:v>
                </c:pt>
                <c:pt idx="24">
                  <c:v>11800</c:v>
                </c:pt>
                <c:pt idx="25">
                  <c:v>11986</c:v>
                </c:pt>
                <c:pt idx="26">
                  <c:v>13106</c:v>
                </c:pt>
                <c:pt idx="27">
                  <c:v>13024</c:v>
                </c:pt>
                <c:pt idx="28">
                  <c:v>13447</c:v>
                </c:pt>
                <c:pt idx="29">
                  <c:v>13989</c:v>
                </c:pt>
                <c:pt idx="30">
                  <c:v>15239</c:v>
                </c:pt>
                <c:pt idx="31">
                  <c:v>16451</c:v>
                </c:pt>
                <c:pt idx="32">
                  <c:v>18461</c:v>
                </c:pt>
                <c:pt idx="33">
                  <c:v>20500</c:v>
                </c:pt>
                <c:pt idx="34">
                  <c:v>20250</c:v>
                </c:pt>
                <c:pt idx="35">
                  <c:v>23200</c:v>
                </c:pt>
                <c:pt idx="36">
                  <c:v>22090</c:v>
                </c:pt>
                <c:pt idx="37">
                  <c:v>22000</c:v>
                </c:pt>
                <c:pt idx="38">
                  <c:v>23040</c:v>
                </c:pt>
                <c:pt idx="39">
                  <c:v>23660</c:v>
                </c:pt>
                <c:pt idx="40">
                  <c:v>24000</c:v>
                </c:pt>
                <c:pt idx="41">
                  <c:v>23600</c:v>
                </c:pt>
                <c:pt idx="42">
                  <c:v>24700</c:v>
                </c:pt>
                <c:pt idx="43">
                  <c:v>26400</c:v>
                </c:pt>
                <c:pt idx="44">
                  <c:v>27900</c:v>
                </c:pt>
                <c:pt idx="45">
                  <c:v>27900</c:v>
                </c:pt>
                <c:pt idx="46">
                  <c:v>30700</c:v>
                </c:pt>
                <c:pt idx="47">
                  <c:v>32000</c:v>
                </c:pt>
                <c:pt idx="48">
                  <c:v>32400</c:v>
                </c:pt>
                <c:pt idx="49">
                  <c:v>30200</c:v>
                </c:pt>
                <c:pt idx="50" formatCode="_(* #,##0_);_(* \(#,##0\);_(* &quot;-&quot;??_);_(@_)">
                  <c:v>27010.569000000003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81720"/>
        <c:axId val="315571920"/>
      </c:lineChart>
      <c:catAx>
        <c:axId val="315581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1920"/>
        <c:crosses val="autoZero"/>
        <c:auto val="1"/>
        <c:lblAlgn val="ctr"/>
        <c:lblOffset val="100"/>
        <c:noMultiLvlLbl val="0"/>
      </c:catAx>
      <c:valAx>
        <c:axId val="31557192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17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22"/>
          <c:w val="0.22317557706682462"/>
          <c:h val="0.130741146693777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Mex!$C$6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Mex!$D$6:$BD$6</c:f>
              <c:numCache>
                <c:formatCode>#,##0</c:formatCode>
                <c:ptCount val="53"/>
                <c:pt idx="0">
                  <c:v>2100</c:v>
                </c:pt>
                <c:pt idx="1">
                  <c:v>1995</c:v>
                </c:pt>
                <c:pt idx="2">
                  <c:v>2425</c:v>
                </c:pt>
                <c:pt idx="3">
                  <c:v>2109</c:v>
                </c:pt>
                <c:pt idx="4">
                  <c:v>2400</c:v>
                </c:pt>
                <c:pt idx="5">
                  <c:v>2625</c:v>
                </c:pt>
                <c:pt idx="6">
                  <c:v>2250</c:v>
                </c:pt>
                <c:pt idx="7">
                  <c:v>2000</c:v>
                </c:pt>
                <c:pt idx="8">
                  <c:v>2450</c:v>
                </c:pt>
                <c:pt idx="9">
                  <c:v>1750</c:v>
                </c:pt>
                <c:pt idx="10">
                  <c:v>1450</c:v>
                </c:pt>
                <c:pt idx="11">
                  <c:v>1710</c:v>
                </c:pt>
                <c:pt idx="12">
                  <c:v>1790</c:v>
                </c:pt>
                <c:pt idx="13">
                  <c:v>1470</c:v>
                </c:pt>
                <c:pt idx="14">
                  <c:v>2230</c:v>
                </c:pt>
                <c:pt idx="15" formatCode="General">
                  <c:v>902</c:v>
                </c:pt>
                <c:pt idx="16">
                  <c:v>1005</c:v>
                </c:pt>
                <c:pt idx="17">
                  <c:v>1610</c:v>
                </c:pt>
                <c:pt idx="18">
                  <c:v>1550</c:v>
                </c:pt>
                <c:pt idx="19">
                  <c:v>1500</c:v>
                </c:pt>
                <c:pt idx="20">
                  <c:v>1595</c:v>
                </c:pt>
                <c:pt idx="21">
                  <c:v>1424</c:v>
                </c:pt>
                <c:pt idx="22" formatCode="General">
                  <c:v>830</c:v>
                </c:pt>
                <c:pt idx="23" formatCode="General">
                  <c:v>996</c:v>
                </c:pt>
                <c:pt idx="24">
                  <c:v>1241</c:v>
                </c:pt>
                <c:pt idx="25" formatCode="General">
                  <c:v>958</c:v>
                </c:pt>
                <c:pt idx="26" formatCode="General">
                  <c:v>636</c:v>
                </c:pt>
                <c:pt idx="27">
                  <c:v>1014</c:v>
                </c:pt>
                <c:pt idx="28">
                  <c:v>1402</c:v>
                </c:pt>
                <c:pt idx="29" formatCode="General">
                  <c:v>751</c:v>
                </c:pt>
                <c:pt idx="30" formatCode="General">
                  <c:v>857</c:v>
                </c:pt>
                <c:pt idx="31" formatCode="General">
                  <c:v>898</c:v>
                </c:pt>
                <c:pt idx="32" formatCode="General">
                  <c:v>147</c:v>
                </c:pt>
                <c:pt idx="33" formatCode="General">
                  <c:v>122</c:v>
                </c:pt>
                <c:pt idx="34" formatCode="General">
                  <c:v>460</c:v>
                </c:pt>
                <c:pt idx="35" formatCode="General">
                  <c:v>974</c:v>
                </c:pt>
                <c:pt idx="36">
                  <c:v>1078</c:v>
                </c:pt>
                <c:pt idx="37" formatCode="General">
                  <c:v>984</c:v>
                </c:pt>
                <c:pt idx="38">
                  <c:v>1039</c:v>
                </c:pt>
                <c:pt idx="39" formatCode="General">
                  <c:v>669</c:v>
                </c:pt>
                <c:pt idx="40" formatCode="General">
                  <c:v>394</c:v>
                </c:pt>
                <c:pt idx="41" formatCode="General">
                  <c:v>432</c:v>
                </c:pt>
                <c:pt idx="42" formatCode="General">
                  <c:v>205</c:v>
                </c:pt>
                <c:pt idx="43" formatCode="General">
                  <c:v>357</c:v>
                </c:pt>
                <c:pt idx="44" formatCode="General">
                  <c:v>625</c:v>
                </c:pt>
                <c:pt idx="45" formatCode="General">
                  <c:v>635</c:v>
                </c:pt>
                <c:pt idx="46" formatCode="General">
                  <c:v>650</c:v>
                </c:pt>
                <c:pt idx="47" formatCode="General">
                  <c:v>620</c:v>
                </c:pt>
                <c:pt idx="48" formatCode="General">
                  <c:v>567</c:v>
                </c:pt>
                <c:pt idx="49" formatCode="General">
                  <c:v>422</c:v>
                </c:pt>
                <c:pt idx="50" formatCode="_(* #,##0_);_(* \(#,##0\);_(* &quot;-&quot;??_);_(@_)">
                  <c:v>683</c:v>
                </c:pt>
                <c:pt idx="51" formatCode="_(* #,##0_);_(* \(#,##0\);_(* &quot;-&quot;??_);_(@_)">
                  <c:v>274</c:v>
                </c:pt>
                <c:pt idx="52" formatCode="_(* #,##0_);_(* \(#,##0\);_(* &quot;-&quot;??_);_(@_)">
                  <c:v>231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Mex!$C$7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Mex!$D$7:$BD$7</c:f>
              <c:numCache>
                <c:formatCode>General</c:formatCode>
                <c:ptCount val="53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3</c:v>
                </c:pt>
                <c:pt idx="10">
                  <c:v>6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15</c:v>
                </c:pt>
                <c:pt idx="23">
                  <c:v>7</c:v>
                </c:pt>
                <c:pt idx="24">
                  <c:v>0</c:v>
                </c:pt>
                <c:pt idx="25">
                  <c:v>20</c:v>
                </c:pt>
                <c:pt idx="26">
                  <c:v>180</c:v>
                </c:pt>
                <c:pt idx="27">
                  <c:v>15</c:v>
                </c:pt>
                <c:pt idx="28">
                  <c:v>39</c:v>
                </c:pt>
                <c:pt idx="29">
                  <c:v>142</c:v>
                </c:pt>
                <c:pt idx="30">
                  <c:v>211</c:v>
                </c:pt>
                <c:pt idx="31">
                  <c:v>300</c:v>
                </c:pt>
                <c:pt idx="32">
                  <c:v>656</c:v>
                </c:pt>
                <c:pt idx="33">
                  <c:v>794</c:v>
                </c:pt>
                <c:pt idx="34">
                  <c:v>580</c:v>
                </c:pt>
                <c:pt idx="35">
                  <c:v>528</c:v>
                </c:pt>
                <c:pt idx="36">
                  <c:v>894</c:v>
                </c:pt>
                <c:pt idx="37" formatCode="#,##0">
                  <c:v>1371</c:v>
                </c:pt>
                <c:pt idx="38" formatCode="#,##0">
                  <c:v>1422</c:v>
                </c:pt>
                <c:pt idx="39" formatCode="#,##0">
                  <c:v>1813</c:v>
                </c:pt>
                <c:pt idx="40" formatCode="#,##0">
                  <c:v>1865</c:v>
                </c:pt>
                <c:pt idx="41" formatCode="#,##0">
                  <c:v>2065</c:v>
                </c:pt>
                <c:pt idx="42" formatCode="#,##0">
                  <c:v>2330</c:v>
                </c:pt>
                <c:pt idx="43" formatCode="#,##0">
                  <c:v>1858</c:v>
                </c:pt>
                <c:pt idx="44" formatCode="#,##0">
                  <c:v>1810</c:v>
                </c:pt>
                <c:pt idx="45" formatCode="#,##0">
                  <c:v>1744</c:v>
                </c:pt>
                <c:pt idx="46" formatCode="#,##0">
                  <c:v>1353</c:v>
                </c:pt>
                <c:pt idx="47" formatCode="#,##0">
                  <c:v>1530</c:v>
                </c:pt>
                <c:pt idx="48" formatCode="#,##0">
                  <c:v>1315</c:v>
                </c:pt>
                <c:pt idx="49" formatCode="#,##0">
                  <c:v>1393</c:v>
                </c:pt>
                <c:pt idx="50" formatCode="_(* #,##0_);_(* \(#,##0\);_(* &quot;-&quot;??_);_(@_)">
                  <c:v>1350</c:v>
                </c:pt>
                <c:pt idx="51" formatCode="_(* #,##0_);_(* \(#,##0\);_(* &quot;-&quot;??_);_(@_)">
                  <c:v>264.488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Mex!$C$8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Mex!$D$8:$BD$8</c:f>
              <c:numCache>
                <c:formatCode>#,##0</c:formatCode>
                <c:ptCount val="53"/>
                <c:pt idx="0">
                  <c:v>1610</c:v>
                </c:pt>
                <c:pt idx="1">
                  <c:v>1482</c:v>
                </c:pt>
                <c:pt idx="2">
                  <c:v>1897</c:v>
                </c:pt>
                <c:pt idx="3">
                  <c:v>1426</c:v>
                </c:pt>
                <c:pt idx="4">
                  <c:v>1616</c:v>
                </c:pt>
                <c:pt idx="5">
                  <c:v>2127</c:v>
                </c:pt>
                <c:pt idx="6">
                  <c:v>1518</c:v>
                </c:pt>
                <c:pt idx="7">
                  <c:v>1327</c:v>
                </c:pt>
                <c:pt idx="8">
                  <c:v>1641</c:v>
                </c:pt>
                <c:pt idx="9">
                  <c:v>1266</c:v>
                </c:pt>
                <c:pt idx="10" formatCode="General">
                  <c:v>802</c:v>
                </c:pt>
                <c:pt idx="11" formatCode="General">
                  <c:v>944</c:v>
                </c:pt>
                <c:pt idx="12" formatCode="General">
                  <c:v>940</c:v>
                </c:pt>
                <c:pt idx="13" formatCode="General">
                  <c:v>767</c:v>
                </c:pt>
                <c:pt idx="14" formatCode="General">
                  <c:v>891</c:v>
                </c:pt>
                <c:pt idx="15" formatCode="General">
                  <c:v>536</c:v>
                </c:pt>
                <c:pt idx="16" formatCode="General">
                  <c:v>542</c:v>
                </c:pt>
                <c:pt idx="17" formatCode="General">
                  <c:v>597</c:v>
                </c:pt>
                <c:pt idx="18" formatCode="General">
                  <c:v>963</c:v>
                </c:pt>
                <c:pt idx="19" formatCode="General">
                  <c:v>913</c:v>
                </c:pt>
                <c:pt idx="20" formatCode="General">
                  <c:v>818</c:v>
                </c:pt>
                <c:pt idx="21" formatCode="General">
                  <c:v>756</c:v>
                </c:pt>
                <c:pt idx="22" formatCode="General">
                  <c:v>395</c:v>
                </c:pt>
                <c:pt idx="23" formatCode="General">
                  <c:v>475</c:v>
                </c:pt>
                <c:pt idx="24" formatCode="General">
                  <c:v>575</c:v>
                </c:pt>
                <c:pt idx="25" formatCode="General">
                  <c:v>380</c:v>
                </c:pt>
                <c:pt idx="26" formatCode="General">
                  <c:v>220</c:v>
                </c:pt>
                <c:pt idx="27" formatCode="General">
                  <c:v>375</c:v>
                </c:pt>
                <c:pt idx="28" formatCode="General">
                  <c:v>561</c:v>
                </c:pt>
                <c:pt idx="29" formatCode="General">
                  <c:v>212</c:v>
                </c:pt>
                <c:pt idx="30" formatCode="General">
                  <c:v>223</c:v>
                </c:pt>
                <c:pt idx="31" formatCode="General">
                  <c:v>248</c:v>
                </c:pt>
                <c:pt idx="32" formatCode="General">
                  <c:v>25</c:v>
                </c:pt>
                <c:pt idx="33" formatCode="General">
                  <c:v>34</c:v>
                </c:pt>
                <c:pt idx="34" formatCode="General">
                  <c:v>185</c:v>
                </c:pt>
                <c:pt idx="35" formatCode="General">
                  <c:v>221</c:v>
                </c:pt>
                <c:pt idx="36" formatCode="General">
                  <c:v>349</c:v>
                </c:pt>
                <c:pt idx="37" formatCode="General">
                  <c:v>204</c:v>
                </c:pt>
                <c:pt idx="38" formatCode="General">
                  <c:v>103</c:v>
                </c:pt>
                <c:pt idx="39" formatCode="General">
                  <c:v>134</c:v>
                </c:pt>
                <c:pt idx="40" formatCode="General">
                  <c:v>80</c:v>
                </c:pt>
                <c:pt idx="41" formatCode="General">
                  <c:v>90</c:v>
                </c:pt>
                <c:pt idx="42" formatCode="General">
                  <c:v>64</c:v>
                </c:pt>
                <c:pt idx="43" formatCode="General">
                  <c:v>114</c:v>
                </c:pt>
                <c:pt idx="44" formatCode="General">
                  <c:v>135</c:v>
                </c:pt>
                <c:pt idx="45" formatCode="General">
                  <c:v>249</c:v>
                </c:pt>
                <c:pt idx="46" formatCode="General">
                  <c:v>175</c:v>
                </c:pt>
                <c:pt idx="47" formatCode="General">
                  <c:v>220</c:v>
                </c:pt>
                <c:pt idx="48" formatCode="General">
                  <c:v>175</c:v>
                </c:pt>
                <c:pt idx="49" formatCode="General">
                  <c:v>75</c:v>
                </c:pt>
                <c:pt idx="50" formatCode="_(* #,##0_);_(* \(#,##0\);_(* &quot;-&quot;??_);_(@_)">
                  <c:v>200</c:v>
                </c:pt>
                <c:pt idx="51" formatCode="_(* #,##0_);_(* \(#,##0\);_(* &quot;-&quot;??_);_(@_)">
                  <c:v>50.124000000000002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Mex!$C$9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Mex!$D$9:$BD$9</c:f>
              <c:numCache>
                <c:formatCode>General</c:formatCode>
                <c:ptCount val="53"/>
                <c:pt idx="0">
                  <c:v>516</c:v>
                </c:pt>
                <c:pt idx="1">
                  <c:v>514</c:v>
                </c:pt>
                <c:pt idx="2">
                  <c:v>514</c:v>
                </c:pt>
                <c:pt idx="3">
                  <c:v>581</c:v>
                </c:pt>
                <c:pt idx="4">
                  <c:v>611</c:v>
                </c:pt>
                <c:pt idx="5">
                  <c:v>640</c:v>
                </c:pt>
                <c:pt idx="6">
                  <c:v>718</c:v>
                </c:pt>
                <c:pt idx="7">
                  <c:v>708</c:v>
                </c:pt>
                <c:pt idx="8">
                  <c:v>712</c:v>
                </c:pt>
                <c:pt idx="9">
                  <c:v>686</c:v>
                </c:pt>
                <c:pt idx="10">
                  <c:v>685</c:v>
                </c:pt>
                <c:pt idx="11">
                  <c:v>725</c:v>
                </c:pt>
                <c:pt idx="12">
                  <c:v>800</c:v>
                </c:pt>
                <c:pt idx="13">
                  <c:v>795</c:v>
                </c:pt>
                <c:pt idx="14">
                  <c:v>725</c:v>
                </c:pt>
                <c:pt idx="15">
                  <c:v>808</c:v>
                </c:pt>
                <c:pt idx="16">
                  <c:v>732</c:v>
                </c:pt>
                <c:pt idx="17">
                  <c:v>749</c:v>
                </c:pt>
                <c:pt idx="18">
                  <c:v>727</c:v>
                </c:pt>
                <c:pt idx="19">
                  <c:v>750</c:v>
                </c:pt>
                <c:pt idx="20">
                  <c:v>735</c:v>
                </c:pt>
                <c:pt idx="21">
                  <c:v>620</c:v>
                </c:pt>
                <c:pt idx="22">
                  <c:v>625</c:v>
                </c:pt>
                <c:pt idx="23">
                  <c:v>519</c:v>
                </c:pt>
                <c:pt idx="24">
                  <c:v>555</c:v>
                </c:pt>
                <c:pt idx="25">
                  <c:v>675</c:v>
                </c:pt>
                <c:pt idx="26">
                  <c:v>555</c:v>
                </c:pt>
                <c:pt idx="27">
                  <c:v>605</c:v>
                </c:pt>
                <c:pt idx="28">
                  <c:v>778</c:v>
                </c:pt>
                <c:pt idx="29">
                  <c:v>763</c:v>
                </c:pt>
                <c:pt idx="30">
                  <c:v>903</c:v>
                </c:pt>
                <c:pt idx="31">
                  <c:v>872</c:v>
                </c:pt>
                <c:pt idx="32">
                  <c:v>762</c:v>
                </c:pt>
                <c:pt idx="33">
                  <c:v>860</c:v>
                </c:pt>
                <c:pt idx="34">
                  <c:v>898</c:v>
                </c:pt>
                <c:pt idx="35" formatCode="#,##0">
                  <c:v>1132</c:v>
                </c:pt>
                <c:pt idx="36" formatCode="#,##0">
                  <c:v>1635</c:v>
                </c:pt>
                <c:pt idx="37" formatCode="#,##0">
                  <c:v>2035</c:v>
                </c:pt>
                <c:pt idx="38" formatCode="#,##0">
                  <c:v>2235</c:v>
                </c:pt>
                <c:pt idx="39" formatCode="#,##0">
                  <c:v>2425</c:v>
                </c:pt>
                <c:pt idx="40" formatCode="#,##0">
                  <c:v>2125</c:v>
                </c:pt>
                <c:pt idx="41" formatCode="#,##0">
                  <c:v>2225</c:v>
                </c:pt>
                <c:pt idx="42" formatCode="#,##0">
                  <c:v>2125</c:v>
                </c:pt>
                <c:pt idx="43" formatCode="#,##0">
                  <c:v>2025</c:v>
                </c:pt>
                <c:pt idx="44" formatCode="#,##0">
                  <c:v>2125</c:v>
                </c:pt>
                <c:pt idx="45" formatCode="#,##0">
                  <c:v>2125</c:v>
                </c:pt>
                <c:pt idx="46" formatCode="#,##0">
                  <c:v>2125</c:v>
                </c:pt>
                <c:pt idx="47" formatCode="#,##0">
                  <c:v>2025</c:v>
                </c:pt>
                <c:pt idx="48" formatCode="#,##0">
                  <c:v>1875</c:v>
                </c:pt>
                <c:pt idx="49" formatCode="#,##0">
                  <c:v>1925</c:v>
                </c:pt>
                <c:pt idx="50" formatCode="_(* #,##0_);_(* \(#,##0\);_(* &quot;-&quot;??_);_(@_)">
                  <c:v>1925</c:v>
                </c:pt>
                <c:pt idx="51" formatCode="_(* #,##0_);_(* \(#,##0\);_(* &quot;-&quot;??_);_(@_)">
                  <c:v>488.36400000000003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75448"/>
        <c:axId val="315577016"/>
      </c:lineChart>
      <c:catAx>
        <c:axId val="3155754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7016"/>
        <c:crosses val="autoZero"/>
        <c:auto val="1"/>
        <c:lblAlgn val="ctr"/>
        <c:lblOffset val="100"/>
        <c:noMultiLvlLbl val="0"/>
      </c:catAx>
      <c:valAx>
        <c:axId val="31557701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544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91165128933230188"/>
          <c:h val="0.1078068583210106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Mex!$C$10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Mex!$D$10:$BD$10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36</c:v>
                </c:pt>
                <c:pt idx="5">
                  <c:v>60</c:v>
                </c:pt>
                <c:pt idx="6">
                  <c:v>100</c:v>
                </c:pt>
                <c:pt idx="7">
                  <c:v>121</c:v>
                </c:pt>
                <c:pt idx="8">
                  <c:v>270</c:v>
                </c:pt>
                <c:pt idx="9">
                  <c:v>300</c:v>
                </c:pt>
                <c:pt idx="10">
                  <c:v>240</c:v>
                </c:pt>
                <c:pt idx="11">
                  <c:v>250</c:v>
                </c:pt>
                <c:pt idx="12">
                  <c:v>375</c:v>
                </c:pt>
                <c:pt idx="13">
                  <c:v>510</c:v>
                </c:pt>
                <c:pt idx="14">
                  <c:v>420</c:v>
                </c:pt>
                <c:pt idx="15">
                  <c:v>625</c:v>
                </c:pt>
                <c:pt idx="16">
                  <c:v>280</c:v>
                </c:pt>
                <c:pt idx="17">
                  <c:v>470</c:v>
                </c:pt>
                <c:pt idx="18">
                  <c:v>330</c:v>
                </c:pt>
                <c:pt idx="19">
                  <c:v>680</c:v>
                </c:pt>
                <c:pt idx="20">
                  <c:v>280</c:v>
                </c:pt>
                <c:pt idx="21">
                  <c:v>680</c:v>
                </c:pt>
                <c:pt idx="22">
                  <c:v>550</c:v>
                </c:pt>
                <c:pt idx="23">
                  <c:v>600</c:v>
                </c:pt>
                <c:pt idx="24">
                  <c:v>550</c:v>
                </c:pt>
                <c:pt idx="25">
                  <c:v>710</c:v>
                </c:pt>
                <c:pt idx="26">
                  <c:v>660</c:v>
                </c:pt>
                <c:pt idx="27">
                  <c:v>750</c:v>
                </c:pt>
                <c:pt idx="28">
                  <c:v>300</c:v>
                </c:pt>
                <c:pt idx="29">
                  <c:v>984</c:v>
                </c:pt>
                <c:pt idx="30">
                  <c:v>567</c:v>
                </c:pt>
                <c:pt idx="31">
                  <c:v>718</c:v>
                </c:pt>
                <c:pt idx="32">
                  <c:v>572</c:v>
                </c:pt>
                <c:pt idx="33">
                  <c:v>497</c:v>
                </c:pt>
                <c:pt idx="34">
                  <c:v>523</c:v>
                </c:pt>
                <c:pt idx="35">
                  <c:v>190</c:v>
                </c:pt>
                <c:pt idx="36">
                  <c:v>61</c:v>
                </c:pt>
                <c:pt idx="37">
                  <c:v>189</c:v>
                </c:pt>
                <c:pt idx="38">
                  <c:v>143</c:v>
                </c:pt>
                <c:pt idx="39">
                  <c:v>123</c:v>
                </c:pt>
                <c:pt idx="40">
                  <c:v>103</c:v>
                </c:pt>
                <c:pt idx="41">
                  <c:v>66</c:v>
                </c:pt>
                <c:pt idx="42">
                  <c:v>89</c:v>
                </c:pt>
                <c:pt idx="43">
                  <c:v>125</c:v>
                </c:pt>
                <c:pt idx="44">
                  <c:v>132</c:v>
                </c:pt>
                <c:pt idx="45">
                  <c:v>185</c:v>
                </c:pt>
                <c:pt idx="46">
                  <c:v>80</c:v>
                </c:pt>
                <c:pt idx="47">
                  <c:v>88</c:v>
                </c:pt>
                <c:pt idx="48">
                  <c:v>153</c:v>
                </c:pt>
                <c:pt idx="49">
                  <c:v>105</c:v>
                </c:pt>
                <c:pt idx="50" formatCode="_(* #,##0_);_(* \(#,##0\);_(* &quot;-&quot;??_);_(@_)">
                  <c:v>105</c:v>
                </c:pt>
                <c:pt idx="51" formatCode="_(* #,##0_);_(* \(#,##0\);_(* &quot;-&quot;??_);_(@_)">
                  <c:v>205.23400000000001</c:v>
                </c:pt>
                <c:pt idx="52" formatCode="_(* #,##0_);_(* \(#,##0\);_(* &quot;-&quot;??_);_(@_)">
                  <c:v>247.5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Mex!$C$11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Mex!$D$11:$BD$11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3</c:v>
                </c:pt>
                <c:pt idx="5">
                  <c:v>5</c:v>
                </c:pt>
                <c:pt idx="6">
                  <c:v>7</c:v>
                </c:pt>
                <c:pt idx="7">
                  <c:v>8</c:v>
                </c:pt>
                <c:pt idx="8">
                  <c:v>22</c:v>
                </c:pt>
                <c:pt idx="9">
                  <c:v>133</c:v>
                </c:pt>
                <c:pt idx="10">
                  <c:v>62</c:v>
                </c:pt>
                <c:pt idx="11">
                  <c:v>18</c:v>
                </c:pt>
                <c:pt idx="12">
                  <c:v>50</c:v>
                </c:pt>
                <c:pt idx="13">
                  <c:v>271</c:v>
                </c:pt>
                <c:pt idx="14">
                  <c:v>118</c:v>
                </c:pt>
                <c:pt idx="15">
                  <c:v>135</c:v>
                </c:pt>
                <c:pt idx="16">
                  <c:v>498</c:v>
                </c:pt>
                <c:pt idx="17">
                  <c:v>551</c:v>
                </c:pt>
                <c:pt idx="18">
                  <c:v>589</c:v>
                </c:pt>
                <c:pt idx="19">
                  <c:v>711</c:v>
                </c:pt>
                <c:pt idx="20" formatCode="#,##0">
                  <c:v>1370</c:v>
                </c:pt>
                <c:pt idx="21">
                  <c:v>566</c:v>
                </c:pt>
                <c:pt idx="22" formatCode="#,##0">
                  <c:v>1070</c:v>
                </c:pt>
                <c:pt idx="23" formatCode="#,##0">
                  <c:v>1805</c:v>
                </c:pt>
                <c:pt idx="24" formatCode="#,##0">
                  <c:v>1472</c:v>
                </c:pt>
                <c:pt idx="25">
                  <c:v>877</c:v>
                </c:pt>
                <c:pt idx="26" formatCode="#,##0">
                  <c:v>1092</c:v>
                </c:pt>
                <c:pt idx="27">
                  <c:v>956</c:v>
                </c:pt>
                <c:pt idx="28" formatCode="#,##0">
                  <c:v>1220</c:v>
                </c:pt>
                <c:pt idx="29">
                  <c:v>945</c:v>
                </c:pt>
                <c:pt idx="30" formatCode="#,##0">
                  <c:v>1376</c:v>
                </c:pt>
                <c:pt idx="31" formatCode="#,##0">
                  <c:v>2100</c:v>
                </c:pt>
                <c:pt idx="32" formatCode="#,##0">
                  <c:v>2136</c:v>
                </c:pt>
                <c:pt idx="33" formatCode="#,##0">
                  <c:v>2200</c:v>
                </c:pt>
                <c:pt idx="34" formatCode="#,##0">
                  <c:v>1867</c:v>
                </c:pt>
                <c:pt idx="35" formatCode="#,##0">
                  <c:v>2401</c:v>
                </c:pt>
                <c:pt idx="36" formatCode="#,##0">
                  <c:v>2720</c:v>
                </c:pt>
                <c:pt idx="37" formatCode="#,##0">
                  <c:v>3502</c:v>
                </c:pt>
                <c:pt idx="38" formatCode="#,##0">
                  <c:v>3766</c:v>
                </c:pt>
                <c:pt idx="39" formatCode="#,##0">
                  <c:v>4039</c:v>
                </c:pt>
                <c:pt idx="40" formatCode="#,##0">
                  <c:v>4381</c:v>
                </c:pt>
                <c:pt idx="41" formatCode="#,##0">
                  <c:v>4510</c:v>
                </c:pt>
                <c:pt idx="42" formatCode="#,##0">
                  <c:v>4230</c:v>
                </c:pt>
                <c:pt idx="43" formatCode="#,##0">
                  <c:v>3797</c:v>
                </c:pt>
                <c:pt idx="44" formatCode="#,##0">
                  <c:v>3640</c:v>
                </c:pt>
                <c:pt idx="45" formatCode="#,##0">
                  <c:v>3667</c:v>
                </c:pt>
                <c:pt idx="46" formatCode="#,##0">
                  <c:v>3844</c:v>
                </c:pt>
                <c:pt idx="47" formatCode="#,##0">
                  <c:v>3614</c:v>
                </c:pt>
                <c:pt idx="48" formatCode="#,##0">
                  <c:v>3327</c:v>
                </c:pt>
                <c:pt idx="49" formatCode="#,##0">
                  <c:v>3523</c:v>
                </c:pt>
                <c:pt idx="50" formatCode="_(* #,##0_);_(* \(#,##0\);_(* &quot;-&quot;??_);_(@_)">
                  <c:v>3700</c:v>
                </c:pt>
                <c:pt idx="51" formatCode="_(* #,##0_);_(* \(#,##0\);_(* &quot;-&quot;??_);_(@_)">
                  <c:v>3340.3760000000002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Mex!$C$12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Mex!$D$12:$BD$12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1</c:v>
                </c:pt>
                <c:pt idx="43">
                  <c:v>3</c:v>
                </c:pt>
                <c:pt idx="44">
                  <c:v>1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8.5000000000000006E-2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Mex!$C$13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Mex!$D$13:$BD$13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39</c:v>
                </c:pt>
                <c:pt idx="5">
                  <c:v>65</c:v>
                </c:pt>
                <c:pt idx="6">
                  <c:v>107</c:v>
                </c:pt>
                <c:pt idx="7">
                  <c:v>129</c:v>
                </c:pt>
                <c:pt idx="8">
                  <c:v>268</c:v>
                </c:pt>
                <c:pt idx="9">
                  <c:v>419</c:v>
                </c:pt>
                <c:pt idx="10">
                  <c:v>312</c:v>
                </c:pt>
                <c:pt idx="11">
                  <c:v>271</c:v>
                </c:pt>
                <c:pt idx="12">
                  <c:v>412</c:v>
                </c:pt>
                <c:pt idx="13">
                  <c:v>751</c:v>
                </c:pt>
                <c:pt idx="14">
                  <c:v>555</c:v>
                </c:pt>
                <c:pt idx="15">
                  <c:v>736</c:v>
                </c:pt>
                <c:pt idx="16">
                  <c:v>773</c:v>
                </c:pt>
                <c:pt idx="17" formatCode="#,##0">
                  <c:v>1001</c:v>
                </c:pt>
                <c:pt idx="18">
                  <c:v>919</c:v>
                </c:pt>
                <c:pt idx="19" formatCode="#,##0">
                  <c:v>1241</c:v>
                </c:pt>
                <c:pt idx="20" formatCode="#,##0">
                  <c:v>1530</c:v>
                </c:pt>
                <c:pt idx="21" formatCode="#,##0">
                  <c:v>1530</c:v>
                </c:pt>
                <c:pt idx="22" formatCode="#,##0">
                  <c:v>1480</c:v>
                </c:pt>
                <c:pt idx="23" formatCode="#,##0">
                  <c:v>2353</c:v>
                </c:pt>
                <c:pt idx="24" formatCode="#,##0">
                  <c:v>2082</c:v>
                </c:pt>
                <c:pt idx="25" formatCode="#,##0">
                  <c:v>1642</c:v>
                </c:pt>
                <c:pt idx="26" formatCode="#,##0">
                  <c:v>1744</c:v>
                </c:pt>
                <c:pt idx="27" formatCode="#,##0">
                  <c:v>1746</c:v>
                </c:pt>
                <c:pt idx="28" formatCode="#,##0">
                  <c:v>1550</c:v>
                </c:pt>
                <c:pt idx="29" formatCode="#,##0">
                  <c:v>1830</c:v>
                </c:pt>
                <c:pt idx="30" formatCode="#,##0">
                  <c:v>1993</c:v>
                </c:pt>
                <c:pt idx="31" formatCode="#,##0">
                  <c:v>2793</c:v>
                </c:pt>
                <c:pt idx="32" formatCode="#,##0">
                  <c:v>2770</c:v>
                </c:pt>
                <c:pt idx="33" formatCode="#,##0">
                  <c:v>2710</c:v>
                </c:pt>
                <c:pt idx="34" formatCode="#,##0">
                  <c:v>2400</c:v>
                </c:pt>
                <c:pt idx="35" formatCode="#,##0">
                  <c:v>2506</c:v>
                </c:pt>
                <c:pt idx="36" formatCode="#,##0">
                  <c:v>2761</c:v>
                </c:pt>
                <c:pt idx="37" formatCode="#,##0">
                  <c:v>3658</c:v>
                </c:pt>
                <c:pt idx="38" formatCode="#,##0">
                  <c:v>3982</c:v>
                </c:pt>
                <c:pt idx="39" formatCode="#,##0">
                  <c:v>4135</c:v>
                </c:pt>
                <c:pt idx="40" formatCode="#,##0">
                  <c:v>4485</c:v>
                </c:pt>
                <c:pt idx="41" formatCode="#,##0">
                  <c:v>4655</c:v>
                </c:pt>
                <c:pt idx="42" formatCode="#,##0">
                  <c:v>4375</c:v>
                </c:pt>
                <c:pt idx="43" formatCode="#,##0">
                  <c:v>3924</c:v>
                </c:pt>
                <c:pt idx="44" formatCode="#,##0">
                  <c:v>3764</c:v>
                </c:pt>
                <c:pt idx="45" formatCode="#,##0">
                  <c:v>3858</c:v>
                </c:pt>
                <c:pt idx="46" formatCode="#,##0">
                  <c:v>3926</c:v>
                </c:pt>
                <c:pt idx="47" formatCode="#,##0">
                  <c:v>3685</c:v>
                </c:pt>
                <c:pt idx="48" formatCode="#,##0">
                  <c:v>3500</c:v>
                </c:pt>
                <c:pt idx="49" formatCode="#,##0">
                  <c:v>3618</c:v>
                </c:pt>
                <c:pt idx="50" formatCode="_(* #,##0_);_(* \(#,##0\);_(* &quot;-&quot;??_);_(@_)">
                  <c:v>3805</c:v>
                </c:pt>
                <c:pt idx="51" formatCode="_(* #,##0_);_(* \(#,##0\);_(* &quot;-&quot;??_);_(@_)">
                  <c:v>3545.5250000000001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77800"/>
        <c:axId val="315585640"/>
      </c:lineChart>
      <c:catAx>
        <c:axId val="315577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5640"/>
        <c:crosses val="autoZero"/>
        <c:auto val="1"/>
        <c:lblAlgn val="ctr"/>
        <c:lblOffset val="100"/>
        <c:noMultiLvlLbl val="0"/>
      </c:catAx>
      <c:valAx>
        <c:axId val="31558564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7780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89185673389875553"/>
          <c:h val="0.1307411944016486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Mex!$C$14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Mex!$D$14:$BD$14</c:f>
              <c:numCache>
                <c:formatCode>General</c:formatCode>
                <c:ptCount val="53"/>
                <c:pt idx="0">
                  <c:v>219</c:v>
                </c:pt>
                <c:pt idx="1">
                  <c:v>222</c:v>
                </c:pt>
                <c:pt idx="2">
                  <c:v>193</c:v>
                </c:pt>
                <c:pt idx="3">
                  <c:v>197</c:v>
                </c:pt>
                <c:pt idx="4">
                  <c:v>183</c:v>
                </c:pt>
                <c:pt idx="5">
                  <c:v>252</c:v>
                </c:pt>
                <c:pt idx="6">
                  <c:v>248</c:v>
                </c:pt>
                <c:pt idx="7">
                  <c:v>278</c:v>
                </c:pt>
                <c:pt idx="8">
                  <c:v>231</c:v>
                </c:pt>
                <c:pt idx="9">
                  <c:v>263</c:v>
                </c:pt>
                <c:pt idx="10">
                  <c:v>270</c:v>
                </c:pt>
                <c:pt idx="11">
                  <c:v>245</c:v>
                </c:pt>
                <c:pt idx="12">
                  <c:v>280</c:v>
                </c:pt>
                <c:pt idx="13">
                  <c:v>290</c:v>
                </c:pt>
                <c:pt idx="14">
                  <c:v>325</c:v>
                </c:pt>
                <c:pt idx="15">
                  <c:v>480</c:v>
                </c:pt>
                <c:pt idx="16">
                  <c:v>300</c:v>
                </c:pt>
                <c:pt idx="17">
                  <c:v>350</c:v>
                </c:pt>
                <c:pt idx="18">
                  <c:v>275</c:v>
                </c:pt>
                <c:pt idx="19">
                  <c:v>320</c:v>
                </c:pt>
                <c:pt idx="20">
                  <c:v>260</c:v>
                </c:pt>
                <c:pt idx="21">
                  <c:v>390</c:v>
                </c:pt>
                <c:pt idx="22">
                  <c:v>340</c:v>
                </c:pt>
                <c:pt idx="23">
                  <c:v>290</c:v>
                </c:pt>
                <c:pt idx="24">
                  <c:v>291</c:v>
                </c:pt>
                <c:pt idx="25">
                  <c:v>498</c:v>
                </c:pt>
                <c:pt idx="26">
                  <c:v>351</c:v>
                </c:pt>
                <c:pt idx="27">
                  <c:v>380</c:v>
                </c:pt>
                <c:pt idx="28">
                  <c:v>266</c:v>
                </c:pt>
                <c:pt idx="29">
                  <c:v>360</c:v>
                </c:pt>
                <c:pt idx="30">
                  <c:v>200</c:v>
                </c:pt>
                <c:pt idx="31">
                  <c:v>190</c:v>
                </c:pt>
                <c:pt idx="32">
                  <c:v>200</c:v>
                </c:pt>
                <c:pt idx="33">
                  <c:v>140</c:v>
                </c:pt>
                <c:pt idx="34">
                  <c:v>257</c:v>
                </c:pt>
                <c:pt idx="35">
                  <c:v>233</c:v>
                </c:pt>
                <c:pt idx="36">
                  <c:v>267</c:v>
                </c:pt>
                <c:pt idx="37">
                  <c:v>300</c:v>
                </c:pt>
                <c:pt idx="38">
                  <c:v>313</c:v>
                </c:pt>
                <c:pt idx="39">
                  <c:v>269</c:v>
                </c:pt>
                <c:pt idx="40">
                  <c:v>215</c:v>
                </c:pt>
                <c:pt idx="41">
                  <c:v>185</c:v>
                </c:pt>
                <c:pt idx="42">
                  <c:v>133</c:v>
                </c:pt>
                <c:pt idx="43">
                  <c:v>200</c:v>
                </c:pt>
                <c:pt idx="44">
                  <c:v>195</c:v>
                </c:pt>
                <c:pt idx="45">
                  <c:v>181</c:v>
                </c:pt>
                <c:pt idx="46">
                  <c:v>178</c:v>
                </c:pt>
                <c:pt idx="47">
                  <c:v>178</c:v>
                </c:pt>
                <c:pt idx="48">
                  <c:v>156</c:v>
                </c:pt>
                <c:pt idx="49">
                  <c:v>178</c:v>
                </c:pt>
                <c:pt idx="50" formatCode="_(* #,##0_);_(* \(#,##0\);_(* &quot;-&quot;??_);_(@_)">
                  <c:v>150</c:v>
                </c:pt>
                <c:pt idx="51" formatCode="_(* #,##0_);_(* \(#,##0\);_(* &quot;-&quot;??_);_(@_)">
                  <c:v>173.46100000000001</c:v>
                </c:pt>
                <c:pt idx="52" formatCode="_(* #,##0_);_(* \(#,##0\);_(* &quot;-&quot;??_);_(@_)">
                  <c:v>178.78700000000001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Mex!$C$15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Mex!$D$15:$BD$15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0</c:v>
                </c:pt>
                <c:pt idx="4">
                  <c:v>17</c:v>
                </c:pt>
                <c:pt idx="5">
                  <c:v>12</c:v>
                </c:pt>
                <c:pt idx="6">
                  <c:v>0</c:v>
                </c:pt>
                <c:pt idx="7">
                  <c:v>0</c:v>
                </c:pt>
                <c:pt idx="8">
                  <c:v>5</c:v>
                </c:pt>
                <c:pt idx="9">
                  <c:v>5</c:v>
                </c:pt>
                <c:pt idx="10">
                  <c:v>18</c:v>
                </c:pt>
                <c:pt idx="11">
                  <c:v>0</c:v>
                </c:pt>
                <c:pt idx="12">
                  <c:v>9</c:v>
                </c:pt>
                <c:pt idx="13">
                  <c:v>72</c:v>
                </c:pt>
                <c:pt idx="14">
                  <c:v>30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13</c:v>
                </c:pt>
                <c:pt idx="19">
                  <c:v>65</c:v>
                </c:pt>
                <c:pt idx="20">
                  <c:v>140</c:v>
                </c:pt>
                <c:pt idx="21">
                  <c:v>17</c:v>
                </c:pt>
                <c:pt idx="22">
                  <c:v>0</c:v>
                </c:pt>
                <c:pt idx="23">
                  <c:v>106</c:v>
                </c:pt>
                <c:pt idx="24">
                  <c:v>203</c:v>
                </c:pt>
                <c:pt idx="25">
                  <c:v>23</c:v>
                </c:pt>
                <c:pt idx="26">
                  <c:v>0</c:v>
                </c:pt>
                <c:pt idx="27">
                  <c:v>0</c:v>
                </c:pt>
                <c:pt idx="28">
                  <c:v>189</c:v>
                </c:pt>
                <c:pt idx="29">
                  <c:v>136</c:v>
                </c:pt>
                <c:pt idx="30">
                  <c:v>175</c:v>
                </c:pt>
                <c:pt idx="31">
                  <c:v>385</c:v>
                </c:pt>
                <c:pt idx="32">
                  <c:v>275</c:v>
                </c:pt>
                <c:pt idx="33">
                  <c:v>250</c:v>
                </c:pt>
                <c:pt idx="34">
                  <c:v>245</c:v>
                </c:pt>
                <c:pt idx="35">
                  <c:v>300</c:v>
                </c:pt>
                <c:pt idx="36">
                  <c:v>279</c:v>
                </c:pt>
                <c:pt idx="37">
                  <c:v>308</c:v>
                </c:pt>
                <c:pt idx="38">
                  <c:v>310</c:v>
                </c:pt>
                <c:pt idx="39">
                  <c:v>430</c:v>
                </c:pt>
                <c:pt idx="40">
                  <c:v>403</c:v>
                </c:pt>
                <c:pt idx="41">
                  <c:v>537</c:v>
                </c:pt>
                <c:pt idx="42">
                  <c:v>536</c:v>
                </c:pt>
                <c:pt idx="43">
                  <c:v>535</c:v>
                </c:pt>
                <c:pt idx="44">
                  <c:v>550</c:v>
                </c:pt>
                <c:pt idx="45">
                  <c:v>581</c:v>
                </c:pt>
                <c:pt idx="46">
                  <c:v>594</c:v>
                </c:pt>
                <c:pt idx="47">
                  <c:v>582</c:v>
                </c:pt>
                <c:pt idx="48">
                  <c:v>588</c:v>
                </c:pt>
                <c:pt idx="49">
                  <c:v>608</c:v>
                </c:pt>
                <c:pt idx="50" formatCode="_(* #,##0_);_(* \(#,##0\);_(* &quot;-&quot;??_);_(@_)">
                  <c:v>655</c:v>
                </c:pt>
                <c:pt idx="51" formatCode="_(* #,##0_);_(* \(#,##0\);_(* &quot;-&quot;??_);_(@_)">
                  <c:v>666.83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Mex!$C$16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Mex!$D$16:$BD$16</c:f>
              <c:numCache>
                <c:formatCode>General</c:formatCode>
                <c:ptCount val="53"/>
                <c:pt idx="0">
                  <c:v>3</c:v>
                </c:pt>
                <c:pt idx="1">
                  <c:v>63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46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3</c:v>
                </c:pt>
                <c:pt idx="17">
                  <c:v>60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4</c:v>
                </c:pt>
                <c:pt idx="39">
                  <c:v>3</c:v>
                </c:pt>
                <c:pt idx="40">
                  <c:v>4</c:v>
                </c:pt>
                <c:pt idx="41">
                  <c:v>3</c:v>
                </c:pt>
                <c:pt idx="42">
                  <c:v>3</c:v>
                </c:pt>
                <c:pt idx="43">
                  <c:v>0</c:v>
                </c:pt>
                <c:pt idx="44">
                  <c:v>0</c:v>
                </c:pt>
                <c:pt idx="45">
                  <c:v>2</c:v>
                </c:pt>
                <c:pt idx="46">
                  <c:v>0</c:v>
                </c:pt>
                <c:pt idx="47">
                  <c:v>10</c:v>
                </c:pt>
                <c:pt idx="48">
                  <c:v>10</c:v>
                </c:pt>
                <c:pt idx="49">
                  <c:v>6</c:v>
                </c:pt>
                <c:pt idx="50">
                  <c:v>5</c:v>
                </c:pt>
                <c:pt idx="51" formatCode="_(* #,##0_);_(* \(#,##0\);_(* &quot;-&quot;??_);_(@_)">
                  <c:v>1.843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Mex!$C$17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Mex!$D$17:$BD$17</c:f>
              <c:numCache>
                <c:formatCode>General</c:formatCode>
                <c:ptCount val="53"/>
                <c:pt idx="0">
                  <c:v>216</c:v>
                </c:pt>
                <c:pt idx="1">
                  <c:v>159</c:v>
                </c:pt>
                <c:pt idx="2">
                  <c:v>195</c:v>
                </c:pt>
                <c:pt idx="3">
                  <c:v>197</c:v>
                </c:pt>
                <c:pt idx="4">
                  <c:v>200</c:v>
                </c:pt>
                <c:pt idx="5">
                  <c:v>264</c:v>
                </c:pt>
                <c:pt idx="6">
                  <c:v>248</c:v>
                </c:pt>
                <c:pt idx="7">
                  <c:v>232</c:v>
                </c:pt>
                <c:pt idx="8">
                  <c:v>236</c:v>
                </c:pt>
                <c:pt idx="9">
                  <c:v>303</c:v>
                </c:pt>
                <c:pt idx="10">
                  <c:v>263</c:v>
                </c:pt>
                <c:pt idx="11">
                  <c:v>270</c:v>
                </c:pt>
                <c:pt idx="12">
                  <c:v>294</c:v>
                </c:pt>
                <c:pt idx="13">
                  <c:v>307</c:v>
                </c:pt>
                <c:pt idx="14">
                  <c:v>325</c:v>
                </c:pt>
                <c:pt idx="15">
                  <c:v>355</c:v>
                </c:pt>
                <c:pt idx="16">
                  <c:v>329</c:v>
                </c:pt>
                <c:pt idx="17">
                  <c:v>351</c:v>
                </c:pt>
                <c:pt idx="18">
                  <c:v>360</c:v>
                </c:pt>
                <c:pt idx="19">
                  <c:v>380</c:v>
                </c:pt>
                <c:pt idx="20">
                  <c:v>370</c:v>
                </c:pt>
                <c:pt idx="21">
                  <c:v>380</c:v>
                </c:pt>
                <c:pt idx="22">
                  <c:v>390</c:v>
                </c:pt>
                <c:pt idx="23">
                  <c:v>410</c:v>
                </c:pt>
                <c:pt idx="24">
                  <c:v>425</c:v>
                </c:pt>
                <c:pt idx="25">
                  <c:v>436</c:v>
                </c:pt>
                <c:pt idx="26">
                  <c:v>445</c:v>
                </c:pt>
                <c:pt idx="27">
                  <c:v>440</c:v>
                </c:pt>
                <c:pt idx="28">
                  <c:v>430</c:v>
                </c:pt>
                <c:pt idx="29">
                  <c:v>446</c:v>
                </c:pt>
                <c:pt idx="30">
                  <c:v>440</c:v>
                </c:pt>
                <c:pt idx="31">
                  <c:v>460</c:v>
                </c:pt>
                <c:pt idx="32">
                  <c:v>480</c:v>
                </c:pt>
                <c:pt idx="33">
                  <c:v>485</c:v>
                </c:pt>
                <c:pt idx="34">
                  <c:v>500</c:v>
                </c:pt>
                <c:pt idx="35">
                  <c:v>525</c:v>
                </c:pt>
                <c:pt idx="36">
                  <c:v>545</c:v>
                </c:pt>
                <c:pt idx="37">
                  <c:v>585</c:v>
                </c:pt>
                <c:pt idx="38">
                  <c:v>604</c:v>
                </c:pt>
                <c:pt idx="39">
                  <c:v>621</c:v>
                </c:pt>
                <c:pt idx="40">
                  <c:v>650</c:v>
                </c:pt>
                <c:pt idx="41">
                  <c:v>675</c:v>
                </c:pt>
                <c:pt idx="42">
                  <c:v>700</c:v>
                </c:pt>
                <c:pt idx="43">
                  <c:v>725</c:v>
                </c:pt>
                <c:pt idx="44">
                  <c:v>750</c:v>
                </c:pt>
                <c:pt idx="45">
                  <c:v>775</c:v>
                </c:pt>
                <c:pt idx="46">
                  <c:v>788</c:v>
                </c:pt>
                <c:pt idx="47">
                  <c:v>700</c:v>
                </c:pt>
                <c:pt idx="48">
                  <c:v>761</c:v>
                </c:pt>
                <c:pt idx="49">
                  <c:v>775</c:v>
                </c:pt>
                <c:pt idx="50">
                  <c:v>820</c:v>
                </c:pt>
                <c:pt idx="51" formatCode="_(* #,##0_);_(* \(#,##0\);_(* &quot;-&quot;??_);_(@_)">
                  <c:v>838.44800000000009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84856"/>
        <c:axId val="315586424"/>
      </c:lineChart>
      <c:catAx>
        <c:axId val="315584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6424"/>
        <c:crosses val="autoZero"/>
        <c:auto val="1"/>
        <c:lblAlgn val="ctr"/>
        <c:lblOffset val="100"/>
        <c:noMultiLvlLbl val="0"/>
      </c:catAx>
      <c:valAx>
        <c:axId val="31558642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485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45"/>
          <c:w val="0.91165128933230188"/>
          <c:h val="0.1078068583210106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Mex!$C$18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Mex!$D$18:$BD$18</c:f>
              <c:numCache>
                <c:formatCode>General</c:formatCode>
                <c:ptCount val="53"/>
                <c:pt idx="0">
                  <c:v>209</c:v>
                </c:pt>
                <c:pt idx="1">
                  <c:v>291</c:v>
                </c:pt>
                <c:pt idx="2">
                  <c:v>296</c:v>
                </c:pt>
                <c:pt idx="3">
                  <c:v>402</c:v>
                </c:pt>
                <c:pt idx="4">
                  <c:v>526</c:v>
                </c:pt>
                <c:pt idx="5">
                  <c:v>747</c:v>
                </c:pt>
                <c:pt idx="6" formatCode="#,##0">
                  <c:v>1411</c:v>
                </c:pt>
                <c:pt idx="7" formatCode="#,##0">
                  <c:v>1605</c:v>
                </c:pt>
                <c:pt idx="8" formatCode="#,##0">
                  <c:v>2128</c:v>
                </c:pt>
                <c:pt idx="9" formatCode="#,##0">
                  <c:v>2200</c:v>
                </c:pt>
                <c:pt idx="10" formatCode="#,##0">
                  <c:v>2350</c:v>
                </c:pt>
                <c:pt idx="11" formatCode="#,##0">
                  <c:v>2200</c:v>
                </c:pt>
                <c:pt idx="12" formatCode="#,##0">
                  <c:v>1800</c:v>
                </c:pt>
                <c:pt idx="13" formatCode="#,##0">
                  <c:v>2900</c:v>
                </c:pt>
                <c:pt idx="14" formatCode="#,##0">
                  <c:v>2760</c:v>
                </c:pt>
                <c:pt idx="15" formatCode="#,##0">
                  <c:v>3400</c:v>
                </c:pt>
                <c:pt idx="16" formatCode="#,##0">
                  <c:v>3200</c:v>
                </c:pt>
                <c:pt idx="17" formatCode="#,##0">
                  <c:v>2800</c:v>
                </c:pt>
                <c:pt idx="18" formatCode="#,##0">
                  <c:v>3200</c:v>
                </c:pt>
                <c:pt idx="19" formatCode="#,##0">
                  <c:v>2000</c:v>
                </c:pt>
                <c:pt idx="20" formatCode="#,##0">
                  <c:v>3800</c:v>
                </c:pt>
                <c:pt idx="21" formatCode="#,##0">
                  <c:v>4000</c:v>
                </c:pt>
                <c:pt idx="22" formatCode="#,##0">
                  <c:v>2800</c:v>
                </c:pt>
                <c:pt idx="23" formatCode="#,##0">
                  <c:v>4000</c:v>
                </c:pt>
                <c:pt idx="24" formatCode="#,##0">
                  <c:v>4100</c:v>
                </c:pt>
                <c:pt idx="25" formatCode="#,##0">
                  <c:v>3700</c:v>
                </c:pt>
                <c:pt idx="26" formatCode="#,##0">
                  <c:v>4300</c:v>
                </c:pt>
                <c:pt idx="27" formatCode="#,##0">
                  <c:v>4000</c:v>
                </c:pt>
                <c:pt idx="28" formatCode="#,##0">
                  <c:v>3110</c:v>
                </c:pt>
                <c:pt idx="29" formatCode="#,##0">
                  <c:v>3750</c:v>
                </c:pt>
                <c:pt idx="30" formatCode="#,##0">
                  <c:v>3700</c:v>
                </c:pt>
                <c:pt idx="31" formatCode="#,##0">
                  <c:v>4403</c:v>
                </c:pt>
                <c:pt idx="32" formatCode="#,##0">
                  <c:v>3088</c:v>
                </c:pt>
                <c:pt idx="33" formatCode="#,##0">
                  <c:v>3018</c:v>
                </c:pt>
                <c:pt idx="34" formatCode="#,##0">
                  <c:v>3000</c:v>
                </c:pt>
                <c:pt idx="35" formatCode="#,##0">
                  <c:v>5568</c:v>
                </c:pt>
                <c:pt idx="36" formatCode="#,##0">
                  <c:v>6855</c:v>
                </c:pt>
                <c:pt idx="37" formatCode="#,##0">
                  <c:v>5700</c:v>
                </c:pt>
                <c:pt idx="38" formatCode="#,##0">
                  <c:v>6400</c:v>
                </c:pt>
                <c:pt idx="39" formatCode="#,##0">
                  <c:v>6394</c:v>
                </c:pt>
                <c:pt idx="40" formatCode="#,##0">
                  <c:v>5665</c:v>
                </c:pt>
                <c:pt idx="41" formatCode="#,##0">
                  <c:v>5900</c:v>
                </c:pt>
                <c:pt idx="42" formatCode="#,##0">
                  <c:v>6338</c:v>
                </c:pt>
                <c:pt idx="43" formatCode="#,##0">
                  <c:v>7300</c:v>
                </c:pt>
                <c:pt idx="44" formatCode="#,##0">
                  <c:v>5890</c:v>
                </c:pt>
                <c:pt idx="45" formatCode="#,##0">
                  <c:v>5500</c:v>
                </c:pt>
                <c:pt idx="46" formatCode="#,##0">
                  <c:v>5810</c:v>
                </c:pt>
                <c:pt idx="47" formatCode="#,##0">
                  <c:v>6200</c:v>
                </c:pt>
                <c:pt idx="48" formatCode="#,##0">
                  <c:v>7067</c:v>
                </c:pt>
                <c:pt idx="49" formatCode="#,##0">
                  <c:v>6250</c:v>
                </c:pt>
                <c:pt idx="50" formatCode="#,##0">
                  <c:v>7100</c:v>
                </c:pt>
                <c:pt idx="51" formatCode="_(* #,##0_);_(* \(#,##0\);_(* &quot;-&quot;??_);_(@_)">
                  <c:v>6429.3109999999997</c:v>
                </c:pt>
                <c:pt idx="52" formatCode="_(* #,##0_);_(* \(#,##0\);_(* &quot;-&quot;??_);_(@_)">
                  <c:v>6969.5020000000004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Mex!$C$19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Mex!$D$19:$BD$19</c:f>
              <c:numCache>
                <c:formatCode>General</c:formatCode>
                <c:ptCount val="53"/>
                <c:pt idx="0">
                  <c:v>27</c:v>
                </c:pt>
                <c:pt idx="1">
                  <c:v>41</c:v>
                </c:pt>
                <c:pt idx="2">
                  <c:v>173</c:v>
                </c:pt>
                <c:pt idx="3">
                  <c:v>13</c:v>
                </c:pt>
                <c:pt idx="4">
                  <c:v>56</c:v>
                </c:pt>
                <c:pt idx="5">
                  <c:v>56</c:v>
                </c:pt>
                <c:pt idx="6">
                  <c:v>25</c:v>
                </c:pt>
                <c:pt idx="7">
                  <c:v>85</c:v>
                </c:pt>
                <c:pt idx="8">
                  <c:v>31</c:v>
                </c:pt>
                <c:pt idx="9">
                  <c:v>26</c:v>
                </c:pt>
                <c:pt idx="10">
                  <c:v>22</c:v>
                </c:pt>
                <c:pt idx="11">
                  <c:v>84</c:v>
                </c:pt>
                <c:pt idx="12">
                  <c:v>186</c:v>
                </c:pt>
                <c:pt idx="13">
                  <c:v>200</c:v>
                </c:pt>
                <c:pt idx="14">
                  <c:v>583</c:v>
                </c:pt>
                <c:pt idx="15">
                  <c:v>300</c:v>
                </c:pt>
                <c:pt idx="16">
                  <c:v>800</c:v>
                </c:pt>
                <c:pt idx="17">
                  <c:v>570</c:v>
                </c:pt>
                <c:pt idx="18" formatCode="#,##0">
                  <c:v>1405</c:v>
                </c:pt>
                <c:pt idx="19" formatCode="#,##0">
                  <c:v>2290</c:v>
                </c:pt>
                <c:pt idx="20" formatCode="#,##0">
                  <c:v>3193</c:v>
                </c:pt>
                <c:pt idx="21">
                  <c:v>945</c:v>
                </c:pt>
                <c:pt idx="22" formatCode="#,##0">
                  <c:v>3227</c:v>
                </c:pt>
                <c:pt idx="23" formatCode="#,##0">
                  <c:v>3329</c:v>
                </c:pt>
                <c:pt idx="24" formatCode="#,##0">
                  <c:v>2481</c:v>
                </c:pt>
                <c:pt idx="25">
                  <c:v>627</c:v>
                </c:pt>
                <c:pt idx="26">
                  <c:v>810</c:v>
                </c:pt>
                <c:pt idx="27">
                  <c:v>875</c:v>
                </c:pt>
                <c:pt idx="28" formatCode="#,##0">
                  <c:v>2256</c:v>
                </c:pt>
                <c:pt idx="29" formatCode="#,##0">
                  <c:v>3020</c:v>
                </c:pt>
                <c:pt idx="30" formatCode="#,##0">
                  <c:v>3025</c:v>
                </c:pt>
                <c:pt idx="31" formatCode="#,##0">
                  <c:v>5015</c:v>
                </c:pt>
                <c:pt idx="32" formatCode="#,##0">
                  <c:v>4024</c:v>
                </c:pt>
                <c:pt idx="33" formatCode="#,##0">
                  <c:v>3118</c:v>
                </c:pt>
                <c:pt idx="34" formatCode="#,##0">
                  <c:v>2544</c:v>
                </c:pt>
                <c:pt idx="35" formatCode="#,##0">
                  <c:v>1764</c:v>
                </c:pt>
                <c:pt idx="36" formatCode="#,##0">
                  <c:v>2091</c:v>
                </c:pt>
                <c:pt idx="37" formatCode="#,##0">
                  <c:v>3379</c:v>
                </c:pt>
                <c:pt idx="38" formatCode="#,##0">
                  <c:v>3338</c:v>
                </c:pt>
                <c:pt idx="39" formatCode="#,##0">
                  <c:v>4890</c:v>
                </c:pt>
                <c:pt idx="40" formatCode="#,##0">
                  <c:v>5037</c:v>
                </c:pt>
                <c:pt idx="41" formatCode="#,##0">
                  <c:v>4837</c:v>
                </c:pt>
                <c:pt idx="42" formatCode="#,##0">
                  <c:v>3384</c:v>
                </c:pt>
                <c:pt idx="43" formatCode="#,##0">
                  <c:v>3002</c:v>
                </c:pt>
                <c:pt idx="44" formatCode="#,##0">
                  <c:v>2931</c:v>
                </c:pt>
                <c:pt idx="45" formatCode="#,##0">
                  <c:v>3029</c:v>
                </c:pt>
                <c:pt idx="46" formatCode="#,##0">
                  <c:v>1954</c:v>
                </c:pt>
                <c:pt idx="47" formatCode="#,##0">
                  <c:v>1156</c:v>
                </c:pt>
                <c:pt idx="48" formatCode="#,##0">
                  <c:v>2496</c:v>
                </c:pt>
                <c:pt idx="49" formatCode="#,##0">
                  <c:v>2528</c:v>
                </c:pt>
                <c:pt idx="50" formatCode="#,##0">
                  <c:v>2400</c:v>
                </c:pt>
                <c:pt idx="51" formatCode="_(* #,##0_);_(* \(#,##0\);_(* &quot;-&quot;??_);_(@_)">
                  <c:v>2380.2759999999998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Mex!$C$20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Mex!$D$20:$BD$20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2</c:v>
                </c:pt>
                <c:pt idx="4">
                  <c:v>0</c:v>
                </c:pt>
                <c:pt idx="5">
                  <c:v>0</c:v>
                </c:pt>
                <c:pt idx="6">
                  <c:v>21</c:v>
                </c:pt>
                <c:pt idx="7">
                  <c:v>170</c:v>
                </c:pt>
                <c:pt idx="8">
                  <c:v>175</c:v>
                </c:pt>
                <c:pt idx="9">
                  <c:v>250</c:v>
                </c:pt>
                <c:pt idx="10">
                  <c:v>200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 formatCode="_(* #,##0_);_(* \(#,##0\);_(* &quot;-&quot;??_);_(@_)">
                  <c:v>0.29699999999999999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Mex!$C$21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Mex!$D$21:$BD$21</c:f>
              <c:numCache>
                <c:formatCode>General</c:formatCode>
                <c:ptCount val="53"/>
                <c:pt idx="0">
                  <c:v>237</c:v>
                </c:pt>
                <c:pt idx="1">
                  <c:v>334</c:v>
                </c:pt>
                <c:pt idx="2">
                  <c:v>450</c:v>
                </c:pt>
                <c:pt idx="3">
                  <c:v>427</c:v>
                </c:pt>
                <c:pt idx="4">
                  <c:v>555</c:v>
                </c:pt>
                <c:pt idx="5">
                  <c:v>825</c:v>
                </c:pt>
                <c:pt idx="6" formatCode="#,##0">
                  <c:v>1120</c:v>
                </c:pt>
                <c:pt idx="7" formatCode="#,##0">
                  <c:v>1545</c:v>
                </c:pt>
                <c:pt idx="8" formatCode="#,##0">
                  <c:v>1900</c:v>
                </c:pt>
                <c:pt idx="9" formatCode="#,##0">
                  <c:v>2100</c:v>
                </c:pt>
                <c:pt idx="10" formatCode="#,##0">
                  <c:v>2200</c:v>
                </c:pt>
                <c:pt idx="11" formatCode="#,##0">
                  <c:v>2402</c:v>
                </c:pt>
                <c:pt idx="12" formatCode="#,##0">
                  <c:v>1876</c:v>
                </c:pt>
                <c:pt idx="13" formatCode="#,##0">
                  <c:v>3010</c:v>
                </c:pt>
                <c:pt idx="14" formatCode="#,##0">
                  <c:v>3123</c:v>
                </c:pt>
                <c:pt idx="15" formatCode="#,##0">
                  <c:v>3670</c:v>
                </c:pt>
                <c:pt idx="16" formatCode="#,##0">
                  <c:v>3950</c:v>
                </c:pt>
                <c:pt idx="17" formatCode="#,##0">
                  <c:v>3950</c:v>
                </c:pt>
                <c:pt idx="18" formatCode="#,##0">
                  <c:v>4220</c:v>
                </c:pt>
                <c:pt idx="19" formatCode="#,##0">
                  <c:v>4280</c:v>
                </c:pt>
                <c:pt idx="20" formatCode="#,##0">
                  <c:v>5200</c:v>
                </c:pt>
                <c:pt idx="21" formatCode="#,##0">
                  <c:v>6758</c:v>
                </c:pt>
                <c:pt idx="22" formatCode="#,##0">
                  <c:v>6100</c:v>
                </c:pt>
                <c:pt idx="23" formatCode="#,##0">
                  <c:v>6300</c:v>
                </c:pt>
                <c:pt idx="24" formatCode="#,##0">
                  <c:v>6425</c:v>
                </c:pt>
                <c:pt idx="25" formatCode="#,##0">
                  <c:v>5702</c:v>
                </c:pt>
                <c:pt idx="26" formatCode="#,##0">
                  <c:v>5110</c:v>
                </c:pt>
                <c:pt idx="27" formatCode="#,##0">
                  <c:v>4853</c:v>
                </c:pt>
                <c:pt idx="28" formatCode="#,##0">
                  <c:v>5279</c:v>
                </c:pt>
                <c:pt idx="29" formatCode="#,##0">
                  <c:v>6020</c:v>
                </c:pt>
                <c:pt idx="30" formatCode="#,##0">
                  <c:v>6825</c:v>
                </c:pt>
                <c:pt idx="31" formatCode="#,##0">
                  <c:v>9418</c:v>
                </c:pt>
                <c:pt idx="32" formatCode="#,##0">
                  <c:v>7412</c:v>
                </c:pt>
                <c:pt idx="33" formatCode="#,##0">
                  <c:v>6336</c:v>
                </c:pt>
                <c:pt idx="34" formatCode="#,##0">
                  <c:v>5644</c:v>
                </c:pt>
                <c:pt idx="35" formatCode="#,##0">
                  <c:v>6900</c:v>
                </c:pt>
                <c:pt idx="36" formatCode="#,##0">
                  <c:v>8500</c:v>
                </c:pt>
                <c:pt idx="37" formatCode="#,##0">
                  <c:v>8980</c:v>
                </c:pt>
                <c:pt idx="38" formatCode="#,##0">
                  <c:v>9800</c:v>
                </c:pt>
                <c:pt idx="39" formatCode="#,##0">
                  <c:v>11200</c:v>
                </c:pt>
                <c:pt idx="40" formatCode="#,##0">
                  <c:v>11200</c:v>
                </c:pt>
                <c:pt idx="41" formatCode="#,##0">
                  <c:v>10750</c:v>
                </c:pt>
                <c:pt idx="42" formatCode="#,##0">
                  <c:v>9900</c:v>
                </c:pt>
                <c:pt idx="43" formatCode="#,##0">
                  <c:v>9800</c:v>
                </c:pt>
                <c:pt idx="44" formatCode="#,##0">
                  <c:v>9300</c:v>
                </c:pt>
                <c:pt idx="45" formatCode="#,##0">
                  <c:v>8600</c:v>
                </c:pt>
                <c:pt idx="46" formatCode="#,##0">
                  <c:v>8100</c:v>
                </c:pt>
                <c:pt idx="47" formatCode="#,##0">
                  <c:v>7200</c:v>
                </c:pt>
                <c:pt idx="48" formatCode="#,##0">
                  <c:v>8600</c:v>
                </c:pt>
                <c:pt idx="49" formatCode="#,##0">
                  <c:v>9700</c:v>
                </c:pt>
                <c:pt idx="50" formatCode="#,##0">
                  <c:v>9500</c:v>
                </c:pt>
                <c:pt idx="51" formatCode="_(* #,##0_);_(* \(#,##0\);_(* &quot;-&quot;??_);_(@_)">
                  <c:v>8809.2899999999991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84464"/>
        <c:axId val="315585248"/>
      </c:lineChart>
      <c:catAx>
        <c:axId val="315584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5248"/>
        <c:crosses val="autoZero"/>
        <c:auto val="1"/>
        <c:lblAlgn val="ctr"/>
        <c:lblOffset val="100"/>
        <c:noMultiLvlLbl val="0"/>
      </c:catAx>
      <c:valAx>
        <c:axId val="31558524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446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278"/>
          <c:w val="0.91165128933230188"/>
          <c:h val="0.1078068583210106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19"/>
          <c:w val="0.84524590848569481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Mex!$C$22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Mex!$D$22:$BD$22</c:f>
              <c:numCache>
                <c:formatCode>#,##0</c:formatCode>
                <c:ptCount val="53"/>
                <c:pt idx="0">
                  <c:v>19167.984</c:v>
                </c:pt>
                <c:pt idx="1">
                  <c:v>21115.599999999999</c:v>
                </c:pt>
                <c:pt idx="2">
                  <c:v>22326.991999999998</c:v>
                </c:pt>
                <c:pt idx="3">
                  <c:v>26989.616000000002</c:v>
                </c:pt>
                <c:pt idx="4">
                  <c:v>30955.68</c:v>
                </c:pt>
                <c:pt idx="5">
                  <c:v>32228.624</c:v>
                </c:pt>
                <c:pt idx="6">
                  <c:v>32106.864000000001</c:v>
                </c:pt>
                <c:pt idx="7">
                  <c:v>31683.232</c:v>
                </c:pt>
                <c:pt idx="8">
                  <c:v>32445.808000000001</c:v>
                </c:pt>
                <c:pt idx="9">
                  <c:v>34651.423999999999</c:v>
                </c:pt>
                <c:pt idx="10">
                  <c:v>32715.151999999998</c:v>
                </c:pt>
                <c:pt idx="11">
                  <c:v>32252</c:v>
                </c:pt>
                <c:pt idx="12">
                  <c:v>32861.248</c:v>
                </c:pt>
                <c:pt idx="13">
                  <c:v>33499.152000000002</c:v>
                </c:pt>
                <c:pt idx="14">
                  <c:v>35840.576000000001</c:v>
                </c:pt>
                <c:pt idx="15">
                  <c:v>31386.544000000002</c:v>
                </c:pt>
                <c:pt idx="16">
                  <c:v>29397.344000000001</c:v>
                </c:pt>
                <c:pt idx="17">
                  <c:v>35474.847999999998</c:v>
                </c:pt>
                <c:pt idx="18">
                  <c:v>34587.408000000003</c:v>
                </c:pt>
                <c:pt idx="19">
                  <c:v>35278.624000000003</c:v>
                </c:pt>
                <c:pt idx="20">
                  <c:v>33197.404000000002</c:v>
                </c:pt>
                <c:pt idx="21">
                  <c:v>35511.016000000003</c:v>
                </c:pt>
                <c:pt idx="22">
                  <c:v>34232.016000000003</c:v>
                </c:pt>
                <c:pt idx="23">
                  <c:v>34969.728000000003</c:v>
                </c:pt>
                <c:pt idx="24">
                  <c:v>34430.839999999997</c:v>
                </c:pt>
                <c:pt idx="25">
                  <c:v>44271.184000000001</c:v>
                </c:pt>
                <c:pt idx="26">
                  <c:v>45874.232000000004</c:v>
                </c:pt>
                <c:pt idx="27">
                  <c:v>42735.216</c:v>
                </c:pt>
                <c:pt idx="28">
                  <c:v>43910.48</c:v>
                </c:pt>
                <c:pt idx="29">
                  <c:v>39919.368000000002</c:v>
                </c:pt>
                <c:pt idx="30">
                  <c:v>38433.991999999998</c:v>
                </c:pt>
                <c:pt idx="31">
                  <c:v>41696.6</c:v>
                </c:pt>
                <c:pt idx="32">
                  <c:v>42930.96</c:v>
                </c:pt>
                <c:pt idx="33">
                  <c:v>40586.767999999996</c:v>
                </c:pt>
                <c:pt idx="34">
                  <c:v>44452.951999999997</c:v>
                </c:pt>
                <c:pt idx="35">
                  <c:v>45080.648000000001</c:v>
                </c:pt>
                <c:pt idx="36">
                  <c:v>45219.512000000002</c:v>
                </c:pt>
                <c:pt idx="37">
                  <c:v>48895.256000000001</c:v>
                </c:pt>
                <c:pt idx="38">
                  <c:v>46880</c:v>
                </c:pt>
                <c:pt idx="39">
                  <c:v>44100</c:v>
                </c:pt>
                <c:pt idx="40">
                  <c:v>47250</c:v>
                </c:pt>
                <c:pt idx="41">
                  <c:v>45635.3</c:v>
                </c:pt>
                <c:pt idx="42">
                  <c:v>47483.983999999997</c:v>
                </c:pt>
                <c:pt idx="43">
                  <c:v>48662.243999999999</c:v>
                </c:pt>
                <c:pt idx="44">
                  <c:v>51645.544000000002</c:v>
                </c:pt>
                <c:pt idx="45">
                  <c:v>50675.82</c:v>
                </c:pt>
                <c:pt idx="46">
                  <c:v>52089.356</c:v>
                </c:pt>
                <c:pt idx="47">
                  <c:v>51090.720999999998</c:v>
                </c:pt>
                <c:pt idx="48">
                  <c:v>49492.695</c:v>
                </c:pt>
                <c:pt idx="49">
                  <c:v>50421.618999999999</c:v>
                </c:pt>
                <c:pt idx="50">
                  <c:v>49735.273000000001</c:v>
                </c:pt>
                <c:pt idx="51" formatCode="_(* #,##0_);_(* \(#,##0\);_(* &quot;-&quot;??_);_(@_)">
                  <c:v>50946.483</c:v>
                </c:pt>
                <c:pt idx="52" formatCode="_(* #,##0_);_(* \(#,##0\);_(* &quot;-&quot;??_);_(@_)">
                  <c:v>61182.076999999997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Mex!$C$23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Mex!$D$23:$BD$23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778</c:v>
                </c:pt>
                <c:pt idx="20">
                  <c:v>607</c:v>
                </c:pt>
                <c:pt idx="21">
                  <c:v>470</c:v>
                </c:pt>
                <c:pt idx="22">
                  <c:v>862</c:v>
                </c:pt>
                <c:pt idx="23">
                  <c:v>270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600</c:v>
                </c:pt>
                <c:pt idx="29" formatCode="#,##0">
                  <c:v>1100</c:v>
                </c:pt>
                <c:pt idx="30" formatCode="#,##0">
                  <c:v>1625</c:v>
                </c:pt>
                <c:pt idx="31">
                  <c:v>275</c:v>
                </c:pt>
                <c:pt idx="32">
                  <c:v>78</c:v>
                </c:pt>
                <c:pt idx="33">
                  <c:v>94</c:v>
                </c:pt>
                <c:pt idx="34">
                  <c:v>49</c:v>
                </c:pt>
                <c:pt idx="35">
                  <c:v>234</c:v>
                </c:pt>
                <c:pt idx="36">
                  <c:v>191</c:v>
                </c:pt>
                <c:pt idx="37">
                  <c:v>31</c:v>
                </c:pt>
                <c:pt idx="38">
                  <c:v>41</c:v>
                </c:pt>
                <c:pt idx="39">
                  <c:v>37</c:v>
                </c:pt>
                <c:pt idx="40">
                  <c:v>43</c:v>
                </c:pt>
                <c:pt idx="41">
                  <c:v>52</c:v>
                </c:pt>
                <c:pt idx="42">
                  <c:v>63</c:v>
                </c:pt>
                <c:pt idx="43">
                  <c:v>327</c:v>
                </c:pt>
                <c:pt idx="44">
                  <c:v>268</c:v>
                </c:pt>
                <c:pt idx="45">
                  <c:v>240</c:v>
                </c:pt>
                <c:pt idx="46">
                  <c:v>474</c:v>
                </c:pt>
                <c:pt idx="47">
                  <c:v>226</c:v>
                </c:pt>
                <c:pt idx="48">
                  <c:v>160</c:v>
                </c:pt>
                <c:pt idx="49">
                  <c:v>861</c:v>
                </c:pt>
                <c:pt idx="50">
                  <c:v>225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Mex!$C$24</c:f>
              <c:strCache>
                <c:ptCount val="1"/>
                <c:pt idx="0">
                  <c:v>Total 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Mex!$D$24:$BD$24</c:f>
              <c:numCache>
                <c:formatCode>General</c:formatCode>
                <c:ptCount val="53"/>
                <c:pt idx="0">
                  <c:v>417</c:v>
                </c:pt>
                <c:pt idx="1">
                  <c:v>357</c:v>
                </c:pt>
                <c:pt idx="2">
                  <c:v>375</c:v>
                </c:pt>
                <c:pt idx="3">
                  <c:v>484</c:v>
                </c:pt>
                <c:pt idx="4">
                  <c:v>528</c:v>
                </c:pt>
                <c:pt idx="5">
                  <c:v>475</c:v>
                </c:pt>
                <c:pt idx="6">
                  <c:v>550</c:v>
                </c:pt>
                <c:pt idx="7">
                  <c:v>610</c:v>
                </c:pt>
                <c:pt idx="8">
                  <c:v>604</c:v>
                </c:pt>
                <c:pt idx="9">
                  <c:v>548</c:v>
                </c:pt>
                <c:pt idx="10">
                  <c:v>556</c:v>
                </c:pt>
                <c:pt idx="11">
                  <c:v>532</c:v>
                </c:pt>
                <c:pt idx="12">
                  <c:v>561</c:v>
                </c:pt>
                <c:pt idx="13">
                  <c:v>623</c:v>
                </c:pt>
                <c:pt idx="14">
                  <c:v>232</c:v>
                </c:pt>
                <c:pt idx="15">
                  <c:v>432</c:v>
                </c:pt>
                <c:pt idx="16">
                  <c:v>0</c:v>
                </c:pt>
                <c:pt idx="17">
                  <c:v>0</c:v>
                </c:pt>
                <c:pt idx="18">
                  <c:v>103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40</c:v>
                </c:pt>
                <c:pt idx="23">
                  <c:v>0</c:v>
                </c:pt>
                <c:pt idx="24">
                  <c:v>11</c:v>
                </c:pt>
                <c:pt idx="25">
                  <c:v>192</c:v>
                </c:pt>
                <c:pt idx="26">
                  <c:v>425</c:v>
                </c:pt>
                <c:pt idx="27">
                  <c:v>967</c:v>
                </c:pt>
                <c:pt idx="28">
                  <c:v>410</c:v>
                </c:pt>
                <c:pt idx="29">
                  <c:v>170</c:v>
                </c:pt>
                <c:pt idx="30">
                  <c:v>285</c:v>
                </c:pt>
                <c:pt idx="31">
                  <c:v>204</c:v>
                </c:pt>
                <c:pt idx="32">
                  <c:v>7</c:v>
                </c:pt>
                <c:pt idx="33">
                  <c:v>0</c:v>
                </c:pt>
                <c:pt idx="34">
                  <c:v>235</c:v>
                </c:pt>
                <c:pt idx="35">
                  <c:v>646</c:v>
                </c:pt>
                <c:pt idx="36">
                  <c:v>966</c:v>
                </c:pt>
                <c:pt idx="37" formatCode="#,##0">
                  <c:v>1076</c:v>
                </c:pt>
                <c:pt idx="38">
                  <c:v>524</c:v>
                </c:pt>
                <c:pt idx="39">
                  <c:v>318</c:v>
                </c:pt>
                <c:pt idx="40">
                  <c:v>155</c:v>
                </c:pt>
                <c:pt idx="41">
                  <c:v>413</c:v>
                </c:pt>
                <c:pt idx="42">
                  <c:v>38</c:v>
                </c:pt>
                <c:pt idx="43">
                  <c:v>14</c:v>
                </c:pt>
                <c:pt idx="44">
                  <c:v>128</c:v>
                </c:pt>
                <c:pt idx="45">
                  <c:v>866</c:v>
                </c:pt>
                <c:pt idx="46">
                  <c:v>160</c:v>
                </c:pt>
                <c:pt idx="47">
                  <c:v>677</c:v>
                </c:pt>
                <c:pt idx="48" formatCode="#,##0">
                  <c:v>1367</c:v>
                </c:pt>
                <c:pt idx="49">
                  <c:v>773</c:v>
                </c:pt>
                <c:pt idx="50">
                  <c:v>938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Mex!$C$25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Mex!$D$25:$BD$25</c:f>
              <c:numCache>
                <c:formatCode>#,##0</c:formatCode>
                <c:ptCount val="53"/>
                <c:pt idx="0">
                  <c:v>18750.984</c:v>
                </c:pt>
                <c:pt idx="1">
                  <c:v>20758.599999999999</c:v>
                </c:pt>
                <c:pt idx="2">
                  <c:v>21951.991999999998</c:v>
                </c:pt>
                <c:pt idx="3">
                  <c:v>26505.616000000002</c:v>
                </c:pt>
                <c:pt idx="4">
                  <c:v>30427.68</c:v>
                </c:pt>
                <c:pt idx="5">
                  <c:v>31753.624</c:v>
                </c:pt>
                <c:pt idx="6">
                  <c:v>31556.864000000001</c:v>
                </c:pt>
                <c:pt idx="7">
                  <c:v>31073.232</c:v>
                </c:pt>
                <c:pt idx="8">
                  <c:v>31841.808000000001</c:v>
                </c:pt>
                <c:pt idx="9">
                  <c:v>34103.423999999999</c:v>
                </c:pt>
                <c:pt idx="10">
                  <c:v>32159.151999999998</c:v>
                </c:pt>
                <c:pt idx="11">
                  <c:v>31720</c:v>
                </c:pt>
                <c:pt idx="12">
                  <c:v>32300.248</c:v>
                </c:pt>
                <c:pt idx="13">
                  <c:v>32876.152000000002</c:v>
                </c:pt>
                <c:pt idx="14">
                  <c:v>35608.576000000001</c:v>
                </c:pt>
                <c:pt idx="15">
                  <c:v>30954.544000000002</c:v>
                </c:pt>
                <c:pt idx="16">
                  <c:v>29397.344000000001</c:v>
                </c:pt>
                <c:pt idx="17">
                  <c:v>35474.847999999998</c:v>
                </c:pt>
                <c:pt idx="18">
                  <c:v>34484.408000000003</c:v>
                </c:pt>
                <c:pt idx="19">
                  <c:v>36056.624000000003</c:v>
                </c:pt>
                <c:pt idx="20">
                  <c:v>33804.404000000002</c:v>
                </c:pt>
                <c:pt idx="21">
                  <c:v>35981.016000000003</c:v>
                </c:pt>
                <c:pt idx="22">
                  <c:v>35054.016000000003</c:v>
                </c:pt>
                <c:pt idx="23">
                  <c:v>35239.728000000003</c:v>
                </c:pt>
                <c:pt idx="24">
                  <c:v>34419.839999999997</c:v>
                </c:pt>
                <c:pt idx="25">
                  <c:v>44079.184000000001</c:v>
                </c:pt>
                <c:pt idx="26">
                  <c:v>45449.232000000004</c:v>
                </c:pt>
                <c:pt idx="27">
                  <c:v>41768.216</c:v>
                </c:pt>
                <c:pt idx="28">
                  <c:v>44100.480000000003</c:v>
                </c:pt>
                <c:pt idx="29">
                  <c:v>40849.368000000002</c:v>
                </c:pt>
                <c:pt idx="30">
                  <c:v>39773.991999999998</c:v>
                </c:pt>
                <c:pt idx="31">
                  <c:v>41767.599999999999</c:v>
                </c:pt>
                <c:pt idx="32">
                  <c:v>43001.96</c:v>
                </c:pt>
                <c:pt idx="33">
                  <c:v>40680.767999999996</c:v>
                </c:pt>
                <c:pt idx="34">
                  <c:v>44266.951999999997</c:v>
                </c:pt>
                <c:pt idx="35">
                  <c:v>44668.648000000001</c:v>
                </c:pt>
                <c:pt idx="36">
                  <c:v>44444.512000000002</c:v>
                </c:pt>
                <c:pt idx="37">
                  <c:v>47850.256000000001</c:v>
                </c:pt>
                <c:pt idx="38">
                  <c:v>46397</c:v>
                </c:pt>
                <c:pt idx="39">
                  <c:v>43819</c:v>
                </c:pt>
                <c:pt idx="40">
                  <c:v>47138</c:v>
                </c:pt>
                <c:pt idx="41">
                  <c:v>45274.3</c:v>
                </c:pt>
                <c:pt idx="42">
                  <c:v>47508.983999999997</c:v>
                </c:pt>
                <c:pt idx="43">
                  <c:v>48975.243999999999</c:v>
                </c:pt>
                <c:pt idx="44">
                  <c:v>51785.544000000002</c:v>
                </c:pt>
                <c:pt idx="45">
                  <c:v>50049.82</c:v>
                </c:pt>
                <c:pt idx="46">
                  <c:v>52403.356</c:v>
                </c:pt>
                <c:pt idx="47">
                  <c:v>50639.720999999998</c:v>
                </c:pt>
                <c:pt idx="48">
                  <c:v>48285.695</c:v>
                </c:pt>
                <c:pt idx="49">
                  <c:v>50509.618999999999</c:v>
                </c:pt>
                <c:pt idx="50">
                  <c:v>49022.273000000001</c:v>
                </c:pt>
                <c:pt idx="51">
                  <c:v>50946.483</c:v>
                </c:pt>
                <c:pt idx="52">
                  <c:v>61182.076999999997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583680"/>
        <c:axId val="317048592"/>
      </c:lineChart>
      <c:catAx>
        <c:axId val="315583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48592"/>
        <c:crosses val="autoZero"/>
        <c:auto val="1"/>
        <c:lblAlgn val="ctr"/>
        <c:lblOffset val="100"/>
        <c:noMultiLvlLbl val="0"/>
      </c:catAx>
      <c:valAx>
        <c:axId val="31704859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558368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"/>
          <c:w val="0.91165128933230188"/>
          <c:h val="0.1078068583210107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27"/>
          <c:w val="0.845245908485695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Mex!$C$26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Mex!$D$26:$BD$26</c:f>
              <c:numCache>
                <c:formatCode>#,##0</c:formatCode>
                <c:ptCount val="53"/>
                <c:pt idx="0">
                  <c:v>1190</c:v>
                </c:pt>
                <c:pt idx="1">
                  <c:v>1402</c:v>
                </c:pt>
                <c:pt idx="2">
                  <c:v>1455</c:v>
                </c:pt>
                <c:pt idx="3">
                  <c:v>1703</c:v>
                </c:pt>
                <c:pt idx="4">
                  <c:v>1800</c:v>
                </c:pt>
                <c:pt idx="5">
                  <c:v>2088</c:v>
                </c:pt>
                <c:pt idx="6">
                  <c:v>1612</c:v>
                </c:pt>
                <c:pt idx="7">
                  <c:v>2061</c:v>
                </c:pt>
                <c:pt idx="8">
                  <c:v>1780</c:v>
                </c:pt>
                <c:pt idx="9">
                  <c:v>1915</c:v>
                </c:pt>
                <c:pt idx="10">
                  <c:v>2148</c:v>
                </c:pt>
                <c:pt idx="11">
                  <c:v>2019</c:v>
                </c:pt>
                <c:pt idx="12">
                  <c:v>1700</c:v>
                </c:pt>
                <c:pt idx="13">
                  <c:v>2000</c:v>
                </c:pt>
                <c:pt idx="14">
                  <c:v>2400</c:v>
                </c:pt>
                <c:pt idx="15">
                  <c:v>2900</c:v>
                </c:pt>
                <c:pt idx="16">
                  <c:v>3350</c:v>
                </c:pt>
                <c:pt idx="17">
                  <c:v>2300</c:v>
                </c:pt>
                <c:pt idx="18">
                  <c:v>2350</c:v>
                </c:pt>
                <c:pt idx="19">
                  <c:v>2280</c:v>
                </c:pt>
                <c:pt idx="20">
                  <c:v>2650</c:v>
                </c:pt>
                <c:pt idx="21">
                  <c:v>3050</c:v>
                </c:pt>
                <c:pt idx="22">
                  <c:v>4200</c:v>
                </c:pt>
                <c:pt idx="23">
                  <c:v>3200</c:v>
                </c:pt>
                <c:pt idx="24">
                  <c:v>4200</c:v>
                </c:pt>
                <c:pt idx="25">
                  <c:v>4400</c:v>
                </c:pt>
                <c:pt idx="26">
                  <c:v>4500</c:v>
                </c:pt>
                <c:pt idx="27">
                  <c:v>3700</c:v>
                </c:pt>
                <c:pt idx="28">
                  <c:v>3200</c:v>
                </c:pt>
                <c:pt idx="29">
                  <c:v>4000</c:v>
                </c:pt>
                <c:pt idx="30">
                  <c:v>3930</c:v>
                </c:pt>
                <c:pt idx="31">
                  <c:v>4061</c:v>
                </c:pt>
                <c:pt idx="32">
                  <c:v>3621</c:v>
                </c:pt>
                <c:pt idx="33">
                  <c:v>3582</c:v>
                </c:pt>
                <c:pt idx="34">
                  <c:v>4151</c:v>
                </c:pt>
                <c:pt idx="35">
                  <c:v>3468</c:v>
                </c:pt>
                <c:pt idx="36">
                  <c:v>3107</c:v>
                </c:pt>
                <c:pt idx="37">
                  <c:v>3639</c:v>
                </c:pt>
                <c:pt idx="38">
                  <c:v>3235</c:v>
                </c:pt>
                <c:pt idx="39">
                  <c:v>3050</c:v>
                </c:pt>
                <c:pt idx="40">
                  <c:v>3400</c:v>
                </c:pt>
                <c:pt idx="41">
                  <c:v>3270</c:v>
                </c:pt>
                <c:pt idx="42">
                  <c:v>3230</c:v>
                </c:pt>
                <c:pt idx="43">
                  <c:v>2700</c:v>
                </c:pt>
                <c:pt idx="44">
                  <c:v>2420</c:v>
                </c:pt>
                <c:pt idx="45">
                  <c:v>3020</c:v>
                </c:pt>
                <c:pt idx="46">
                  <c:v>3240</c:v>
                </c:pt>
                <c:pt idx="47">
                  <c:v>3593</c:v>
                </c:pt>
                <c:pt idx="48">
                  <c:v>4000</c:v>
                </c:pt>
                <c:pt idx="49">
                  <c:v>4300</c:v>
                </c:pt>
                <c:pt idx="50">
                  <c:v>3900</c:v>
                </c:pt>
                <c:pt idx="51" formatCode="_(* #,##0_);_(* \(#,##0\);_(* &quot;-&quot;??_);_(@_)">
                  <c:v>3627.511</c:v>
                </c:pt>
                <c:pt idx="52" formatCode="_(* #,##0_);_(* \(#,##0\);_(* &quot;-&quot;??_);_(@_)">
                  <c:v>3274.337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Mex!$C$27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Mex!$D$27:$BD$27</c:f>
              <c:numCache>
                <c:formatCode>General</c:formatCode>
                <c:ptCount val="53"/>
                <c:pt idx="0">
                  <c:v>7</c:v>
                </c:pt>
                <c:pt idx="1">
                  <c:v>20</c:v>
                </c:pt>
                <c:pt idx="2">
                  <c:v>36</c:v>
                </c:pt>
                <c:pt idx="3">
                  <c:v>54</c:v>
                </c:pt>
                <c:pt idx="4">
                  <c:v>31</c:v>
                </c:pt>
                <c:pt idx="5">
                  <c:v>7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49</c:v>
                </c:pt>
                <c:pt idx="10">
                  <c:v>5</c:v>
                </c:pt>
                <c:pt idx="11">
                  <c:v>409</c:v>
                </c:pt>
                <c:pt idx="12">
                  <c:v>650</c:v>
                </c:pt>
                <c:pt idx="13">
                  <c:v>790</c:v>
                </c:pt>
                <c:pt idx="14">
                  <c:v>832</c:v>
                </c:pt>
                <c:pt idx="15">
                  <c:v>1</c:v>
                </c:pt>
                <c:pt idx="16">
                  <c:v>1</c:v>
                </c:pt>
                <c:pt idx="17">
                  <c:v>625</c:v>
                </c:pt>
                <c:pt idx="18" formatCode="#,##0">
                  <c:v>1055</c:v>
                </c:pt>
                <c:pt idx="19" formatCode="#,##0">
                  <c:v>1005</c:v>
                </c:pt>
                <c:pt idx="20" formatCode="#,##0">
                  <c:v>1235</c:v>
                </c:pt>
                <c:pt idx="21">
                  <c:v>938</c:v>
                </c:pt>
                <c:pt idx="22">
                  <c:v>50</c:v>
                </c:pt>
                <c:pt idx="23">
                  <c:v>566</c:v>
                </c:pt>
                <c:pt idx="24">
                  <c:v>491</c:v>
                </c:pt>
                <c:pt idx="25">
                  <c:v>92</c:v>
                </c:pt>
                <c:pt idx="26">
                  <c:v>575</c:v>
                </c:pt>
                <c:pt idx="27">
                  <c:v>724</c:v>
                </c:pt>
                <c:pt idx="28" formatCode="#,##0">
                  <c:v>1046</c:v>
                </c:pt>
                <c:pt idx="29">
                  <c:v>220</c:v>
                </c:pt>
                <c:pt idx="30">
                  <c:v>486</c:v>
                </c:pt>
                <c:pt idx="31">
                  <c:v>739</c:v>
                </c:pt>
                <c:pt idx="32" formatCode="#,##0">
                  <c:v>1350</c:v>
                </c:pt>
                <c:pt idx="33" formatCode="#,##0">
                  <c:v>1828</c:v>
                </c:pt>
                <c:pt idx="34" formatCode="#,##0">
                  <c:v>1374</c:v>
                </c:pt>
                <c:pt idx="35" formatCode="#,##0">
                  <c:v>1581</c:v>
                </c:pt>
                <c:pt idx="36" formatCode="#,##0">
                  <c:v>1940</c:v>
                </c:pt>
                <c:pt idx="37" formatCode="#,##0">
                  <c:v>2166</c:v>
                </c:pt>
                <c:pt idx="38" formatCode="#,##0">
                  <c:v>2485</c:v>
                </c:pt>
                <c:pt idx="39" formatCode="#,##0">
                  <c:v>2632</c:v>
                </c:pt>
                <c:pt idx="40" formatCode="#,##0">
                  <c:v>3066</c:v>
                </c:pt>
                <c:pt idx="41" formatCode="#,##0">
                  <c:v>3171</c:v>
                </c:pt>
                <c:pt idx="42" formatCode="#,##0">
                  <c:v>3161</c:v>
                </c:pt>
                <c:pt idx="43" formatCode="#,##0">
                  <c:v>3644</c:v>
                </c:pt>
                <c:pt idx="44" formatCode="#,##0">
                  <c:v>3717</c:v>
                </c:pt>
                <c:pt idx="45" formatCode="#,##0">
                  <c:v>3549</c:v>
                </c:pt>
                <c:pt idx="46" formatCode="#,##0">
                  <c:v>3607</c:v>
                </c:pt>
                <c:pt idx="47" formatCode="#,##0">
                  <c:v>3136</c:v>
                </c:pt>
                <c:pt idx="48" formatCode="#,##0">
                  <c:v>3342</c:v>
                </c:pt>
                <c:pt idx="49" formatCode="#,##0">
                  <c:v>3196</c:v>
                </c:pt>
                <c:pt idx="50" formatCode="#,##0">
                  <c:v>3500</c:v>
                </c:pt>
                <c:pt idx="51" formatCode="_(* #,##0_);_(* \(#,##0\);_(* &quot;-&quot;??_);_(@_)">
                  <c:v>4047.8319999999999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Mex!$C$28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Mex!$D$28:$BD$28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282</c:v>
                </c:pt>
                <c:pt idx="4">
                  <c:v>406</c:v>
                </c:pt>
                <c:pt idx="5">
                  <c:v>477</c:v>
                </c:pt>
                <c:pt idx="6">
                  <c:v>30</c:v>
                </c:pt>
                <c:pt idx="7">
                  <c:v>175</c:v>
                </c:pt>
                <c:pt idx="8">
                  <c:v>0</c:v>
                </c:pt>
                <c:pt idx="9">
                  <c:v>262</c:v>
                </c:pt>
                <c:pt idx="10">
                  <c:v>40</c:v>
                </c:pt>
                <c:pt idx="11">
                  <c:v>65</c:v>
                </c:pt>
                <c:pt idx="12">
                  <c:v>16</c:v>
                </c:pt>
                <c:pt idx="13">
                  <c:v>10</c:v>
                </c:pt>
                <c:pt idx="14">
                  <c:v>19</c:v>
                </c:pt>
                <c:pt idx="15">
                  <c:v>31</c:v>
                </c:pt>
                <c:pt idx="16">
                  <c:v>40</c:v>
                </c:pt>
                <c:pt idx="17">
                  <c:v>17</c:v>
                </c:pt>
                <c:pt idx="18">
                  <c:v>15</c:v>
                </c:pt>
                <c:pt idx="19">
                  <c:v>15</c:v>
                </c:pt>
                <c:pt idx="20">
                  <c:v>10</c:v>
                </c:pt>
                <c:pt idx="21">
                  <c:v>5</c:v>
                </c:pt>
                <c:pt idx="22">
                  <c:v>10</c:v>
                </c:pt>
                <c:pt idx="23">
                  <c:v>2</c:v>
                </c:pt>
                <c:pt idx="24">
                  <c:v>5</c:v>
                </c:pt>
                <c:pt idx="25">
                  <c:v>6</c:v>
                </c:pt>
                <c:pt idx="26">
                  <c:v>3</c:v>
                </c:pt>
                <c:pt idx="27">
                  <c:v>52</c:v>
                </c:pt>
                <c:pt idx="28">
                  <c:v>231</c:v>
                </c:pt>
                <c:pt idx="29">
                  <c:v>200</c:v>
                </c:pt>
                <c:pt idx="30">
                  <c:v>7</c:v>
                </c:pt>
                <c:pt idx="31">
                  <c:v>8</c:v>
                </c:pt>
                <c:pt idx="32">
                  <c:v>8</c:v>
                </c:pt>
                <c:pt idx="33">
                  <c:v>12</c:v>
                </c:pt>
                <c:pt idx="34">
                  <c:v>135</c:v>
                </c:pt>
                <c:pt idx="35">
                  <c:v>472</c:v>
                </c:pt>
                <c:pt idx="36">
                  <c:v>227</c:v>
                </c:pt>
                <c:pt idx="37">
                  <c:v>374</c:v>
                </c:pt>
                <c:pt idx="38">
                  <c:v>311</c:v>
                </c:pt>
                <c:pt idx="39">
                  <c:v>404</c:v>
                </c:pt>
                <c:pt idx="40">
                  <c:v>705</c:v>
                </c:pt>
                <c:pt idx="41">
                  <c:v>548</c:v>
                </c:pt>
                <c:pt idx="42">
                  <c:v>597</c:v>
                </c:pt>
                <c:pt idx="43">
                  <c:v>451</c:v>
                </c:pt>
                <c:pt idx="44">
                  <c:v>504</c:v>
                </c:pt>
                <c:pt idx="45">
                  <c:v>533</c:v>
                </c:pt>
                <c:pt idx="46">
                  <c:v>548</c:v>
                </c:pt>
                <c:pt idx="47" formatCode="#,##0">
                  <c:v>1261</c:v>
                </c:pt>
                <c:pt idx="48" formatCode="#,##0">
                  <c:v>1406</c:v>
                </c:pt>
                <c:pt idx="49">
                  <c:v>839</c:v>
                </c:pt>
                <c:pt idx="50">
                  <c:v>700</c:v>
                </c:pt>
                <c:pt idx="51" formatCode="_(* #,##0_);_(* \(#,##0\);_(* &quot;-&quot;??_);_(@_)">
                  <c:v>835.90800000000002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Mex!$C$29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Mex!$D$1:$BD$1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Mex!$D$29:$BD$29</c:f>
              <c:numCache>
                <c:formatCode>#,##0</c:formatCode>
                <c:ptCount val="53"/>
                <c:pt idx="0">
                  <c:v>1253</c:v>
                </c:pt>
                <c:pt idx="1">
                  <c:v>1305</c:v>
                </c:pt>
                <c:pt idx="2">
                  <c:v>1435</c:v>
                </c:pt>
                <c:pt idx="3">
                  <c:v>1469</c:v>
                </c:pt>
                <c:pt idx="4">
                  <c:v>1553</c:v>
                </c:pt>
                <c:pt idx="5">
                  <c:v>1600</c:v>
                </c:pt>
                <c:pt idx="6">
                  <c:v>1650</c:v>
                </c:pt>
                <c:pt idx="7">
                  <c:v>1750</c:v>
                </c:pt>
                <c:pt idx="8">
                  <c:v>1800</c:v>
                </c:pt>
                <c:pt idx="9">
                  <c:v>1850</c:v>
                </c:pt>
                <c:pt idx="10">
                  <c:v>2100</c:v>
                </c:pt>
                <c:pt idx="11">
                  <c:v>2342</c:v>
                </c:pt>
                <c:pt idx="12">
                  <c:v>2390</c:v>
                </c:pt>
                <c:pt idx="13">
                  <c:v>2729</c:v>
                </c:pt>
                <c:pt idx="14">
                  <c:v>2873</c:v>
                </c:pt>
                <c:pt idx="15">
                  <c:v>2990</c:v>
                </c:pt>
                <c:pt idx="16">
                  <c:v>3180</c:v>
                </c:pt>
                <c:pt idx="17">
                  <c:v>3155</c:v>
                </c:pt>
                <c:pt idx="18">
                  <c:v>3400</c:v>
                </c:pt>
                <c:pt idx="19">
                  <c:v>3400</c:v>
                </c:pt>
                <c:pt idx="20">
                  <c:v>3500</c:v>
                </c:pt>
                <c:pt idx="21">
                  <c:v>4000</c:v>
                </c:pt>
                <c:pt idx="22">
                  <c:v>4093</c:v>
                </c:pt>
                <c:pt idx="23">
                  <c:v>4100</c:v>
                </c:pt>
                <c:pt idx="24">
                  <c:v>4350</c:v>
                </c:pt>
                <c:pt idx="25">
                  <c:v>4640</c:v>
                </c:pt>
                <c:pt idx="26">
                  <c:v>5112</c:v>
                </c:pt>
                <c:pt idx="27">
                  <c:v>4272</c:v>
                </c:pt>
                <c:pt idx="28">
                  <c:v>4103</c:v>
                </c:pt>
                <c:pt idx="29">
                  <c:v>4152</c:v>
                </c:pt>
                <c:pt idx="30">
                  <c:v>4454</c:v>
                </c:pt>
                <c:pt idx="31">
                  <c:v>4622</c:v>
                </c:pt>
                <c:pt idx="32">
                  <c:v>4888</c:v>
                </c:pt>
                <c:pt idx="33">
                  <c:v>5398</c:v>
                </c:pt>
                <c:pt idx="34">
                  <c:v>5265</c:v>
                </c:pt>
                <c:pt idx="35">
                  <c:v>4707</c:v>
                </c:pt>
                <c:pt idx="36">
                  <c:v>4815</c:v>
                </c:pt>
                <c:pt idx="37">
                  <c:v>5181</c:v>
                </c:pt>
                <c:pt idx="38">
                  <c:v>5409</c:v>
                </c:pt>
                <c:pt idx="39">
                  <c:v>5378</c:v>
                </c:pt>
                <c:pt idx="40">
                  <c:v>5580</c:v>
                </c:pt>
                <c:pt idx="41">
                  <c:v>5818</c:v>
                </c:pt>
                <c:pt idx="42">
                  <c:v>5900</c:v>
                </c:pt>
                <c:pt idx="43">
                  <c:v>5900</c:v>
                </c:pt>
                <c:pt idx="44">
                  <c:v>6000</c:v>
                </c:pt>
                <c:pt idx="45">
                  <c:v>6100</c:v>
                </c:pt>
                <c:pt idx="46">
                  <c:v>6200</c:v>
                </c:pt>
                <c:pt idx="47">
                  <c:v>5500</c:v>
                </c:pt>
                <c:pt idx="48">
                  <c:v>6000</c:v>
                </c:pt>
                <c:pt idx="49">
                  <c:v>6050</c:v>
                </c:pt>
                <c:pt idx="50">
                  <c:v>6350</c:v>
                </c:pt>
                <c:pt idx="51" formatCode="_(* #,##0_);_(* \(#,##0\);_(* &quot;-&quot;??_);_(@_)">
                  <c:v>6839.4349999999995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60352"/>
        <c:axId val="317059568"/>
      </c:lineChart>
      <c:catAx>
        <c:axId val="317060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9568"/>
        <c:crosses val="autoZero"/>
        <c:auto val="1"/>
        <c:lblAlgn val="ctr"/>
        <c:lblOffset val="100"/>
        <c:noMultiLvlLbl val="0"/>
      </c:catAx>
      <c:valAx>
        <c:axId val="31705956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6035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6.0425172236813915E-2"/>
          <c:y val="0.86925880559835322"/>
          <c:w val="0.91165128933230188"/>
          <c:h val="0.1078068583210107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  <c:userShapes r:id="rId1"/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84159849868832"/>
          <c:y val="0.16144912609618636"/>
          <c:w val="0.845245908485693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Nig!$C$2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Nig!$D$2:$BD$2</c:f>
              <c:numCache>
                <c:formatCode>#,##0</c:formatCode>
                <c:ptCount val="53"/>
                <c:pt idx="0" formatCode="General">
                  <c:v>914</c:v>
                </c:pt>
                <c:pt idx="1">
                  <c:v>1000</c:v>
                </c:pt>
                <c:pt idx="2" formatCode="General">
                  <c:v>900</c:v>
                </c:pt>
                <c:pt idx="3">
                  <c:v>1050</c:v>
                </c:pt>
                <c:pt idx="4">
                  <c:v>1090</c:v>
                </c:pt>
                <c:pt idx="5">
                  <c:v>1040</c:v>
                </c:pt>
                <c:pt idx="6">
                  <c:v>1020</c:v>
                </c:pt>
                <c:pt idx="7">
                  <c:v>1000</c:v>
                </c:pt>
                <c:pt idx="8" formatCode="General">
                  <c:v>950</c:v>
                </c:pt>
                <c:pt idx="9">
                  <c:v>1426</c:v>
                </c:pt>
                <c:pt idx="10">
                  <c:v>1310</c:v>
                </c:pt>
                <c:pt idx="11" formatCode="General">
                  <c:v>931</c:v>
                </c:pt>
                <c:pt idx="12">
                  <c:v>1182</c:v>
                </c:pt>
                <c:pt idx="13">
                  <c:v>1287</c:v>
                </c:pt>
                <c:pt idx="14">
                  <c:v>1350</c:v>
                </c:pt>
                <c:pt idx="15">
                  <c:v>1400</c:v>
                </c:pt>
                <c:pt idx="16">
                  <c:v>1440</c:v>
                </c:pt>
                <c:pt idx="17">
                  <c:v>1500</c:v>
                </c:pt>
                <c:pt idx="18">
                  <c:v>1640</c:v>
                </c:pt>
                <c:pt idx="19">
                  <c:v>1670</c:v>
                </c:pt>
                <c:pt idx="20">
                  <c:v>1720</c:v>
                </c:pt>
                <c:pt idx="21">
                  <c:v>1750</c:v>
                </c:pt>
                <c:pt idx="22">
                  <c:v>1785</c:v>
                </c:pt>
                <c:pt idx="23">
                  <c:v>1660</c:v>
                </c:pt>
                <c:pt idx="24">
                  <c:v>1800</c:v>
                </c:pt>
                <c:pt idx="25">
                  <c:v>2000</c:v>
                </c:pt>
                <c:pt idx="26">
                  <c:v>2000</c:v>
                </c:pt>
                <c:pt idx="27">
                  <c:v>1900</c:v>
                </c:pt>
                <c:pt idx="28">
                  <c:v>2200</c:v>
                </c:pt>
                <c:pt idx="29">
                  <c:v>1900</c:v>
                </c:pt>
                <c:pt idx="30">
                  <c:v>5810</c:v>
                </c:pt>
                <c:pt idx="31">
                  <c:v>5840</c:v>
                </c:pt>
                <c:pt idx="32">
                  <c:v>5771</c:v>
                </c:pt>
                <c:pt idx="33">
                  <c:v>6291</c:v>
                </c:pt>
                <c:pt idx="34">
                  <c:v>6417</c:v>
                </c:pt>
                <c:pt idx="35">
                  <c:v>6500</c:v>
                </c:pt>
                <c:pt idx="36">
                  <c:v>5000</c:v>
                </c:pt>
                <c:pt idx="37">
                  <c:v>4900</c:v>
                </c:pt>
                <c:pt idx="38">
                  <c:v>4950</c:v>
                </c:pt>
                <c:pt idx="39">
                  <c:v>5100</c:v>
                </c:pt>
                <c:pt idx="40">
                  <c:v>4000</c:v>
                </c:pt>
                <c:pt idx="41">
                  <c:v>5000</c:v>
                </c:pt>
                <c:pt idx="42">
                  <c:v>5200</c:v>
                </c:pt>
                <c:pt idx="43">
                  <c:v>5500</c:v>
                </c:pt>
                <c:pt idx="44">
                  <c:v>6500</c:v>
                </c:pt>
                <c:pt idx="45">
                  <c:v>7000</c:v>
                </c:pt>
                <c:pt idx="46">
                  <c:v>7800</c:v>
                </c:pt>
                <c:pt idx="47">
                  <c:v>6500</c:v>
                </c:pt>
                <c:pt idx="48">
                  <c:v>7970</c:v>
                </c:pt>
                <c:pt idx="49">
                  <c:v>8759</c:v>
                </c:pt>
                <c:pt idx="50" formatCode="_(* #,##0_);_(* \(#,##0\);_(* &quot;-&quot;??_);_(@_)">
                  <c:v>8878.4560000000001</c:v>
                </c:pt>
                <c:pt idx="51" formatCode="_(* #,##0_);_(* \(#,##0\);_(* &quot;-&quot;??_);_(@_)">
                  <c:v>8694.9</c:v>
                </c:pt>
                <c:pt idx="52" formatCode="_(* #,##0_);_(* \(#,##0\);_(* &quot;-&quot;??_);_(@_)">
                  <c:v>10400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Nig!$C$3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Nig!$D$3:$BD$3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10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3</c:v>
                </c:pt>
                <c:pt idx="15">
                  <c:v>1</c:v>
                </c:pt>
                <c:pt idx="16">
                  <c:v>25</c:v>
                </c:pt>
                <c:pt idx="17">
                  <c:v>75</c:v>
                </c:pt>
                <c:pt idx="18">
                  <c:v>40</c:v>
                </c:pt>
                <c:pt idx="19">
                  <c:v>175</c:v>
                </c:pt>
                <c:pt idx="20">
                  <c:v>300</c:v>
                </c:pt>
                <c:pt idx="21">
                  <c:v>400</c:v>
                </c:pt>
                <c:pt idx="22">
                  <c:v>375</c:v>
                </c:pt>
                <c:pt idx="23">
                  <c:v>100</c:v>
                </c:pt>
                <c:pt idx="24">
                  <c:v>120</c:v>
                </c:pt>
                <c:pt idx="25">
                  <c:v>50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15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16</c:v>
                </c:pt>
                <c:pt idx="37">
                  <c:v>4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41</c:v>
                </c:pt>
                <c:pt idx="42">
                  <c:v>8</c:v>
                </c:pt>
                <c:pt idx="43">
                  <c:v>0</c:v>
                </c:pt>
                <c:pt idx="44">
                  <c:v>18</c:v>
                </c:pt>
                <c:pt idx="45">
                  <c:v>9</c:v>
                </c:pt>
                <c:pt idx="46">
                  <c:v>0</c:v>
                </c:pt>
                <c:pt idx="47">
                  <c:v>0</c:v>
                </c:pt>
                <c:pt idx="48">
                  <c:v>50</c:v>
                </c:pt>
                <c:pt idx="49">
                  <c:v>100</c:v>
                </c:pt>
                <c:pt idx="50" formatCode="_(* #,##0_);_(* \(#,##0\);_(* &quot;-&quot;??_);_(@_)">
                  <c:v>0.81200000000000006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Nig!$C$4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Nig!$D$4:$BD$4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200</c:v>
                </c:pt>
                <c:pt idx="45">
                  <c:v>200</c:v>
                </c:pt>
                <c:pt idx="46">
                  <c:v>100</c:v>
                </c:pt>
                <c:pt idx="47">
                  <c:v>100</c:v>
                </c:pt>
                <c:pt idx="48">
                  <c:v>100</c:v>
                </c:pt>
                <c:pt idx="49">
                  <c:v>100</c:v>
                </c:pt>
                <c:pt idx="50" formatCode="_(* #,##0_);_(* \(#,##0\);_(* &quot;-&quot;??_);_(@_)">
                  <c:v>8.0000000000000002E-3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Nig!$C$5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accent5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Nig!$D$5:$BD$5</c:f>
              <c:numCache>
                <c:formatCode>#,##0</c:formatCode>
                <c:ptCount val="53"/>
                <c:pt idx="0" formatCode="General">
                  <c:v>914</c:v>
                </c:pt>
                <c:pt idx="1">
                  <c:v>1000</c:v>
                </c:pt>
                <c:pt idx="2" formatCode="General">
                  <c:v>900</c:v>
                </c:pt>
                <c:pt idx="3">
                  <c:v>1050</c:v>
                </c:pt>
                <c:pt idx="4">
                  <c:v>1090</c:v>
                </c:pt>
                <c:pt idx="5">
                  <c:v>1040</c:v>
                </c:pt>
                <c:pt idx="6">
                  <c:v>1020</c:v>
                </c:pt>
                <c:pt idx="7">
                  <c:v>1000</c:v>
                </c:pt>
                <c:pt idx="8" formatCode="General">
                  <c:v>951</c:v>
                </c:pt>
                <c:pt idx="9">
                  <c:v>1427</c:v>
                </c:pt>
                <c:pt idx="10">
                  <c:v>1320</c:v>
                </c:pt>
                <c:pt idx="11" formatCode="General">
                  <c:v>933</c:v>
                </c:pt>
                <c:pt idx="12">
                  <c:v>1184</c:v>
                </c:pt>
                <c:pt idx="13">
                  <c:v>1289</c:v>
                </c:pt>
                <c:pt idx="14">
                  <c:v>1353</c:v>
                </c:pt>
                <c:pt idx="15">
                  <c:v>1401</c:v>
                </c:pt>
                <c:pt idx="16">
                  <c:v>1465</c:v>
                </c:pt>
                <c:pt idx="17">
                  <c:v>1530</c:v>
                </c:pt>
                <c:pt idx="18">
                  <c:v>1660</c:v>
                </c:pt>
                <c:pt idx="19">
                  <c:v>1785</c:v>
                </c:pt>
                <c:pt idx="20">
                  <c:v>1985</c:v>
                </c:pt>
                <c:pt idx="21">
                  <c:v>2130</c:v>
                </c:pt>
                <c:pt idx="22">
                  <c:v>2175</c:v>
                </c:pt>
                <c:pt idx="23">
                  <c:v>1900</c:v>
                </c:pt>
                <c:pt idx="24">
                  <c:v>1930</c:v>
                </c:pt>
                <c:pt idx="25">
                  <c:v>1965</c:v>
                </c:pt>
                <c:pt idx="26">
                  <c:v>1900</c:v>
                </c:pt>
                <c:pt idx="27">
                  <c:v>2000</c:v>
                </c:pt>
                <c:pt idx="28">
                  <c:v>2150</c:v>
                </c:pt>
                <c:pt idx="29">
                  <c:v>1850</c:v>
                </c:pt>
                <c:pt idx="30">
                  <c:v>5810</c:v>
                </c:pt>
                <c:pt idx="31">
                  <c:v>5840</c:v>
                </c:pt>
                <c:pt idx="32">
                  <c:v>5786</c:v>
                </c:pt>
                <c:pt idx="33">
                  <c:v>6291</c:v>
                </c:pt>
                <c:pt idx="34">
                  <c:v>6417</c:v>
                </c:pt>
                <c:pt idx="35">
                  <c:v>6500</c:v>
                </c:pt>
                <c:pt idx="36">
                  <c:v>5116</c:v>
                </c:pt>
                <c:pt idx="37">
                  <c:v>4904</c:v>
                </c:pt>
                <c:pt idx="38">
                  <c:v>4950</c:v>
                </c:pt>
                <c:pt idx="39">
                  <c:v>5100</c:v>
                </c:pt>
                <c:pt idx="40">
                  <c:v>4000</c:v>
                </c:pt>
                <c:pt idx="41">
                  <c:v>5030</c:v>
                </c:pt>
                <c:pt idx="42">
                  <c:v>5200</c:v>
                </c:pt>
                <c:pt idx="43">
                  <c:v>5500</c:v>
                </c:pt>
                <c:pt idx="44">
                  <c:v>6300</c:v>
                </c:pt>
                <c:pt idx="45">
                  <c:v>6800</c:v>
                </c:pt>
                <c:pt idx="46">
                  <c:v>7600</c:v>
                </c:pt>
                <c:pt idx="47">
                  <c:v>6550</c:v>
                </c:pt>
                <c:pt idx="48">
                  <c:v>7900</c:v>
                </c:pt>
                <c:pt idx="49">
                  <c:v>8600</c:v>
                </c:pt>
                <c:pt idx="50" formatCode="_(* #,##0_);_(* \(#,##0\);_(* &quot;-&quot;??_);_(@_)">
                  <c:v>8879.26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54864"/>
        <c:axId val="317054080"/>
      </c:lineChart>
      <c:catAx>
        <c:axId val="3170548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4080"/>
        <c:crosses val="autoZero"/>
        <c:auto val="1"/>
        <c:lblAlgn val="ctr"/>
        <c:lblOffset val="100"/>
        <c:noMultiLvlLbl val="0"/>
      </c:catAx>
      <c:valAx>
        <c:axId val="31705408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486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2527779205129355"/>
          <c:y val="0.87932950990426051"/>
          <c:w val="0.81039901485416466"/>
          <c:h val="7.4590299679330632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Nig!$C$6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Nig!$D$6:$BD$6</c:f>
              <c:numCache>
                <c:formatCode>General</c:formatCode>
                <c:ptCount val="53"/>
                <c:pt idx="0">
                  <c:v>260</c:v>
                </c:pt>
                <c:pt idx="1">
                  <c:v>165</c:v>
                </c:pt>
                <c:pt idx="2">
                  <c:v>250</c:v>
                </c:pt>
                <c:pt idx="3">
                  <c:v>210</c:v>
                </c:pt>
                <c:pt idx="4">
                  <c:v>200</c:v>
                </c:pt>
                <c:pt idx="5">
                  <c:v>200</c:v>
                </c:pt>
                <c:pt idx="6">
                  <c:v>235</c:v>
                </c:pt>
                <c:pt idx="7">
                  <c:v>125</c:v>
                </c:pt>
                <c:pt idx="8">
                  <c:v>260</c:v>
                </c:pt>
                <c:pt idx="9">
                  <c:v>420</c:v>
                </c:pt>
                <c:pt idx="10">
                  <c:v>180</c:v>
                </c:pt>
                <c:pt idx="11">
                  <c:v>175</c:v>
                </c:pt>
                <c:pt idx="12">
                  <c:v>215</c:v>
                </c:pt>
                <c:pt idx="13">
                  <c:v>142</c:v>
                </c:pt>
                <c:pt idx="14">
                  <c:v>240</c:v>
                </c:pt>
                <c:pt idx="15">
                  <c:v>280</c:v>
                </c:pt>
                <c:pt idx="16">
                  <c:v>370</c:v>
                </c:pt>
                <c:pt idx="17">
                  <c:v>166</c:v>
                </c:pt>
                <c:pt idx="18">
                  <c:v>170</c:v>
                </c:pt>
                <c:pt idx="19">
                  <c:v>137</c:v>
                </c:pt>
                <c:pt idx="20">
                  <c:v>125</c:v>
                </c:pt>
                <c:pt idx="21">
                  <c:v>95</c:v>
                </c:pt>
                <c:pt idx="22">
                  <c:v>90</c:v>
                </c:pt>
                <c:pt idx="23">
                  <c:v>64</c:v>
                </c:pt>
                <c:pt idx="24">
                  <c:v>73</c:v>
                </c:pt>
                <c:pt idx="25">
                  <c:v>46</c:v>
                </c:pt>
                <c:pt idx="26">
                  <c:v>129</c:v>
                </c:pt>
                <c:pt idx="27">
                  <c:v>138</c:v>
                </c:pt>
                <c:pt idx="28">
                  <c:v>193</c:v>
                </c:pt>
                <c:pt idx="29">
                  <c:v>188</c:v>
                </c:pt>
                <c:pt idx="30">
                  <c:v>165</c:v>
                </c:pt>
                <c:pt idx="31">
                  <c:v>276</c:v>
                </c:pt>
                <c:pt idx="32">
                  <c:v>289</c:v>
                </c:pt>
                <c:pt idx="33">
                  <c:v>239</c:v>
                </c:pt>
                <c:pt idx="34">
                  <c:v>299</c:v>
                </c:pt>
                <c:pt idx="35">
                  <c:v>459</c:v>
                </c:pt>
                <c:pt idx="36">
                  <c:v>436</c:v>
                </c:pt>
                <c:pt idx="37">
                  <c:v>322</c:v>
                </c:pt>
                <c:pt idx="38">
                  <c:v>300</c:v>
                </c:pt>
                <c:pt idx="39">
                  <c:v>230</c:v>
                </c:pt>
                <c:pt idx="40">
                  <c:v>400</c:v>
                </c:pt>
                <c:pt idx="41">
                  <c:v>450</c:v>
                </c:pt>
                <c:pt idx="42">
                  <c:v>390</c:v>
                </c:pt>
                <c:pt idx="43">
                  <c:v>415</c:v>
                </c:pt>
                <c:pt idx="44">
                  <c:v>420</c:v>
                </c:pt>
                <c:pt idx="45">
                  <c:v>400</c:v>
                </c:pt>
                <c:pt idx="46">
                  <c:v>400</c:v>
                </c:pt>
                <c:pt idx="47">
                  <c:v>450</c:v>
                </c:pt>
                <c:pt idx="48">
                  <c:v>425</c:v>
                </c:pt>
                <c:pt idx="49">
                  <c:v>450</c:v>
                </c:pt>
                <c:pt idx="50" formatCode="_(* #,##0_);_(* \(#,##0\);_(* &quot;-&quot;??_);_(@_)">
                  <c:v>475</c:v>
                </c:pt>
                <c:pt idx="51" formatCode="_(* #,##0_);_(* \(#,##0\);_(* &quot;-&quot;??_);_(@_)">
                  <c:v>103</c:v>
                </c:pt>
                <c:pt idx="52" formatCode="_(* #,##0_);_(* \(#,##0\);_(* &quot;-&quot;??_);_(@_)">
                  <c:v>111.5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Nig!$C$7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Nig!$D$7:$BD$7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12</c:v>
                </c:pt>
                <c:pt idx="14">
                  <c:v>109</c:v>
                </c:pt>
                <c:pt idx="15">
                  <c:v>19</c:v>
                </c:pt>
                <c:pt idx="16">
                  <c:v>2</c:v>
                </c:pt>
                <c:pt idx="17">
                  <c:v>6</c:v>
                </c:pt>
                <c:pt idx="18">
                  <c:v>1</c:v>
                </c:pt>
                <c:pt idx="19">
                  <c:v>14</c:v>
                </c:pt>
                <c:pt idx="20">
                  <c:v>0</c:v>
                </c:pt>
                <c:pt idx="21">
                  <c:v>60</c:v>
                </c:pt>
                <c:pt idx="22">
                  <c:v>115</c:v>
                </c:pt>
                <c:pt idx="23">
                  <c:v>248</c:v>
                </c:pt>
                <c:pt idx="24">
                  <c:v>207</c:v>
                </c:pt>
                <c:pt idx="25">
                  <c:v>184</c:v>
                </c:pt>
                <c:pt idx="26">
                  <c:v>78</c:v>
                </c:pt>
                <c:pt idx="27">
                  <c:v>110</c:v>
                </c:pt>
                <c:pt idx="28">
                  <c:v>207</c:v>
                </c:pt>
                <c:pt idx="29">
                  <c:v>50</c:v>
                </c:pt>
                <c:pt idx="30">
                  <c:v>211</c:v>
                </c:pt>
                <c:pt idx="31">
                  <c:v>93</c:v>
                </c:pt>
                <c:pt idx="32">
                  <c:v>93</c:v>
                </c:pt>
                <c:pt idx="33">
                  <c:v>100</c:v>
                </c:pt>
                <c:pt idx="34">
                  <c:v>115</c:v>
                </c:pt>
                <c:pt idx="35">
                  <c:v>46</c:v>
                </c:pt>
                <c:pt idx="36">
                  <c:v>46</c:v>
                </c:pt>
                <c:pt idx="37">
                  <c:v>69</c:v>
                </c:pt>
                <c:pt idx="38">
                  <c:v>70</c:v>
                </c:pt>
                <c:pt idx="39">
                  <c:v>70</c:v>
                </c:pt>
                <c:pt idx="40">
                  <c:v>70</c:v>
                </c:pt>
                <c:pt idx="41">
                  <c:v>70</c:v>
                </c:pt>
                <c:pt idx="42">
                  <c:v>70</c:v>
                </c:pt>
                <c:pt idx="43">
                  <c:v>70</c:v>
                </c:pt>
                <c:pt idx="44">
                  <c:v>70</c:v>
                </c:pt>
                <c:pt idx="45">
                  <c:v>70</c:v>
                </c:pt>
                <c:pt idx="46">
                  <c:v>75</c:v>
                </c:pt>
                <c:pt idx="47">
                  <c:v>70</c:v>
                </c:pt>
                <c:pt idx="48">
                  <c:v>50</c:v>
                </c:pt>
                <c:pt idx="49">
                  <c:v>50</c:v>
                </c:pt>
                <c:pt idx="50" formatCode="_(* #,##0_);_(* \(#,##0\);_(* &quot;-&quot;??_);_(@_)">
                  <c:v>50</c:v>
                </c:pt>
                <c:pt idx="51" formatCode="_(* #,##0_);_(* \(#,##0\);_(* &quot;-&quot;??_);_(@_)">
                  <c:v>0.02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Nig!$C$8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Nig!$D$8:$BD$8</c:f>
              <c:numCache>
                <c:formatCode>General</c:formatCode>
                <c:ptCount val="53"/>
                <c:pt idx="0">
                  <c:v>181</c:v>
                </c:pt>
                <c:pt idx="1">
                  <c:v>168</c:v>
                </c:pt>
                <c:pt idx="2">
                  <c:v>141</c:v>
                </c:pt>
                <c:pt idx="3">
                  <c:v>145</c:v>
                </c:pt>
                <c:pt idx="4">
                  <c:v>89</c:v>
                </c:pt>
                <c:pt idx="5">
                  <c:v>113</c:v>
                </c:pt>
                <c:pt idx="6">
                  <c:v>110</c:v>
                </c:pt>
                <c:pt idx="7">
                  <c:v>114</c:v>
                </c:pt>
                <c:pt idx="8">
                  <c:v>51</c:v>
                </c:pt>
                <c:pt idx="9">
                  <c:v>88</c:v>
                </c:pt>
                <c:pt idx="10">
                  <c:v>191</c:v>
                </c:pt>
                <c:pt idx="11">
                  <c:v>5</c:v>
                </c:pt>
                <c:pt idx="12">
                  <c:v>30</c:v>
                </c:pt>
                <c:pt idx="13">
                  <c:v>8</c:v>
                </c:pt>
                <c:pt idx="14">
                  <c:v>0</c:v>
                </c:pt>
                <c:pt idx="15">
                  <c:v>0</c:v>
                </c:pt>
                <c:pt idx="16">
                  <c:v>30</c:v>
                </c:pt>
                <c:pt idx="17">
                  <c:v>21</c:v>
                </c:pt>
                <c:pt idx="18">
                  <c:v>105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32</c:v>
                </c:pt>
                <c:pt idx="29">
                  <c:v>9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70</c:v>
                </c:pt>
                <c:pt idx="37">
                  <c:v>0</c:v>
                </c:pt>
                <c:pt idx="38">
                  <c:v>90</c:v>
                </c:pt>
                <c:pt idx="39">
                  <c:v>75</c:v>
                </c:pt>
                <c:pt idx="40">
                  <c:v>135</c:v>
                </c:pt>
                <c:pt idx="41">
                  <c:v>75</c:v>
                </c:pt>
                <c:pt idx="42">
                  <c:v>100</c:v>
                </c:pt>
                <c:pt idx="43">
                  <c:v>90</c:v>
                </c:pt>
                <c:pt idx="44">
                  <c:v>100</c:v>
                </c:pt>
                <c:pt idx="45">
                  <c:v>125</c:v>
                </c:pt>
                <c:pt idx="46">
                  <c:v>125</c:v>
                </c:pt>
                <c:pt idx="47">
                  <c:v>150</c:v>
                </c:pt>
                <c:pt idx="48">
                  <c:v>125</c:v>
                </c:pt>
                <c:pt idx="49">
                  <c:v>225</c:v>
                </c:pt>
                <c:pt idx="50" formatCode="_(* #,##0_);_(* \(#,##0\);_(* &quot;-&quot;??_);_(@_)">
                  <c:v>225</c:v>
                </c:pt>
                <c:pt idx="51" formatCode="_(* #,##0_);_(* \(#,##0\);_(* &quot;-&quot;??_);_(@_)">
                  <c:v>13.58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Nig!$C$9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Nig!$D$9:$BD$9</c:f>
              <c:numCache>
                <c:formatCode>General</c:formatCode>
                <c:ptCount val="53"/>
                <c:pt idx="0">
                  <c:v>30</c:v>
                </c:pt>
                <c:pt idx="1">
                  <c:v>36</c:v>
                </c:pt>
                <c:pt idx="2">
                  <c:v>47</c:v>
                </c:pt>
                <c:pt idx="3">
                  <c:v>82</c:v>
                </c:pt>
                <c:pt idx="4">
                  <c:v>96</c:v>
                </c:pt>
                <c:pt idx="5">
                  <c:v>85</c:v>
                </c:pt>
                <c:pt idx="6">
                  <c:v>100</c:v>
                </c:pt>
                <c:pt idx="7">
                  <c:v>110</c:v>
                </c:pt>
                <c:pt idx="8">
                  <c:v>117</c:v>
                </c:pt>
                <c:pt idx="9">
                  <c:v>182</c:v>
                </c:pt>
                <c:pt idx="10">
                  <c:v>184</c:v>
                </c:pt>
                <c:pt idx="11">
                  <c:v>150</c:v>
                </c:pt>
                <c:pt idx="12">
                  <c:v>170</c:v>
                </c:pt>
                <c:pt idx="13">
                  <c:v>220</c:v>
                </c:pt>
                <c:pt idx="14">
                  <c:v>243</c:v>
                </c:pt>
                <c:pt idx="15">
                  <c:v>250</c:v>
                </c:pt>
                <c:pt idx="16">
                  <c:v>250</c:v>
                </c:pt>
                <c:pt idx="17">
                  <c:v>191</c:v>
                </c:pt>
                <c:pt idx="18">
                  <c:v>209</c:v>
                </c:pt>
                <c:pt idx="19">
                  <c:v>209</c:v>
                </c:pt>
                <c:pt idx="20">
                  <c:v>152</c:v>
                </c:pt>
                <c:pt idx="21">
                  <c:v>160</c:v>
                </c:pt>
                <c:pt idx="22">
                  <c:v>203</c:v>
                </c:pt>
                <c:pt idx="23">
                  <c:v>270</c:v>
                </c:pt>
                <c:pt idx="24">
                  <c:v>276</c:v>
                </c:pt>
                <c:pt idx="25">
                  <c:v>253</c:v>
                </c:pt>
                <c:pt idx="26">
                  <c:v>207</c:v>
                </c:pt>
                <c:pt idx="27">
                  <c:v>248</c:v>
                </c:pt>
                <c:pt idx="28">
                  <c:v>358</c:v>
                </c:pt>
                <c:pt idx="29">
                  <c:v>243</c:v>
                </c:pt>
                <c:pt idx="30">
                  <c:v>340</c:v>
                </c:pt>
                <c:pt idx="31">
                  <c:v>312</c:v>
                </c:pt>
                <c:pt idx="32">
                  <c:v>377</c:v>
                </c:pt>
                <c:pt idx="33">
                  <c:v>418</c:v>
                </c:pt>
                <c:pt idx="34">
                  <c:v>400</c:v>
                </c:pt>
                <c:pt idx="35">
                  <c:v>482</c:v>
                </c:pt>
                <c:pt idx="36">
                  <c:v>410</c:v>
                </c:pt>
                <c:pt idx="37">
                  <c:v>381</c:v>
                </c:pt>
                <c:pt idx="38">
                  <c:v>230</c:v>
                </c:pt>
                <c:pt idx="39">
                  <c:v>230</c:v>
                </c:pt>
                <c:pt idx="40">
                  <c:v>375</c:v>
                </c:pt>
                <c:pt idx="41">
                  <c:v>375</c:v>
                </c:pt>
                <c:pt idx="42">
                  <c:v>390</c:v>
                </c:pt>
                <c:pt idx="43">
                  <c:v>410</c:v>
                </c:pt>
                <c:pt idx="44">
                  <c:v>375</c:v>
                </c:pt>
                <c:pt idx="45">
                  <c:v>360</c:v>
                </c:pt>
                <c:pt idx="46">
                  <c:v>360</c:v>
                </c:pt>
                <c:pt idx="47">
                  <c:v>350</c:v>
                </c:pt>
                <c:pt idx="48">
                  <c:v>325</c:v>
                </c:pt>
                <c:pt idx="49">
                  <c:v>300</c:v>
                </c:pt>
                <c:pt idx="50" formatCode="_(* #,##0_);_(* \(#,##0\);_(* &quot;-&quot;??_);_(@_)">
                  <c:v>300</c:v>
                </c:pt>
                <c:pt idx="51" formatCode="_(* #,##0_);_(* \(#,##0\);_(* &quot;-&quot;??_);_(@_)">
                  <c:v>89.44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56432"/>
        <c:axId val="317052904"/>
      </c:lineChart>
      <c:catAx>
        <c:axId val="3170564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2904"/>
        <c:crosses val="autoZero"/>
        <c:auto val="1"/>
        <c:lblAlgn val="ctr"/>
        <c:lblOffset val="100"/>
        <c:noMultiLvlLbl val="0"/>
      </c:catAx>
      <c:valAx>
        <c:axId val="31705290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643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455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Nig!$C$10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Nig!$D$10:$BD$10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19</c:v>
                </c:pt>
                <c:pt idx="5">
                  <c:v>19</c:v>
                </c:pt>
                <c:pt idx="6">
                  <c:v>15</c:v>
                </c:pt>
                <c:pt idx="7">
                  <c:v>16</c:v>
                </c:pt>
                <c:pt idx="8">
                  <c:v>7</c:v>
                </c:pt>
                <c:pt idx="9">
                  <c:v>34</c:v>
                </c:pt>
                <c:pt idx="10">
                  <c:v>58</c:v>
                </c:pt>
                <c:pt idx="11">
                  <c:v>63</c:v>
                </c:pt>
                <c:pt idx="12">
                  <c:v>63</c:v>
                </c:pt>
                <c:pt idx="13">
                  <c:v>64</c:v>
                </c:pt>
                <c:pt idx="14">
                  <c:v>65</c:v>
                </c:pt>
                <c:pt idx="15">
                  <c:v>65</c:v>
                </c:pt>
                <c:pt idx="16">
                  <c:v>70</c:v>
                </c:pt>
                <c:pt idx="17">
                  <c:v>70</c:v>
                </c:pt>
                <c:pt idx="18">
                  <c:v>73</c:v>
                </c:pt>
                <c:pt idx="19">
                  <c:v>75</c:v>
                </c:pt>
                <c:pt idx="20">
                  <c:v>55</c:v>
                </c:pt>
                <c:pt idx="21">
                  <c:v>60</c:v>
                </c:pt>
                <c:pt idx="22">
                  <c:v>65</c:v>
                </c:pt>
                <c:pt idx="23">
                  <c:v>50</c:v>
                </c:pt>
                <c:pt idx="24">
                  <c:v>60</c:v>
                </c:pt>
                <c:pt idx="25">
                  <c:v>55</c:v>
                </c:pt>
                <c:pt idx="26">
                  <c:v>70</c:v>
                </c:pt>
                <c:pt idx="27">
                  <c:v>40</c:v>
                </c:pt>
                <c:pt idx="28">
                  <c:v>55</c:v>
                </c:pt>
                <c:pt idx="29">
                  <c:v>60</c:v>
                </c:pt>
                <c:pt idx="30">
                  <c:v>218</c:v>
                </c:pt>
                <c:pt idx="31">
                  <c:v>145</c:v>
                </c:pt>
                <c:pt idx="32">
                  <c:v>154</c:v>
                </c:pt>
                <c:pt idx="33">
                  <c:v>163</c:v>
                </c:pt>
                <c:pt idx="34">
                  <c:v>178</c:v>
                </c:pt>
                <c:pt idx="35">
                  <c:v>287</c:v>
                </c:pt>
                <c:pt idx="36">
                  <c:v>322</c:v>
                </c:pt>
                <c:pt idx="37">
                  <c:v>326</c:v>
                </c:pt>
                <c:pt idx="38">
                  <c:v>327</c:v>
                </c:pt>
                <c:pt idx="39">
                  <c:v>333</c:v>
                </c:pt>
                <c:pt idx="40">
                  <c:v>340</c:v>
                </c:pt>
                <c:pt idx="41">
                  <c:v>348</c:v>
                </c:pt>
                <c:pt idx="42">
                  <c:v>380</c:v>
                </c:pt>
                <c:pt idx="43">
                  <c:v>400</c:v>
                </c:pt>
                <c:pt idx="44">
                  <c:v>410</c:v>
                </c:pt>
                <c:pt idx="45">
                  <c:v>430</c:v>
                </c:pt>
                <c:pt idx="46">
                  <c:v>440</c:v>
                </c:pt>
                <c:pt idx="47">
                  <c:v>450</c:v>
                </c:pt>
                <c:pt idx="48">
                  <c:v>450</c:v>
                </c:pt>
                <c:pt idx="49">
                  <c:v>450</c:v>
                </c:pt>
                <c:pt idx="50" formatCode="_(* #,##0_);_(* \(#,##0\);_(* &quot;-&quot;??_);_(@_)">
                  <c:v>450</c:v>
                </c:pt>
                <c:pt idx="51" formatCode="_(* #,##0_);_(* \(#,##0\);_(* &quot;-&quot;??_);_(@_)">
                  <c:v>492.85199999999998</c:v>
                </c:pt>
                <c:pt idx="52" formatCode="_(* #,##0_);_(* \(#,##0\);_(* &quot;-&quot;??_);_(@_)">
                  <c:v>650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Nig!$C$11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Nig!$D$11:$BD$11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12</c:v>
                </c:pt>
                <c:pt idx="24">
                  <c:v>3</c:v>
                </c:pt>
                <c:pt idx="25">
                  <c:v>13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8</c:v>
                </c:pt>
                <c:pt idx="41">
                  <c:v>8</c:v>
                </c:pt>
                <c:pt idx="42">
                  <c:v>10</c:v>
                </c:pt>
                <c:pt idx="43">
                  <c:v>10</c:v>
                </c:pt>
                <c:pt idx="44">
                  <c:v>5</c:v>
                </c:pt>
                <c:pt idx="45">
                  <c:v>5</c:v>
                </c:pt>
                <c:pt idx="46">
                  <c:v>3</c:v>
                </c:pt>
                <c:pt idx="47">
                  <c:v>15</c:v>
                </c:pt>
                <c:pt idx="48">
                  <c:v>4</c:v>
                </c:pt>
                <c:pt idx="49">
                  <c:v>4</c:v>
                </c:pt>
                <c:pt idx="50" formatCode="_(* #,##0_);_(* \(#,##0\);_(* &quot;-&quot;??_);_(@_)">
                  <c:v>4</c:v>
                </c:pt>
                <c:pt idx="51" formatCode="_(* #,##0_);_(* \(#,##0\);_(* &quot;-&quot;??_);_(@_)">
                  <c:v>8.9999999999999993E-3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Nig!$C$12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Nig!$D$12:$BD$12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15</c:v>
                </c:pt>
                <c:pt idx="5">
                  <c:v>12</c:v>
                </c:pt>
                <c:pt idx="6">
                  <c:v>6</c:v>
                </c:pt>
                <c:pt idx="7">
                  <c:v>14</c:v>
                </c:pt>
                <c:pt idx="8">
                  <c:v>7</c:v>
                </c:pt>
                <c:pt idx="9">
                  <c:v>10</c:v>
                </c:pt>
                <c:pt idx="10">
                  <c:v>5</c:v>
                </c:pt>
                <c:pt idx="11">
                  <c:v>2</c:v>
                </c:pt>
                <c:pt idx="12">
                  <c:v>1</c:v>
                </c:pt>
                <c:pt idx="13">
                  <c:v>5</c:v>
                </c:pt>
                <c:pt idx="14">
                  <c:v>2</c:v>
                </c:pt>
                <c:pt idx="15">
                  <c:v>2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5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10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11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Nig!$C$13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Nig!$D$13:$BD$13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4</c:v>
                </c:pt>
                <c:pt idx="5">
                  <c:v>7</c:v>
                </c:pt>
                <c:pt idx="6">
                  <c:v>9</c:v>
                </c:pt>
                <c:pt idx="7">
                  <c:v>2</c:v>
                </c:pt>
                <c:pt idx="8">
                  <c:v>0</c:v>
                </c:pt>
                <c:pt idx="9">
                  <c:v>24</c:v>
                </c:pt>
                <c:pt idx="10">
                  <c:v>53</c:v>
                </c:pt>
                <c:pt idx="11">
                  <c:v>61</c:v>
                </c:pt>
                <c:pt idx="12">
                  <c:v>62</c:v>
                </c:pt>
                <c:pt idx="13">
                  <c:v>59</c:v>
                </c:pt>
                <c:pt idx="14">
                  <c:v>63</c:v>
                </c:pt>
                <c:pt idx="15">
                  <c:v>63</c:v>
                </c:pt>
                <c:pt idx="16">
                  <c:v>69</c:v>
                </c:pt>
                <c:pt idx="17">
                  <c:v>70</c:v>
                </c:pt>
                <c:pt idx="18">
                  <c:v>73</c:v>
                </c:pt>
                <c:pt idx="19">
                  <c:v>75</c:v>
                </c:pt>
                <c:pt idx="20">
                  <c:v>55</c:v>
                </c:pt>
                <c:pt idx="21">
                  <c:v>60</c:v>
                </c:pt>
                <c:pt idx="22">
                  <c:v>65</c:v>
                </c:pt>
                <c:pt idx="23">
                  <c:v>62</c:v>
                </c:pt>
                <c:pt idx="24">
                  <c:v>63</c:v>
                </c:pt>
                <c:pt idx="25">
                  <c:v>68</c:v>
                </c:pt>
                <c:pt idx="26">
                  <c:v>70</c:v>
                </c:pt>
                <c:pt idx="27">
                  <c:v>40</c:v>
                </c:pt>
                <c:pt idx="28">
                  <c:v>45</c:v>
                </c:pt>
                <c:pt idx="29">
                  <c:v>60</c:v>
                </c:pt>
                <c:pt idx="30">
                  <c:v>218</c:v>
                </c:pt>
                <c:pt idx="31">
                  <c:v>145</c:v>
                </c:pt>
                <c:pt idx="32">
                  <c:v>154</c:v>
                </c:pt>
                <c:pt idx="33">
                  <c:v>163</c:v>
                </c:pt>
                <c:pt idx="34">
                  <c:v>178</c:v>
                </c:pt>
                <c:pt idx="35">
                  <c:v>287</c:v>
                </c:pt>
                <c:pt idx="36">
                  <c:v>322</c:v>
                </c:pt>
                <c:pt idx="37">
                  <c:v>311</c:v>
                </c:pt>
                <c:pt idx="38">
                  <c:v>332</c:v>
                </c:pt>
                <c:pt idx="39">
                  <c:v>338</c:v>
                </c:pt>
                <c:pt idx="40">
                  <c:v>348</c:v>
                </c:pt>
                <c:pt idx="41">
                  <c:v>356</c:v>
                </c:pt>
                <c:pt idx="42">
                  <c:v>390</c:v>
                </c:pt>
                <c:pt idx="43">
                  <c:v>410</c:v>
                </c:pt>
                <c:pt idx="44">
                  <c:v>415</c:v>
                </c:pt>
                <c:pt idx="45">
                  <c:v>435</c:v>
                </c:pt>
                <c:pt idx="46">
                  <c:v>443</c:v>
                </c:pt>
                <c:pt idx="47">
                  <c:v>465</c:v>
                </c:pt>
                <c:pt idx="48">
                  <c:v>454</c:v>
                </c:pt>
                <c:pt idx="49">
                  <c:v>454</c:v>
                </c:pt>
                <c:pt idx="50" formatCode="_(* #,##0_);_(* \(#,##0\);_(* &quot;-&quot;??_);_(@_)">
                  <c:v>454</c:v>
                </c:pt>
                <c:pt idx="51" formatCode="_(* #,##0_);_(* \(#,##0\);_(* &quot;-&quot;??_);_(@_)">
                  <c:v>481.86099999999999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53688"/>
        <c:axId val="317049376"/>
      </c:lineChart>
      <c:catAx>
        <c:axId val="317053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49376"/>
        <c:crosses val="autoZero"/>
        <c:auto val="1"/>
        <c:lblAlgn val="ctr"/>
        <c:lblOffset val="100"/>
        <c:noMultiLvlLbl val="0"/>
      </c:catAx>
      <c:valAx>
        <c:axId val="31704937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368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413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Nig!$C$14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Nig!$D$14:$BD$14</c:f>
              <c:numCache>
                <c:formatCode>General</c:formatCode>
                <c:ptCount val="53"/>
                <c:pt idx="0">
                  <c:v>239</c:v>
                </c:pt>
                <c:pt idx="1">
                  <c:v>229</c:v>
                </c:pt>
                <c:pt idx="2">
                  <c:v>246</c:v>
                </c:pt>
                <c:pt idx="3">
                  <c:v>202</c:v>
                </c:pt>
                <c:pt idx="4">
                  <c:v>269</c:v>
                </c:pt>
                <c:pt idx="5">
                  <c:v>236</c:v>
                </c:pt>
                <c:pt idx="6">
                  <c:v>270</c:v>
                </c:pt>
                <c:pt idx="7">
                  <c:v>260</c:v>
                </c:pt>
                <c:pt idx="8">
                  <c:v>249</c:v>
                </c:pt>
                <c:pt idx="9">
                  <c:v>257</c:v>
                </c:pt>
                <c:pt idx="10">
                  <c:v>284</c:v>
                </c:pt>
                <c:pt idx="11">
                  <c:v>307</c:v>
                </c:pt>
                <c:pt idx="12">
                  <c:v>310</c:v>
                </c:pt>
                <c:pt idx="13">
                  <c:v>342</c:v>
                </c:pt>
                <c:pt idx="14">
                  <c:v>348</c:v>
                </c:pt>
                <c:pt idx="15">
                  <c:v>390</c:v>
                </c:pt>
                <c:pt idx="16">
                  <c:v>406</c:v>
                </c:pt>
                <c:pt idx="17">
                  <c:v>412</c:v>
                </c:pt>
                <c:pt idx="18">
                  <c:v>394</c:v>
                </c:pt>
                <c:pt idx="19">
                  <c:v>372</c:v>
                </c:pt>
                <c:pt idx="20">
                  <c:v>523</c:v>
                </c:pt>
                <c:pt idx="21">
                  <c:v>579</c:v>
                </c:pt>
                <c:pt idx="22">
                  <c:v>648</c:v>
                </c:pt>
                <c:pt idx="23">
                  <c:v>607</c:v>
                </c:pt>
                <c:pt idx="24">
                  <c:v>579</c:v>
                </c:pt>
                <c:pt idx="25">
                  <c:v>680</c:v>
                </c:pt>
                <c:pt idx="26">
                  <c:v>630</c:v>
                </c:pt>
                <c:pt idx="27" formatCode="#,##0">
                  <c:v>1184</c:v>
                </c:pt>
                <c:pt idx="28" formatCode="#,##0">
                  <c:v>1249</c:v>
                </c:pt>
                <c:pt idx="29" formatCode="#,##0">
                  <c:v>1982</c:v>
                </c:pt>
                <c:pt idx="30" formatCode="#,##0">
                  <c:v>1500</c:v>
                </c:pt>
                <c:pt idx="31" formatCode="#,##0">
                  <c:v>1911</c:v>
                </c:pt>
                <c:pt idx="32" formatCode="#,##0">
                  <c:v>1956</c:v>
                </c:pt>
                <c:pt idx="33" formatCode="#,##0">
                  <c:v>1839</c:v>
                </c:pt>
                <c:pt idx="34" formatCode="#,##0">
                  <c:v>1320</c:v>
                </c:pt>
                <c:pt idx="35" formatCode="#,##0">
                  <c:v>1752</c:v>
                </c:pt>
                <c:pt idx="36" formatCode="#,##0">
                  <c:v>1950</c:v>
                </c:pt>
                <c:pt idx="37" formatCode="#,##0">
                  <c:v>1850</c:v>
                </c:pt>
                <c:pt idx="38" formatCode="#,##0">
                  <c:v>1900</c:v>
                </c:pt>
                <c:pt idx="39" formatCode="#,##0">
                  <c:v>2000</c:v>
                </c:pt>
                <c:pt idx="40" formatCode="#,##0">
                  <c:v>2000</c:v>
                </c:pt>
                <c:pt idx="41" formatCode="#,##0">
                  <c:v>2100</c:v>
                </c:pt>
                <c:pt idx="42" formatCode="#,##0">
                  <c:v>2200</c:v>
                </c:pt>
                <c:pt idx="43" formatCode="#,##0">
                  <c:v>2200</c:v>
                </c:pt>
                <c:pt idx="44" formatCode="#,##0">
                  <c:v>2300</c:v>
                </c:pt>
                <c:pt idx="45" formatCode="#,##0">
                  <c:v>2700</c:v>
                </c:pt>
                <c:pt idx="46" formatCode="#,##0">
                  <c:v>2900</c:v>
                </c:pt>
                <c:pt idx="47" formatCode="#,##0">
                  <c:v>3000</c:v>
                </c:pt>
                <c:pt idx="48" formatCode="#,##0">
                  <c:v>3200</c:v>
                </c:pt>
                <c:pt idx="49" formatCode="#,##0">
                  <c:v>3400</c:v>
                </c:pt>
                <c:pt idx="50" formatCode="_(* #,##0_);_(* \(#,##0\);_(* &quot;-&quot;??_);_(@_)">
                  <c:v>3600</c:v>
                </c:pt>
                <c:pt idx="51" formatCode="_(* #,##0_);_(* \(#,##0\);_(* &quot;-&quot;??_);_(@_)">
                  <c:v>4612.6139999999996</c:v>
                </c:pt>
                <c:pt idx="52" formatCode="_(* #,##0_);_(* \(#,##0\);_(* &quot;-&quot;??_);_(@_)">
                  <c:v>5432.93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Nig!$C$15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Nig!$D$15:$BD$15</c:f>
              <c:numCache>
                <c:formatCode>General</c:formatCode>
                <c:ptCount val="53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2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6</c:v>
                </c:pt>
                <c:pt idx="12">
                  <c:v>11</c:v>
                </c:pt>
                <c:pt idx="13">
                  <c:v>2</c:v>
                </c:pt>
                <c:pt idx="14">
                  <c:v>4</c:v>
                </c:pt>
                <c:pt idx="15">
                  <c:v>6</c:v>
                </c:pt>
                <c:pt idx="16">
                  <c:v>94</c:v>
                </c:pt>
                <c:pt idx="17">
                  <c:v>446</c:v>
                </c:pt>
                <c:pt idx="18">
                  <c:v>789</c:v>
                </c:pt>
                <c:pt idx="19">
                  <c:v>242</c:v>
                </c:pt>
                <c:pt idx="20">
                  <c:v>394</c:v>
                </c:pt>
                <c:pt idx="21">
                  <c:v>686</c:v>
                </c:pt>
                <c:pt idx="22">
                  <c:v>666</c:v>
                </c:pt>
                <c:pt idx="23">
                  <c:v>903</c:v>
                </c:pt>
                <c:pt idx="24">
                  <c:v>629</c:v>
                </c:pt>
                <c:pt idx="25">
                  <c:v>569</c:v>
                </c:pt>
                <c:pt idx="26">
                  <c:v>462</c:v>
                </c:pt>
                <c:pt idx="27">
                  <c:v>642</c:v>
                </c:pt>
                <c:pt idx="28">
                  <c:v>344</c:v>
                </c:pt>
                <c:pt idx="29">
                  <c:v>164</c:v>
                </c:pt>
                <c:pt idx="30">
                  <c:v>224</c:v>
                </c:pt>
                <c:pt idx="31">
                  <c:v>296</c:v>
                </c:pt>
                <c:pt idx="32">
                  <c:v>440</c:v>
                </c:pt>
                <c:pt idx="33">
                  <c:v>382</c:v>
                </c:pt>
                <c:pt idx="34">
                  <c:v>300</c:v>
                </c:pt>
                <c:pt idx="35">
                  <c:v>300</c:v>
                </c:pt>
                <c:pt idx="36">
                  <c:v>350</c:v>
                </c:pt>
                <c:pt idx="37">
                  <c:v>731</c:v>
                </c:pt>
                <c:pt idx="38">
                  <c:v>900</c:v>
                </c:pt>
                <c:pt idx="39">
                  <c:v>950</c:v>
                </c:pt>
                <c:pt idx="40" formatCode="#,##0">
                  <c:v>1250</c:v>
                </c:pt>
                <c:pt idx="41" formatCode="#,##0">
                  <c:v>1906</c:v>
                </c:pt>
                <c:pt idx="42" formatCode="#,##0">
                  <c:v>1897</c:v>
                </c:pt>
                <c:pt idx="43" formatCode="#,##0">
                  <c:v>1448</c:v>
                </c:pt>
                <c:pt idx="44" formatCode="#,##0">
                  <c:v>1369</c:v>
                </c:pt>
                <c:pt idx="45" formatCode="#,##0">
                  <c:v>1650</c:v>
                </c:pt>
                <c:pt idx="46" formatCode="#,##0">
                  <c:v>1500</c:v>
                </c:pt>
                <c:pt idx="47" formatCode="#,##0">
                  <c:v>1800</c:v>
                </c:pt>
                <c:pt idx="48" formatCode="#,##0">
                  <c:v>1750</c:v>
                </c:pt>
                <c:pt idx="49" formatCode="#,##0">
                  <c:v>1750</c:v>
                </c:pt>
                <c:pt idx="50" formatCode="_(* #,##0_);_(* \(#,##0\);_(* &quot;-&quot;??_);_(@_)">
                  <c:v>1900</c:v>
                </c:pt>
                <c:pt idx="51" formatCode="_(* #,##0_);_(* \(#,##0\);_(* &quot;-&quot;??_);_(@_)">
                  <c:v>2187.4189999999999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Nig!$C$16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Nig!$D$16:$BD$16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5</c:v>
                </c:pt>
                <c:pt idx="21">
                  <c:v>5</c:v>
                </c:pt>
                <c:pt idx="22">
                  <c:v>12</c:v>
                </c:pt>
                <c:pt idx="23">
                  <c:v>10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0.16600000000000001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Nig!$C$17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Nig!$D$17:$BD$17</c:f>
              <c:numCache>
                <c:formatCode>General</c:formatCode>
                <c:ptCount val="53"/>
                <c:pt idx="0">
                  <c:v>240</c:v>
                </c:pt>
                <c:pt idx="1">
                  <c:v>230</c:v>
                </c:pt>
                <c:pt idx="2">
                  <c:v>247</c:v>
                </c:pt>
                <c:pt idx="3">
                  <c:v>204</c:v>
                </c:pt>
                <c:pt idx="4">
                  <c:v>270</c:v>
                </c:pt>
                <c:pt idx="5">
                  <c:v>237</c:v>
                </c:pt>
                <c:pt idx="6">
                  <c:v>271</c:v>
                </c:pt>
                <c:pt idx="7">
                  <c:v>261</c:v>
                </c:pt>
                <c:pt idx="8">
                  <c:v>250</c:v>
                </c:pt>
                <c:pt idx="9">
                  <c:v>258</c:v>
                </c:pt>
                <c:pt idx="10">
                  <c:v>285</c:v>
                </c:pt>
                <c:pt idx="11">
                  <c:v>313</c:v>
                </c:pt>
                <c:pt idx="12">
                  <c:v>321</c:v>
                </c:pt>
                <c:pt idx="13">
                  <c:v>344</c:v>
                </c:pt>
                <c:pt idx="14">
                  <c:v>352</c:v>
                </c:pt>
                <c:pt idx="15">
                  <c:v>396</c:v>
                </c:pt>
                <c:pt idx="16">
                  <c:v>500</c:v>
                </c:pt>
                <c:pt idx="17">
                  <c:v>750</c:v>
                </c:pt>
                <c:pt idx="18">
                  <c:v>950</c:v>
                </c:pt>
                <c:pt idx="19">
                  <c:v>845</c:v>
                </c:pt>
                <c:pt idx="20">
                  <c:v>850</c:v>
                </c:pt>
                <c:pt idx="21" formatCode="#,##0">
                  <c:v>1227</c:v>
                </c:pt>
                <c:pt idx="22" formatCode="#,##0">
                  <c:v>1337</c:v>
                </c:pt>
                <c:pt idx="23" formatCode="#,##0">
                  <c:v>1648</c:v>
                </c:pt>
                <c:pt idx="24" formatCode="#,##0">
                  <c:v>1220</c:v>
                </c:pt>
                <c:pt idx="25" formatCode="#,##0">
                  <c:v>1249</c:v>
                </c:pt>
                <c:pt idx="26" formatCode="#,##0">
                  <c:v>1042</c:v>
                </c:pt>
                <c:pt idx="27" formatCode="#,##0">
                  <c:v>1152</c:v>
                </c:pt>
                <c:pt idx="28" formatCode="#,##0">
                  <c:v>1350</c:v>
                </c:pt>
                <c:pt idx="29" formatCode="#,##0">
                  <c:v>1550</c:v>
                </c:pt>
                <c:pt idx="30" formatCode="#,##0">
                  <c:v>2757</c:v>
                </c:pt>
                <c:pt idx="31" formatCode="#,##0">
                  <c:v>2207</c:v>
                </c:pt>
                <c:pt idx="32" formatCode="#,##0">
                  <c:v>2436</c:v>
                </c:pt>
                <c:pt idx="33" formatCode="#,##0">
                  <c:v>2221</c:v>
                </c:pt>
                <c:pt idx="34" formatCode="#,##0">
                  <c:v>2000</c:v>
                </c:pt>
                <c:pt idx="35" formatCode="#,##0">
                  <c:v>2000</c:v>
                </c:pt>
                <c:pt idx="36" formatCode="#,##0">
                  <c:v>2252</c:v>
                </c:pt>
                <c:pt idx="37" formatCode="#,##0">
                  <c:v>2601</c:v>
                </c:pt>
                <c:pt idx="38" formatCode="#,##0">
                  <c:v>2750</c:v>
                </c:pt>
                <c:pt idx="39" formatCode="#,##0">
                  <c:v>2900</c:v>
                </c:pt>
                <c:pt idx="40" formatCode="#,##0">
                  <c:v>3050</c:v>
                </c:pt>
                <c:pt idx="41" formatCode="#,##0">
                  <c:v>3500</c:v>
                </c:pt>
                <c:pt idx="42" formatCode="#,##0">
                  <c:v>3750</c:v>
                </c:pt>
                <c:pt idx="43" formatCode="#,##0">
                  <c:v>4000</c:v>
                </c:pt>
                <c:pt idx="44" formatCode="#,##0">
                  <c:v>4250</c:v>
                </c:pt>
                <c:pt idx="45" formatCode="#,##0">
                  <c:v>4300</c:v>
                </c:pt>
                <c:pt idx="46" formatCode="#,##0">
                  <c:v>4400</c:v>
                </c:pt>
                <c:pt idx="47" formatCode="#,##0">
                  <c:v>4500</c:v>
                </c:pt>
                <c:pt idx="48" formatCode="#,##0">
                  <c:v>5150</c:v>
                </c:pt>
                <c:pt idx="49" formatCode="#,##0">
                  <c:v>5250</c:v>
                </c:pt>
                <c:pt idx="50" formatCode="_(* #,##0_);_(* \(#,##0\);_(* &quot;-&quot;??_);_(@_)">
                  <c:v>5500</c:v>
                </c:pt>
                <c:pt idx="51" formatCode="_(* #,##0_);_(* \(#,##0\);_(* &quot;-&quot;??_);_(@_)">
                  <c:v>6799.8669999999993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52120"/>
        <c:axId val="317059960"/>
      </c:lineChart>
      <c:catAx>
        <c:axId val="3170521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9960"/>
        <c:crosses val="autoZero"/>
        <c:auto val="1"/>
        <c:lblAlgn val="ctr"/>
        <c:lblOffset val="100"/>
        <c:noMultiLvlLbl val="0"/>
      </c:catAx>
      <c:valAx>
        <c:axId val="31705996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21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413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Nig!$C$18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Nig!$D$18:$BD$18</c:f>
              <c:numCache>
                <c:formatCode>#,##0</c:formatCode>
                <c:ptCount val="53"/>
                <c:pt idx="0">
                  <c:v>4000</c:v>
                </c:pt>
                <c:pt idx="1">
                  <c:v>3966</c:v>
                </c:pt>
                <c:pt idx="2">
                  <c:v>4509</c:v>
                </c:pt>
                <c:pt idx="3">
                  <c:v>3733</c:v>
                </c:pt>
                <c:pt idx="4">
                  <c:v>3760</c:v>
                </c:pt>
                <c:pt idx="5">
                  <c:v>4235</c:v>
                </c:pt>
                <c:pt idx="6">
                  <c:v>3160</c:v>
                </c:pt>
                <c:pt idx="7">
                  <c:v>3389</c:v>
                </c:pt>
                <c:pt idx="8">
                  <c:v>3236</c:v>
                </c:pt>
                <c:pt idx="9">
                  <c:v>4093</c:v>
                </c:pt>
                <c:pt idx="10">
                  <c:v>4053</c:v>
                </c:pt>
                <c:pt idx="11">
                  <c:v>3794</c:v>
                </c:pt>
                <c:pt idx="12">
                  <c:v>2298</c:v>
                </c:pt>
                <c:pt idx="13">
                  <c:v>3124</c:v>
                </c:pt>
                <c:pt idx="14">
                  <c:v>4732</c:v>
                </c:pt>
                <c:pt idx="15">
                  <c:v>3590</c:v>
                </c:pt>
                <c:pt idx="16">
                  <c:v>3680</c:v>
                </c:pt>
                <c:pt idx="17">
                  <c:v>3750</c:v>
                </c:pt>
                <c:pt idx="18">
                  <c:v>3760</c:v>
                </c:pt>
                <c:pt idx="19">
                  <c:v>3785</c:v>
                </c:pt>
                <c:pt idx="20">
                  <c:v>3800</c:v>
                </c:pt>
                <c:pt idx="21">
                  <c:v>3700</c:v>
                </c:pt>
                <c:pt idx="22">
                  <c:v>4134</c:v>
                </c:pt>
                <c:pt idx="23">
                  <c:v>2660</c:v>
                </c:pt>
                <c:pt idx="24">
                  <c:v>3690</c:v>
                </c:pt>
                <c:pt idx="25">
                  <c:v>3500</c:v>
                </c:pt>
                <c:pt idx="26">
                  <c:v>3600</c:v>
                </c:pt>
                <c:pt idx="27">
                  <c:v>2900</c:v>
                </c:pt>
                <c:pt idx="28">
                  <c:v>3500</c:v>
                </c:pt>
                <c:pt idx="29">
                  <c:v>3500</c:v>
                </c:pt>
                <c:pt idx="30">
                  <c:v>4185</c:v>
                </c:pt>
                <c:pt idx="31">
                  <c:v>4346</c:v>
                </c:pt>
                <c:pt idx="32">
                  <c:v>4437</c:v>
                </c:pt>
                <c:pt idx="33">
                  <c:v>6175</c:v>
                </c:pt>
                <c:pt idx="34">
                  <c:v>6500</c:v>
                </c:pt>
                <c:pt idx="35">
                  <c:v>6500</c:v>
                </c:pt>
                <c:pt idx="36">
                  <c:v>6600</c:v>
                </c:pt>
                <c:pt idx="37">
                  <c:v>6930</c:v>
                </c:pt>
                <c:pt idx="38">
                  <c:v>7300</c:v>
                </c:pt>
                <c:pt idx="39">
                  <c:v>7500</c:v>
                </c:pt>
                <c:pt idx="40">
                  <c:v>7800</c:v>
                </c:pt>
                <c:pt idx="41">
                  <c:v>7800</c:v>
                </c:pt>
                <c:pt idx="42">
                  <c:v>7850</c:v>
                </c:pt>
                <c:pt idx="43">
                  <c:v>9000</c:v>
                </c:pt>
                <c:pt idx="44">
                  <c:v>10000</c:v>
                </c:pt>
                <c:pt idx="45">
                  <c:v>10500</c:v>
                </c:pt>
                <c:pt idx="46">
                  <c:v>10500</c:v>
                </c:pt>
                <c:pt idx="47">
                  <c:v>10000</c:v>
                </c:pt>
                <c:pt idx="48">
                  <c:v>11000</c:v>
                </c:pt>
                <c:pt idx="49">
                  <c:v>11500</c:v>
                </c:pt>
                <c:pt idx="50" formatCode="_(* #,##0_);_(* \(#,##0\);_(* &quot;-&quot;??_);_(@_)">
                  <c:v>11700</c:v>
                </c:pt>
                <c:pt idx="51" formatCode="_(* #,##0_);_(* \(#,##0\);_(* &quot;-&quot;??_);_(@_)">
                  <c:v>5690.1450000000004</c:v>
                </c:pt>
                <c:pt idx="52" formatCode="_(* #,##0_);_(* \(#,##0\);_(* &quot;-&quot;??_);_(@_)">
                  <c:v>5837.1059999999998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Nig!$C$19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Nig!$D$19:$BD$19</c:f>
              <c:numCache>
                <c:formatCode>General</c:formatCode>
                <c:ptCount val="53"/>
                <c:pt idx="0">
                  <c:v>30</c:v>
                </c:pt>
                <c:pt idx="1">
                  <c:v>30</c:v>
                </c:pt>
                <c:pt idx="2">
                  <c:v>30</c:v>
                </c:pt>
                <c:pt idx="3">
                  <c:v>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10</c:v>
                </c:pt>
                <c:pt idx="23">
                  <c:v>0</c:v>
                </c:pt>
                <c:pt idx="24">
                  <c:v>85</c:v>
                </c:pt>
                <c:pt idx="25">
                  <c:v>0</c:v>
                </c:pt>
                <c:pt idx="26">
                  <c:v>0</c:v>
                </c:pt>
                <c:pt idx="27">
                  <c:v>86</c:v>
                </c:pt>
                <c:pt idx="28">
                  <c:v>32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18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14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Nig!$C$20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Nig!$D$20:$BD$20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50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100</c:v>
                </c:pt>
                <c:pt idx="41">
                  <c:v>50</c:v>
                </c:pt>
                <c:pt idx="42">
                  <c:v>50</c:v>
                </c:pt>
                <c:pt idx="43">
                  <c:v>50</c:v>
                </c:pt>
                <c:pt idx="44">
                  <c:v>50</c:v>
                </c:pt>
                <c:pt idx="45">
                  <c:v>50</c:v>
                </c:pt>
                <c:pt idx="46">
                  <c:v>50</c:v>
                </c:pt>
                <c:pt idx="47">
                  <c:v>50</c:v>
                </c:pt>
                <c:pt idx="48">
                  <c:v>50</c:v>
                </c:pt>
                <c:pt idx="49">
                  <c:v>50</c:v>
                </c:pt>
                <c:pt idx="50" formatCode="_(* #,##0_);_(* \(#,##0\);_(* &quot;-&quot;??_);_(@_)">
                  <c:v>50</c:v>
                </c:pt>
                <c:pt idx="51" formatCode="_(* #,##0_);_(* \(#,##0\);_(* &quot;-&quot;??_);_(@_)">
                  <c:v>4.4999999999999998E-2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Nig!$C$21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Nig!$D$21:$BD$21</c:f>
              <c:numCache>
                <c:formatCode>#,##0</c:formatCode>
                <c:ptCount val="53"/>
                <c:pt idx="0">
                  <c:v>4030</c:v>
                </c:pt>
                <c:pt idx="1">
                  <c:v>3996</c:v>
                </c:pt>
                <c:pt idx="2">
                  <c:v>4519</c:v>
                </c:pt>
                <c:pt idx="3">
                  <c:v>3736</c:v>
                </c:pt>
                <c:pt idx="4">
                  <c:v>3760</c:v>
                </c:pt>
                <c:pt idx="5">
                  <c:v>4235</c:v>
                </c:pt>
                <c:pt idx="6">
                  <c:v>3160</c:v>
                </c:pt>
                <c:pt idx="7">
                  <c:v>3389</c:v>
                </c:pt>
                <c:pt idx="8">
                  <c:v>3236</c:v>
                </c:pt>
                <c:pt idx="9">
                  <c:v>4093</c:v>
                </c:pt>
                <c:pt idx="10">
                  <c:v>4053</c:v>
                </c:pt>
                <c:pt idx="11">
                  <c:v>3794</c:v>
                </c:pt>
                <c:pt idx="12">
                  <c:v>2298</c:v>
                </c:pt>
                <c:pt idx="13">
                  <c:v>3124</c:v>
                </c:pt>
                <c:pt idx="14">
                  <c:v>4732</c:v>
                </c:pt>
                <c:pt idx="15">
                  <c:v>3590</c:v>
                </c:pt>
                <c:pt idx="16">
                  <c:v>3680</c:v>
                </c:pt>
                <c:pt idx="17">
                  <c:v>3750</c:v>
                </c:pt>
                <c:pt idx="18">
                  <c:v>3750</c:v>
                </c:pt>
                <c:pt idx="19">
                  <c:v>3765</c:v>
                </c:pt>
                <c:pt idx="20">
                  <c:v>3770</c:v>
                </c:pt>
                <c:pt idx="21">
                  <c:v>3753</c:v>
                </c:pt>
                <c:pt idx="22">
                  <c:v>4051</c:v>
                </c:pt>
                <c:pt idx="23">
                  <c:v>2780</c:v>
                </c:pt>
                <c:pt idx="24">
                  <c:v>3749</c:v>
                </c:pt>
                <c:pt idx="25">
                  <c:v>3176</c:v>
                </c:pt>
                <c:pt idx="26">
                  <c:v>3600</c:v>
                </c:pt>
                <c:pt idx="27">
                  <c:v>3186</c:v>
                </c:pt>
                <c:pt idx="28">
                  <c:v>3332</c:v>
                </c:pt>
                <c:pt idx="29">
                  <c:v>3500</c:v>
                </c:pt>
                <c:pt idx="30">
                  <c:v>4285</c:v>
                </c:pt>
                <c:pt idx="31">
                  <c:v>4346</c:v>
                </c:pt>
                <c:pt idx="32">
                  <c:v>4437</c:v>
                </c:pt>
                <c:pt idx="33">
                  <c:v>6175</c:v>
                </c:pt>
                <c:pt idx="34">
                  <c:v>6500</c:v>
                </c:pt>
                <c:pt idx="35">
                  <c:v>6500</c:v>
                </c:pt>
                <c:pt idx="36">
                  <c:v>6600</c:v>
                </c:pt>
                <c:pt idx="37">
                  <c:v>6930</c:v>
                </c:pt>
                <c:pt idx="38">
                  <c:v>7318</c:v>
                </c:pt>
                <c:pt idx="39">
                  <c:v>7500</c:v>
                </c:pt>
                <c:pt idx="40">
                  <c:v>7700</c:v>
                </c:pt>
                <c:pt idx="41">
                  <c:v>7750</c:v>
                </c:pt>
                <c:pt idx="42">
                  <c:v>7800</c:v>
                </c:pt>
                <c:pt idx="43">
                  <c:v>8950</c:v>
                </c:pt>
                <c:pt idx="44">
                  <c:v>9950</c:v>
                </c:pt>
                <c:pt idx="45">
                  <c:v>10450</c:v>
                </c:pt>
                <c:pt idx="46">
                  <c:v>10450</c:v>
                </c:pt>
                <c:pt idx="47">
                  <c:v>9950</c:v>
                </c:pt>
                <c:pt idx="48">
                  <c:v>10950</c:v>
                </c:pt>
                <c:pt idx="49">
                  <c:v>11450</c:v>
                </c:pt>
                <c:pt idx="50" formatCode="_(* #,##0_);_(* \(#,##0\);_(* &quot;-&quot;??_);_(@_)">
                  <c:v>11650</c:v>
                </c:pt>
                <c:pt idx="51" formatCode="_(* #,##0_);_(* \(#,##0\);_(* &quot;-&quot;??_);_(@_)">
                  <c:v>5704.1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60744"/>
        <c:axId val="317049768"/>
      </c:lineChart>
      <c:catAx>
        <c:axId val="317060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49768"/>
        <c:crosses val="autoZero"/>
        <c:auto val="1"/>
        <c:lblAlgn val="ctr"/>
        <c:lblOffset val="100"/>
        <c:noMultiLvlLbl val="0"/>
      </c:catAx>
      <c:valAx>
        <c:axId val="31704976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607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386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2957563404060015E-2"/>
          <c:y val="0.16144916311690599"/>
          <c:w val="0.8684529756392767"/>
          <c:h val="0.58268696456763358"/>
        </c:manualLayout>
      </c:layout>
      <c:lineChart>
        <c:grouping val="standard"/>
        <c:varyColors val="0"/>
        <c:ser>
          <c:idx val="0"/>
          <c:order val="0"/>
          <c:tx>
            <c:strRef>
              <c:f>Nig!$C$22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Nig!$D$22:$BD$22</c:f>
              <c:numCache>
                <c:formatCode>_(* #,##0_);_(* \(#,##0\);_(* "-"??_);_(@_)</c:formatCode>
                <c:ptCount val="53"/>
                <c:pt idx="0">
                  <c:v>172</c:v>
                </c:pt>
                <c:pt idx="1">
                  <c:v>185</c:v>
                </c:pt>
                <c:pt idx="2">
                  <c:v>265</c:v>
                </c:pt>
                <c:pt idx="3">
                  <c:v>348</c:v>
                </c:pt>
                <c:pt idx="4">
                  <c:v>452</c:v>
                </c:pt>
                <c:pt idx="5">
                  <c:v>441</c:v>
                </c:pt>
                <c:pt idx="6">
                  <c:v>534</c:v>
                </c:pt>
                <c:pt idx="7">
                  <c:v>545</c:v>
                </c:pt>
                <c:pt idx="8">
                  <c:v>574</c:v>
                </c:pt>
                <c:pt idx="9">
                  <c:v>607</c:v>
                </c:pt>
                <c:pt idx="10">
                  <c:v>638</c:v>
                </c:pt>
                <c:pt idx="11">
                  <c:v>666</c:v>
                </c:pt>
                <c:pt idx="12">
                  <c:v>618</c:v>
                </c:pt>
                <c:pt idx="13">
                  <c:v>670</c:v>
                </c:pt>
                <c:pt idx="14">
                  <c:v>700</c:v>
                </c:pt>
                <c:pt idx="15">
                  <c:v>735</c:v>
                </c:pt>
                <c:pt idx="16">
                  <c:v>765</c:v>
                </c:pt>
                <c:pt idx="17">
                  <c:v>770</c:v>
                </c:pt>
                <c:pt idx="18">
                  <c:v>815</c:v>
                </c:pt>
                <c:pt idx="19">
                  <c:v>870</c:v>
                </c:pt>
                <c:pt idx="20">
                  <c:v>926</c:v>
                </c:pt>
                <c:pt idx="21">
                  <c:v>900</c:v>
                </c:pt>
                <c:pt idx="22">
                  <c:v>810</c:v>
                </c:pt>
                <c:pt idx="23">
                  <c:v>821</c:v>
                </c:pt>
                <c:pt idx="24">
                  <c:v>862</c:v>
                </c:pt>
                <c:pt idx="25">
                  <c:v>897</c:v>
                </c:pt>
                <c:pt idx="26">
                  <c:v>882</c:v>
                </c:pt>
                <c:pt idx="27">
                  <c:v>888</c:v>
                </c:pt>
                <c:pt idx="28">
                  <c:v>900</c:v>
                </c:pt>
                <c:pt idx="29">
                  <c:v>920</c:v>
                </c:pt>
                <c:pt idx="30">
                  <c:v>888</c:v>
                </c:pt>
                <c:pt idx="31">
                  <c:v>896</c:v>
                </c:pt>
                <c:pt idx="32">
                  <c:v>905</c:v>
                </c:pt>
                <c:pt idx="33">
                  <c:v>633</c:v>
                </c:pt>
                <c:pt idx="34">
                  <c:v>589</c:v>
                </c:pt>
                <c:pt idx="35">
                  <c:v>615</c:v>
                </c:pt>
                <c:pt idx="36">
                  <c:v>675</c:v>
                </c:pt>
                <c:pt idx="37">
                  <c:v>675</c:v>
                </c:pt>
                <c:pt idx="38">
                  <c:v>682</c:v>
                </c:pt>
                <c:pt idx="39">
                  <c:v>695</c:v>
                </c:pt>
                <c:pt idx="40">
                  <c:v>705</c:v>
                </c:pt>
                <c:pt idx="41">
                  <c:v>750</c:v>
                </c:pt>
                <c:pt idx="42">
                  <c:v>798</c:v>
                </c:pt>
                <c:pt idx="43">
                  <c:v>854</c:v>
                </c:pt>
                <c:pt idx="44">
                  <c:v>914</c:v>
                </c:pt>
                <c:pt idx="45">
                  <c:v>987</c:v>
                </c:pt>
                <c:pt idx="46">
                  <c:v>1506</c:v>
                </c:pt>
                <c:pt idx="47">
                  <c:v>1412.07</c:v>
                </c:pt>
                <c:pt idx="48">
                  <c:v>1401.68</c:v>
                </c:pt>
                <c:pt idx="49">
                  <c:v>1400</c:v>
                </c:pt>
                <c:pt idx="50">
                  <c:v>1450</c:v>
                </c:pt>
                <c:pt idx="51">
                  <c:v>1460</c:v>
                </c:pt>
                <c:pt idx="52">
                  <c:v>1455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Nig!$C$23</c:f>
              <c:strCache>
                <c:ptCount val="1"/>
                <c:pt idx="0">
                  <c:v>Total Imports</c:v>
                </c:pt>
              </c:strCache>
            </c:strRef>
          </c:tx>
          <c:spPr>
            <a:ln>
              <a:solidFill>
                <a:schemeClr val="accent5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Nig!$D$23:$BD$23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122</c:v>
                </c:pt>
                <c:pt idx="13">
                  <c:v>71</c:v>
                </c:pt>
                <c:pt idx="14">
                  <c:v>106</c:v>
                </c:pt>
                <c:pt idx="15">
                  <c:v>154</c:v>
                </c:pt>
                <c:pt idx="16">
                  <c:v>311</c:v>
                </c:pt>
                <c:pt idx="17">
                  <c:v>502</c:v>
                </c:pt>
                <c:pt idx="18">
                  <c:v>509</c:v>
                </c:pt>
                <c:pt idx="19">
                  <c:v>700</c:v>
                </c:pt>
                <c:pt idx="20">
                  <c:v>900</c:v>
                </c:pt>
                <c:pt idx="21">
                  <c:v>940</c:v>
                </c:pt>
                <c:pt idx="22">
                  <c:v>885</c:v>
                </c:pt>
                <c:pt idx="23">
                  <c:v>580</c:v>
                </c:pt>
                <c:pt idx="24">
                  <c:v>626</c:v>
                </c:pt>
                <c:pt idx="25">
                  <c:v>600</c:v>
                </c:pt>
                <c:pt idx="26">
                  <c:v>578</c:v>
                </c:pt>
                <c:pt idx="27">
                  <c:v>505</c:v>
                </c:pt>
                <c:pt idx="28">
                  <c:v>400</c:v>
                </c:pt>
                <c:pt idx="29">
                  <c:v>396</c:v>
                </c:pt>
                <c:pt idx="30">
                  <c:v>480</c:v>
                </c:pt>
                <c:pt idx="31">
                  <c:v>560</c:v>
                </c:pt>
                <c:pt idx="32">
                  <c:v>430</c:v>
                </c:pt>
                <c:pt idx="33">
                  <c:v>510</c:v>
                </c:pt>
                <c:pt idx="34">
                  <c:v>490</c:v>
                </c:pt>
                <c:pt idx="35">
                  <c:v>542</c:v>
                </c:pt>
                <c:pt idx="36">
                  <c:v>555</c:v>
                </c:pt>
                <c:pt idx="37">
                  <c:v>660</c:v>
                </c:pt>
                <c:pt idx="38">
                  <c:v>700</c:v>
                </c:pt>
                <c:pt idx="39">
                  <c:v>825</c:v>
                </c:pt>
                <c:pt idx="40">
                  <c:v>714</c:v>
                </c:pt>
                <c:pt idx="41">
                  <c:v>775</c:v>
                </c:pt>
                <c:pt idx="42" formatCode="#,##0">
                  <c:v>1000</c:v>
                </c:pt>
                <c:pt idx="43" formatCode="#,##0">
                  <c:v>1150</c:v>
                </c:pt>
                <c:pt idx="44" formatCode="#,##0">
                  <c:v>1150</c:v>
                </c:pt>
                <c:pt idx="45" formatCode="#,##0">
                  <c:v>1200</c:v>
                </c:pt>
                <c:pt idx="46" formatCode="#,##0">
                  <c:v>1240</c:v>
                </c:pt>
                <c:pt idx="47" formatCode="#,##0">
                  <c:v>1485</c:v>
                </c:pt>
                <c:pt idx="48" formatCode="#,##0">
                  <c:v>1250</c:v>
                </c:pt>
                <c:pt idx="49" formatCode="#,##0">
                  <c:v>1400</c:v>
                </c:pt>
                <c:pt idx="50" formatCode="_(* #,##0_);_(* \(#,##0\);_(* &quot;-&quot;??_);_(@_)">
                  <c:v>1525</c:v>
                </c:pt>
                <c:pt idx="51" formatCode="_(* #,##0_);_(* \(#,##0\);_(* &quot;-&quot;??_);_(@_)">
                  <c:v>1089.3710000000001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Nig!$C$24</c:f>
              <c:strCache>
                <c:ptCount val="1"/>
                <c:pt idx="0">
                  <c:v>Total Exports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Nig!$D$24:$BD$24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100</c:v>
                </c:pt>
                <c:pt idx="23">
                  <c:v>0</c:v>
                </c:pt>
                <c:pt idx="24">
                  <c:v>0</c:v>
                </c:pt>
                <c:pt idx="25">
                  <c:v>50</c:v>
                </c:pt>
                <c:pt idx="26">
                  <c:v>10</c:v>
                </c:pt>
                <c:pt idx="27">
                  <c:v>10</c:v>
                </c:pt>
                <c:pt idx="28">
                  <c:v>0</c:v>
                </c:pt>
                <c:pt idx="29">
                  <c:v>20</c:v>
                </c:pt>
                <c:pt idx="30">
                  <c:v>25</c:v>
                </c:pt>
                <c:pt idx="31">
                  <c:v>35</c:v>
                </c:pt>
                <c:pt idx="32">
                  <c:v>30</c:v>
                </c:pt>
                <c:pt idx="33">
                  <c:v>30</c:v>
                </c:pt>
                <c:pt idx="34">
                  <c:v>30</c:v>
                </c:pt>
                <c:pt idx="35">
                  <c:v>12</c:v>
                </c:pt>
                <c:pt idx="36">
                  <c:v>10</c:v>
                </c:pt>
                <c:pt idx="37">
                  <c:v>20</c:v>
                </c:pt>
                <c:pt idx="38">
                  <c:v>20</c:v>
                </c:pt>
                <c:pt idx="39">
                  <c:v>20</c:v>
                </c:pt>
                <c:pt idx="40">
                  <c:v>100</c:v>
                </c:pt>
                <c:pt idx="41">
                  <c:v>100</c:v>
                </c:pt>
                <c:pt idx="42">
                  <c:v>100</c:v>
                </c:pt>
                <c:pt idx="43">
                  <c:v>100</c:v>
                </c:pt>
                <c:pt idx="44">
                  <c:v>100</c:v>
                </c:pt>
                <c:pt idx="45">
                  <c:v>100</c:v>
                </c:pt>
                <c:pt idx="46">
                  <c:v>100</c:v>
                </c:pt>
                <c:pt idx="47">
                  <c:v>150</c:v>
                </c:pt>
                <c:pt idx="48">
                  <c:v>150</c:v>
                </c:pt>
                <c:pt idx="49">
                  <c:v>200</c:v>
                </c:pt>
                <c:pt idx="50" formatCode="_(* #,##0_);_(* \(#,##0\);_(* &quot;-&quot;??_);_(@_)">
                  <c:v>250</c:v>
                </c:pt>
                <c:pt idx="51" formatCode="_(* #,##0_);_(* \(#,##0\);_(* &quot;-&quot;??_);_(@_)">
                  <c:v>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Nig!$C$25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Nig!$D$25:$BD$25</c:f>
              <c:numCache>
                <c:formatCode>General</c:formatCode>
                <c:ptCount val="53"/>
                <c:pt idx="0">
                  <c:v>172</c:v>
                </c:pt>
                <c:pt idx="1">
                  <c:v>185</c:v>
                </c:pt>
                <c:pt idx="2">
                  <c:v>265</c:v>
                </c:pt>
                <c:pt idx="3">
                  <c:v>348</c:v>
                </c:pt>
                <c:pt idx="4">
                  <c:v>452</c:v>
                </c:pt>
                <c:pt idx="5">
                  <c:v>441</c:v>
                </c:pt>
                <c:pt idx="6">
                  <c:v>534</c:v>
                </c:pt>
                <c:pt idx="7">
                  <c:v>545</c:v>
                </c:pt>
                <c:pt idx="8">
                  <c:v>574</c:v>
                </c:pt>
                <c:pt idx="9">
                  <c:v>607</c:v>
                </c:pt>
                <c:pt idx="10">
                  <c:v>638</c:v>
                </c:pt>
                <c:pt idx="11">
                  <c:v>666</c:v>
                </c:pt>
                <c:pt idx="12">
                  <c:v>740</c:v>
                </c:pt>
                <c:pt idx="13">
                  <c:v>741</c:v>
                </c:pt>
                <c:pt idx="14">
                  <c:v>806</c:v>
                </c:pt>
                <c:pt idx="15">
                  <c:v>889</c:v>
                </c:pt>
                <c:pt idx="16">
                  <c:v>1075</c:v>
                </c:pt>
                <c:pt idx="17">
                  <c:v>1271</c:v>
                </c:pt>
                <c:pt idx="18">
                  <c:v>1324</c:v>
                </c:pt>
                <c:pt idx="19">
                  <c:v>1570</c:v>
                </c:pt>
                <c:pt idx="20">
                  <c:v>1826</c:v>
                </c:pt>
                <c:pt idx="21">
                  <c:v>1840</c:v>
                </c:pt>
                <c:pt idx="22">
                  <c:v>1595</c:v>
                </c:pt>
                <c:pt idx="23">
                  <c:v>1401</c:v>
                </c:pt>
                <c:pt idx="24">
                  <c:v>1488</c:v>
                </c:pt>
                <c:pt idx="25">
                  <c:v>1447</c:v>
                </c:pt>
                <c:pt idx="26">
                  <c:v>1450</c:v>
                </c:pt>
                <c:pt idx="27">
                  <c:v>1383</c:v>
                </c:pt>
                <c:pt idx="28">
                  <c:v>1300</c:v>
                </c:pt>
                <c:pt idx="29">
                  <c:v>1296</c:v>
                </c:pt>
                <c:pt idx="30">
                  <c:v>1343</c:v>
                </c:pt>
                <c:pt idx="31">
                  <c:v>1421</c:v>
                </c:pt>
                <c:pt idx="32">
                  <c:v>1305</c:v>
                </c:pt>
                <c:pt idx="33">
                  <c:v>1113</c:v>
                </c:pt>
                <c:pt idx="34">
                  <c:v>1049</c:v>
                </c:pt>
                <c:pt idx="35">
                  <c:v>1145</c:v>
                </c:pt>
                <c:pt idx="36">
                  <c:v>1220</c:v>
                </c:pt>
                <c:pt idx="37">
                  <c:v>1315</c:v>
                </c:pt>
                <c:pt idx="38">
                  <c:v>1362</c:v>
                </c:pt>
                <c:pt idx="39">
                  <c:v>1500</c:v>
                </c:pt>
                <c:pt idx="40">
                  <c:v>1319</c:v>
                </c:pt>
                <c:pt idx="41">
                  <c:v>1425</c:v>
                </c:pt>
                <c:pt idx="42">
                  <c:v>1698</c:v>
                </c:pt>
                <c:pt idx="43">
                  <c:v>1904</c:v>
                </c:pt>
                <c:pt idx="44">
                  <c:v>1964</c:v>
                </c:pt>
                <c:pt idx="45">
                  <c:v>2087</c:v>
                </c:pt>
                <c:pt idx="46">
                  <c:v>2646</c:v>
                </c:pt>
                <c:pt idx="47">
                  <c:v>2747.0699999999997</c:v>
                </c:pt>
                <c:pt idx="48">
                  <c:v>2501.6800000000003</c:v>
                </c:pt>
                <c:pt idx="49">
                  <c:v>2600</c:v>
                </c:pt>
                <c:pt idx="50" formatCode="_(* #,##0_);_(* \(#,##0\);_(* &quot;-&quot;??_);_(@_)">
                  <c:v>2725</c:v>
                </c:pt>
                <c:pt idx="51" formatCode="_(* #,##0_);_(* \(#,##0\);_(* &quot;-&quot;??_);_(@_)">
                  <c:v>2549.3710000000001</c:v>
                </c:pt>
                <c:pt idx="52" formatCode="_(* #,##0_);_(* \(#,##0\);_(* &quot;-&quot;??_);_(@_)">
                  <c:v>1455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50944"/>
        <c:axId val="317051336"/>
      </c:lineChart>
      <c:catAx>
        <c:axId val="317050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1336"/>
        <c:crosses val="autoZero"/>
        <c:auto val="1"/>
        <c:lblAlgn val="ctr"/>
        <c:lblOffset val="100"/>
        <c:noMultiLvlLbl val="0"/>
      </c:catAx>
      <c:valAx>
        <c:axId val="3170513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09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877444077171953"/>
          <c:w val="0.87448878640814531"/>
          <c:h val="7.1609410939215384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Nig!$C$26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Nig!$D$26:$BD$26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5</c:v>
                </c:pt>
                <c:pt idx="9">
                  <c:v>6</c:v>
                </c:pt>
                <c:pt idx="10">
                  <c:v>6</c:v>
                </c:pt>
                <c:pt idx="11">
                  <c:v>7</c:v>
                </c:pt>
                <c:pt idx="12">
                  <c:v>6</c:v>
                </c:pt>
                <c:pt idx="13">
                  <c:v>4</c:v>
                </c:pt>
                <c:pt idx="14">
                  <c:v>6</c:v>
                </c:pt>
                <c:pt idx="15">
                  <c:v>18</c:v>
                </c:pt>
                <c:pt idx="16">
                  <c:v>20</c:v>
                </c:pt>
                <c:pt idx="17">
                  <c:v>21</c:v>
                </c:pt>
                <c:pt idx="18">
                  <c:v>22</c:v>
                </c:pt>
                <c:pt idx="19">
                  <c:v>23</c:v>
                </c:pt>
                <c:pt idx="20">
                  <c:v>24</c:v>
                </c:pt>
                <c:pt idx="21">
                  <c:v>25</c:v>
                </c:pt>
                <c:pt idx="22">
                  <c:v>30</c:v>
                </c:pt>
                <c:pt idx="23">
                  <c:v>35</c:v>
                </c:pt>
                <c:pt idx="24">
                  <c:v>42</c:v>
                </c:pt>
                <c:pt idx="25">
                  <c:v>10</c:v>
                </c:pt>
                <c:pt idx="26">
                  <c:v>15</c:v>
                </c:pt>
                <c:pt idx="27">
                  <c:v>30</c:v>
                </c:pt>
                <c:pt idx="28">
                  <c:v>50</c:v>
                </c:pt>
                <c:pt idx="29">
                  <c:v>60</c:v>
                </c:pt>
                <c:pt idx="30">
                  <c:v>50</c:v>
                </c:pt>
                <c:pt idx="31">
                  <c:v>60</c:v>
                </c:pt>
                <c:pt idx="32">
                  <c:v>40</c:v>
                </c:pt>
                <c:pt idx="33">
                  <c:v>30</c:v>
                </c:pt>
                <c:pt idx="34">
                  <c:v>30</c:v>
                </c:pt>
                <c:pt idx="35">
                  <c:v>50</c:v>
                </c:pt>
                <c:pt idx="36">
                  <c:v>35</c:v>
                </c:pt>
                <c:pt idx="37">
                  <c:v>20</c:v>
                </c:pt>
                <c:pt idx="38">
                  <c:v>40</c:v>
                </c:pt>
                <c:pt idx="39">
                  <c:v>45</c:v>
                </c:pt>
                <c:pt idx="40">
                  <c:v>45</c:v>
                </c:pt>
                <c:pt idx="41">
                  <c:v>50</c:v>
                </c:pt>
                <c:pt idx="42">
                  <c:v>75</c:v>
                </c:pt>
                <c:pt idx="43">
                  <c:v>60</c:v>
                </c:pt>
                <c:pt idx="44">
                  <c:v>70</c:v>
                </c:pt>
                <c:pt idx="45">
                  <c:v>85</c:v>
                </c:pt>
                <c:pt idx="46">
                  <c:v>100</c:v>
                </c:pt>
                <c:pt idx="47">
                  <c:v>100</c:v>
                </c:pt>
                <c:pt idx="48">
                  <c:v>100</c:v>
                </c:pt>
                <c:pt idx="49">
                  <c:v>100</c:v>
                </c:pt>
                <c:pt idx="50" formatCode="_(* #,##0_);_(* \(#,##0\);_(* &quot;-&quot;??_);_(@_)">
                  <c:v>100</c:v>
                </c:pt>
                <c:pt idx="51" formatCode="_(* #,##0_);_(* \(#,##0\);_(* &quot;-&quot;??_);_(@_)">
                  <c:v>165</c:v>
                </c:pt>
                <c:pt idx="52" formatCode="_(* #,##0_);_(* \(#,##0\);_(* &quot;-&quot;??_);_(@_)">
                  <c:v>100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Nig!$C$27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Nig!$D$27:$BD$27</c:f>
              <c:numCache>
                <c:formatCode>General</c:formatCode>
                <c:ptCount val="53"/>
                <c:pt idx="0">
                  <c:v>78</c:v>
                </c:pt>
                <c:pt idx="1">
                  <c:v>101</c:v>
                </c:pt>
                <c:pt idx="2">
                  <c:v>87</c:v>
                </c:pt>
                <c:pt idx="3">
                  <c:v>74</c:v>
                </c:pt>
                <c:pt idx="4">
                  <c:v>76</c:v>
                </c:pt>
                <c:pt idx="5">
                  <c:v>140</c:v>
                </c:pt>
                <c:pt idx="6">
                  <c:v>170</c:v>
                </c:pt>
                <c:pt idx="7">
                  <c:v>130</c:v>
                </c:pt>
                <c:pt idx="8">
                  <c:v>144</c:v>
                </c:pt>
                <c:pt idx="9">
                  <c:v>244</c:v>
                </c:pt>
                <c:pt idx="10">
                  <c:v>385</c:v>
                </c:pt>
                <c:pt idx="11">
                  <c:v>350</c:v>
                </c:pt>
                <c:pt idx="12">
                  <c:v>397</c:v>
                </c:pt>
                <c:pt idx="13">
                  <c:v>326</c:v>
                </c:pt>
                <c:pt idx="14">
                  <c:v>342</c:v>
                </c:pt>
                <c:pt idx="15">
                  <c:v>519</c:v>
                </c:pt>
                <c:pt idx="16">
                  <c:v>815</c:v>
                </c:pt>
                <c:pt idx="17" formatCode="#,##0">
                  <c:v>1020</c:v>
                </c:pt>
                <c:pt idx="18" formatCode="#,##0">
                  <c:v>1300</c:v>
                </c:pt>
                <c:pt idx="19" formatCode="#,##0">
                  <c:v>1350</c:v>
                </c:pt>
                <c:pt idx="20" formatCode="#,##0">
                  <c:v>1400</c:v>
                </c:pt>
                <c:pt idx="21" formatCode="#,##0">
                  <c:v>1550</c:v>
                </c:pt>
                <c:pt idx="22" formatCode="#,##0">
                  <c:v>1500</c:v>
                </c:pt>
                <c:pt idx="23" formatCode="#,##0">
                  <c:v>1600</c:v>
                </c:pt>
                <c:pt idx="24" formatCode="#,##0">
                  <c:v>1750</c:v>
                </c:pt>
                <c:pt idx="25" formatCode="#,##0">
                  <c:v>1200</c:v>
                </c:pt>
                <c:pt idx="26" formatCode="#,##0">
                  <c:v>1000</c:v>
                </c:pt>
                <c:pt idx="27">
                  <c:v>200</c:v>
                </c:pt>
                <c:pt idx="28">
                  <c:v>250</c:v>
                </c:pt>
                <c:pt idx="29">
                  <c:v>300</c:v>
                </c:pt>
                <c:pt idx="30">
                  <c:v>480</c:v>
                </c:pt>
                <c:pt idx="31">
                  <c:v>450</c:v>
                </c:pt>
                <c:pt idx="32">
                  <c:v>753</c:v>
                </c:pt>
                <c:pt idx="33">
                  <c:v>816</c:v>
                </c:pt>
                <c:pt idx="34">
                  <c:v>560</c:v>
                </c:pt>
                <c:pt idx="35">
                  <c:v>674</c:v>
                </c:pt>
                <c:pt idx="36">
                  <c:v>986</c:v>
                </c:pt>
                <c:pt idx="37" formatCode="#,##0">
                  <c:v>1145</c:v>
                </c:pt>
                <c:pt idx="38" formatCode="#,##0">
                  <c:v>1466</c:v>
                </c:pt>
                <c:pt idx="39" formatCode="#,##0">
                  <c:v>1282</c:v>
                </c:pt>
                <c:pt idx="40" formatCode="#,##0">
                  <c:v>1913</c:v>
                </c:pt>
                <c:pt idx="41" formatCode="#,##0">
                  <c:v>2446</c:v>
                </c:pt>
                <c:pt idx="42" formatCode="#,##0">
                  <c:v>2304</c:v>
                </c:pt>
                <c:pt idx="43" formatCode="#,##0">
                  <c:v>2383</c:v>
                </c:pt>
                <c:pt idx="44" formatCode="#,##0">
                  <c:v>3014</c:v>
                </c:pt>
                <c:pt idx="45" formatCode="#,##0">
                  <c:v>3679</c:v>
                </c:pt>
                <c:pt idx="46" formatCode="#,##0">
                  <c:v>3265</c:v>
                </c:pt>
                <c:pt idx="47" formatCode="#,##0">
                  <c:v>2633</c:v>
                </c:pt>
                <c:pt idx="48" formatCode="#,##0">
                  <c:v>3550</c:v>
                </c:pt>
                <c:pt idx="49" formatCode="#,##0">
                  <c:v>4079</c:v>
                </c:pt>
                <c:pt idx="50" formatCode="_(* #,##0_);_(* \(#,##0\);_(* &quot;-&quot;??_);_(@_)">
                  <c:v>3700</c:v>
                </c:pt>
                <c:pt idx="51" formatCode="_(* #,##0_);_(* \(#,##0\);_(* &quot;-&quot;??_);_(@_)">
                  <c:v>4039.6689999999999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Nig!$C$28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Nig!$D$28:$BD$28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4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0.27200000000000002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Nig!$C$29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Nig!$D$1:$BD$1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Nig!$D$29:$BD$29</c:f>
              <c:numCache>
                <c:formatCode>General</c:formatCode>
                <c:ptCount val="53"/>
                <c:pt idx="0">
                  <c:v>78</c:v>
                </c:pt>
                <c:pt idx="1">
                  <c:v>101</c:v>
                </c:pt>
                <c:pt idx="2">
                  <c:v>87</c:v>
                </c:pt>
                <c:pt idx="3">
                  <c:v>74</c:v>
                </c:pt>
                <c:pt idx="4">
                  <c:v>53</c:v>
                </c:pt>
                <c:pt idx="5">
                  <c:v>126</c:v>
                </c:pt>
                <c:pt idx="6">
                  <c:v>160</c:v>
                </c:pt>
                <c:pt idx="7">
                  <c:v>131</c:v>
                </c:pt>
                <c:pt idx="8">
                  <c:v>145</c:v>
                </c:pt>
                <c:pt idx="9">
                  <c:v>237</c:v>
                </c:pt>
                <c:pt idx="10">
                  <c:v>400</c:v>
                </c:pt>
                <c:pt idx="11">
                  <c:v>354</c:v>
                </c:pt>
                <c:pt idx="12">
                  <c:v>413</c:v>
                </c:pt>
                <c:pt idx="13">
                  <c:v>335</c:v>
                </c:pt>
                <c:pt idx="14">
                  <c:v>343</c:v>
                </c:pt>
                <c:pt idx="15">
                  <c:v>517</c:v>
                </c:pt>
                <c:pt idx="16">
                  <c:v>815</c:v>
                </c:pt>
                <c:pt idx="17" formatCode="#,##0">
                  <c:v>1028</c:v>
                </c:pt>
                <c:pt idx="18" formatCode="#,##0">
                  <c:v>1270</c:v>
                </c:pt>
                <c:pt idx="19" formatCode="#,##0">
                  <c:v>1391</c:v>
                </c:pt>
                <c:pt idx="20" formatCode="#,##0">
                  <c:v>1429</c:v>
                </c:pt>
                <c:pt idx="21" formatCode="#,##0">
                  <c:v>1570</c:v>
                </c:pt>
                <c:pt idx="22" formatCode="#,##0">
                  <c:v>1565</c:v>
                </c:pt>
                <c:pt idx="23" formatCode="#,##0">
                  <c:v>1595</c:v>
                </c:pt>
                <c:pt idx="24" formatCode="#,##0">
                  <c:v>1774</c:v>
                </c:pt>
                <c:pt idx="25" formatCode="#,##0">
                  <c:v>1235</c:v>
                </c:pt>
                <c:pt idx="26">
                  <c:v>920</c:v>
                </c:pt>
                <c:pt idx="27">
                  <c:v>410</c:v>
                </c:pt>
                <c:pt idx="28">
                  <c:v>300</c:v>
                </c:pt>
                <c:pt idx="29">
                  <c:v>360</c:v>
                </c:pt>
                <c:pt idx="30">
                  <c:v>510</c:v>
                </c:pt>
                <c:pt idx="31">
                  <c:v>510</c:v>
                </c:pt>
                <c:pt idx="32">
                  <c:v>713</c:v>
                </c:pt>
                <c:pt idx="33">
                  <c:v>791</c:v>
                </c:pt>
                <c:pt idx="34">
                  <c:v>715</c:v>
                </c:pt>
                <c:pt idx="35">
                  <c:v>724</c:v>
                </c:pt>
                <c:pt idx="36" formatCode="#,##0">
                  <c:v>1021</c:v>
                </c:pt>
                <c:pt idx="37" formatCode="#,##0">
                  <c:v>1165</c:v>
                </c:pt>
                <c:pt idx="38" formatCode="#,##0">
                  <c:v>1356</c:v>
                </c:pt>
                <c:pt idx="39" formatCode="#,##0">
                  <c:v>1327</c:v>
                </c:pt>
                <c:pt idx="40" formatCode="#,##0">
                  <c:v>1958</c:v>
                </c:pt>
                <c:pt idx="41" formatCode="#,##0">
                  <c:v>2496</c:v>
                </c:pt>
                <c:pt idx="42" formatCode="#,##0">
                  <c:v>2379</c:v>
                </c:pt>
                <c:pt idx="43" formatCode="#,##0">
                  <c:v>2443</c:v>
                </c:pt>
                <c:pt idx="44" formatCode="#,##0">
                  <c:v>3084</c:v>
                </c:pt>
                <c:pt idx="45" formatCode="#,##0">
                  <c:v>3764</c:v>
                </c:pt>
                <c:pt idx="46" formatCode="#,##0">
                  <c:v>3365</c:v>
                </c:pt>
                <c:pt idx="47" formatCode="#,##0">
                  <c:v>2833</c:v>
                </c:pt>
                <c:pt idx="48" formatCode="#,##0">
                  <c:v>3550</c:v>
                </c:pt>
                <c:pt idx="49" formatCode="#,##0">
                  <c:v>4179</c:v>
                </c:pt>
                <c:pt idx="50" formatCode="_(* #,##0_);_(* \(#,##0\);_(* &quot;-&quot;??_);_(@_)">
                  <c:v>3800</c:v>
                </c:pt>
                <c:pt idx="51" formatCode="_(* #,##0_);_(* \(#,##0\);_(* &quot;-&quot;??_);_(@_)">
                  <c:v>4204.3969999999999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51728"/>
        <c:axId val="317053296"/>
      </c:lineChart>
      <c:catAx>
        <c:axId val="317051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3296"/>
        <c:crosses val="autoZero"/>
        <c:auto val="1"/>
        <c:lblAlgn val="ctr"/>
        <c:lblOffset val="100"/>
        <c:noMultiLvlLbl val="0"/>
      </c:catAx>
      <c:valAx>
        <c:axId val="3170532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172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302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63"/>
          <c:w val="0.845245908485693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Pak!$C$2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Pak!$D$2:$BD$2</c:f>
              <c:numCache>
                <c:formatCode>General</c:formatCode>
                <c:ptCount val="53"/>
                <c:pt idx="0">
                  <c:v>439</c:v>
                </c:pt>
                <c:pt idx="1">
                  <c:v>488</c:v>
                </c:pt>
                <c:pt idx="2">
                  <c:v>489</c:v>
                </c:pt>
                <c:pt idx="3">
                  <c:v>526</c:v>
                </c:pt>
                <c:pt idx="4">
                  <c:v>528</c:v>
                </c:pt>
                <c:pt idx="5">
                  <c:v>540</c:v>
                </c:pt>
                <c:pt idx="6">
                  <c:v>587</c:v>
                </c:pt>
                <c:pt idx="7">
                  <c:v>792</c:v>
                </c:pt>
                <c:pt idx="8">
                  <c:v>626</c:v>
                </c:pt>
                <c:pt idx="9">
                  <c:v>668</c:v>
                </c:pt>
                <c:pt idx="10">
                  <c:v>717</c:v>
                </c:pt>
                <c:pt idx="11">
                  <c:v>705</c:v>
                </c:pt>
                <c:pt idx="12">
                  <c:v>715</c:v>
                </c:pt>
                <c:pt idx="13">
                  <c:v>767</c:v>
                </c:pt>
                <c:pt idx="14">
                  <c:v>747</c:v>
                </c:pt>
                <c:pt idx="15">
                  <c:v>803</c:v>
                </c:pt>
                <c:pt idx="16">
                  <c:v>764</c:v>
                </c:pt>
                <c:pt idx="17">
                  <c:v>821</c:v>
                </c:pt>
                <c:pt idx="18">
                  <c:v>798</c:v>
                </c:pt>
                <c:pt idx="19">
                  <c:v>875</c:v>
                </c:pt>
                <c:pt idx="20">
                  <c:v>946</c:v>
                </c:pt>
                <c:pt idx="21">
                  <c:v>930</c:v>
                </c:pt>
                <c:pt idx="22" formatCode="#,##0">
                  <c:v>1005</c:v>
                </c:pt>
                <c:pt idx="23" formatCode="#,##0">
                  <c:v>1013</c:v>
                </c:pt>
                <c:pt idx="24" formatCode="#,##0">
                  <c:v>1028</c:v>
                </c:pt>
                <c:pt idx="25" formatCode="#,##0">
                  <c:v>1009</c:v>
                </c:pt>
                <c:pt idx="26" formatCode="#,##0">
                  <c:v>1111</c:v>
                </c:pt>
                <c:pt idx="27" formatCode="#,##0">
                  <c:v>1127</c:v>
                </c:pt>
                <c:pt idx="28" formatCode="#,##0">
                  <c:v>1204</c:v>
                </c:pt>
                <c:pt idx="29" formatCode="#,##0">
                  <c:v>1179</c:v>
                </c:pt>
                <c:pt idx="30" formatCode="#,##0">
                  <c:v>1185</c:v>
                </c:pt>
                <c:pt idx="31" formatCode="#,##0">
                  <c:v>1100</c:v>
                </c:pt>
                <c:pt idx="32" formatCode="#,##0">
                  <c:v>1100</c:v>
                </c:pt>
                <c:pt idx="33" formatCode="#,##0">
                  <c:v>1213</c:v>
                </c:pt>
                <c:pt idx="34" formatCode="#,##0">
                  <c:v>1318</c:v>
                </c:pt>
                <c:pt idx="35" formatCode="#,##0">
                  <c:v>1504</c:v>
                </c:pt>
                <c:pt idx="36" formatCode="#,##0">
                  <c:v>1491</c:v>
                </c:pt>
                <c:pt idx="37" formatCode="#,##0">
                  <c:v>1517</c:v>
                </c:pt>
                <c:pt idx="38" formatCode="#,##0">
                  <c:v>1665</c:v>
                </c:pt>
                <c:pt idx="39" formatCode="#,##0">
                  <c:v>1652</c:v>
                </c:pt>
                <c:pt idx="40" formatCode="#,##0">
                  <c:v>1643</c:v>
                </c:pt>
                <c:pt idx="41" formatCode="#,##0">
                  <c:v>1664</c:v>
                </c:pt>
                <c:pt idx="42" formatCode="#,##0">
                  <c:v>1737</c:v>
                </c:pt>
                <c:pt idx="43" formatCode="#,##0">
                  <c:v>1897</c:v>
                </c:pt>
                <c:pt idx="44" formatCode="#,##0">
                  <c:v>2797</c:v>
                </c:pt>
                <c:pt idx="45" formatCode="#,##0">
                  <c:v>3109</c:v>
                </c:pt>
                <c:pt idx="46" formatCode="#,##0">
                  <c:v>2971</c:v>
                </c:pt>
                <c:pt idx="47" formatCode="#,##0">
                  <c:v>2975</c:v>
                </c:pt>
                <c:pt idx="48" formatCode="#,##0">
                  <c:v>3000</c:v>
                </c:pt>
                <c:pt idx="49" formatCode="#,##0">
                  <c:v>3000</c:v>
                </c:pt>
                <c:pt idx="50" formatCode="_(* #,##0_);_(* \(#,##0\);_(* &quot;-&quot;??_);_(@_)">
                  <c:v>4338.38</c:v>
                </c:pt>
                <c:pt idx="51" formatCode="_(* #,##0_);_(* \(#,##0\);_(* &quot;-&quot;??_);_(@_)">
                  <c:v>4220.1000000000004</c:v>
                </c:pt>
                <c:pt idx="52" formatCode="_(* #,##0_);_(* \(#,##0\);_(* &quot;-&quot;??_);_(@_)">
                  <c:v>4944.21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Pak!$C$3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Pak!$D$3:$BD$3</c:f>
              <c:numCache>
                <c:formatCode>General</c:formatCode>
                <c:ptCount val="53"/>
                <c:pt idx="0">
                  <c:v>1</c:v>
                </c:pt>
                <c:pt idx="1">
                  <c:v>1</c:v>
                </c:pt>
                <c:pt idx="2">
                  <c:v>31</c:v>
                </c:pt>
                <c:pt idx="3">
                  <c:v>3</c:v>
                </c:pt>
                <c:pt idx="4">
                  <c:v>0</c:v>
                </c:pt>
                <c:pt idx="5">
                  <c:v>0</c:v>
                </c:pt>
                <c:pt idx="6">
                  <c:v>136</c:v>
                </c:pt>
                <c:pt idx="7">
                  <c:v>269</c:v>
                </c:pt>
                <c:pt idx="8">
                  <c:v>7</c:v>
                </c:pt>
                <c:pt idx="9">
                  <c:v>2</c:v>
                </c:pt>
                <c:pt idx="10">
                  <c:v>3</c:v>
                </c:pt>
                <c:pt idx="11">
                  <c:v>2</c:v>
                </c:pt>
                <c:pt idx="12">
                  <c:v>4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1</c:v>
                </c:pt>
                <c:pt idx="41">
                  <c:v>1</c:v>
                </c:pt>
                <c:pt idx="42">
                  <c:v>3</c:v>
                </c:pt>
                <c:pt idx="43">
                  <c:v>19</c:v>
                </c:pt>
                <c:pt idx="44">
                  <c:v>21</c:v>
                </c:pt>
                <c:pt idx="45">
                  <c:v>11</c:v>
                </c:pt>
                <c:pt idx="46">
                  <c:v>6</c:v>
                </c:pt>
                <c:pt idx="47">
                  <c:v>131</c:v>
                </c:pt>
                <c:pt idx="48">
                  <c:v>26</c:v>
                </c:pt>
                <c:pt idx="49">
                  <c:v>10</c:v>
                </c:pt>
                <c:pt idx="50" formatCode="_(* #,##0_);_(* \(#,##0\);_(* &quot;-&quot;??_);_(@_)">
                  <c:v>13.096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Pak!$C$4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Pak!$D$4:$BD$4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20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20</c:v>
                </c:pt>
                <c:pt idx="49">
                  <c:v>200</c:v>
                </c:pt>
                <c:pt idx="50" formatCode="_(* #,##0_);_(* \(#,##0\);_(* &quot;-&quot;??_);_(@_)">
                  <c:v>249.40600000000001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Pak!$C$5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Pak!$D$5:$BD$5</c:f>
              <c:numCache>
                <c:formatCode>General</c:formatCode>
                <c:ptCount val="53"/>
                <c:pt idx="0">
                  <c:v>440</c:v>
                </c:pt>
                <c:pt idx="1">
                  <c:v>489</c:v>
                </c:pt>
                <c:pt idx="2">
                  <c:v>515</c:v>
                </c:pt>
                <c:pt idx="3">
                  <c:v>529</c:v>
                </c:pt>
                <c:pt idx="4">
                  <c:v>528</c:v>
                </c:pt>
                <c:pt idx="5">
                  <c:v>540</c:v>
                </c:pt>
                <c:pt idx="6">
                  <c:v>723</c:v>
                </c:pt>
                <c:pt idx="7" formatCode="#,##0">
                  <c:v>1056</c:v>
                </c:pt>
                <c:pt idx="8">
                  <c:v>638</c:v>
                </c:pt>
                <c:pt idx="9">
                  <c:v>667</c:v>
                </c:pt>
                <c:pt idx="10">
                  <c:v>670</c:v>
                </c:pt>
                <c:pt idx="11">
                  <c:v>704</c:v>
                </c:pt>
                <c:pt idx="12">
                  <c:v>722</c:v>
                </c:pt>
                <c:pt idx="13">
                  <c:v>760</c:v>
                </c:pt>
                <c:pt idx="14">
                  <c:v>765</c:v>
                </c:pt>
                <c:pt idx="15">
                  <c:v>835</c:v>
                </c:pt>
                <c:pt idx="16">
                  <c:v>764</c:v>
                </c:pt>
                <c:pt idx="17">
                  <c:v>821</c:v>
                </c:pt>
                <c:pt idx="18">
                  <c:v>798</c:v>
                </c:pt>
                <c:pt idx="19">
                  <c:v>875</c:v>
                </c:pt>
                <c:pt idx="20">
                  <c:v>946</c:v>
                </c:pt>
                <c:pt idx="21">
                  <c:v>930</c:v>
                </c:pt>
                <c:pt idx="22" formatCode="#,##0">
                  <c:v>1005</c:v>
                </c:pt>
                <c:pt idx="23" formatCode="#,##0">
                  <c:v>1013</c:v>
                </c:pt>
                <c:pt idx="24" formatCode="#,##0">
                  <c:v>1028</c:v>
                </c:pt>
                <c:pt idx="25" formatCode="#,##0">
                  <c:v>1009</c:v>
                </c:pt>
                <c:pt idx="26" formatCode="#,##0">
                  <c:v>1111</c:v>
                </c:pt>
                <c:pt idx="27" formatCode="#,##0">
                  <c:v>1127</c:v>
                </c:pt>
                <c:pt idx="28" formatCode="#,##0">
                  <c:v>1204</c:v>
                </c:pt>
                <c:pt idx="29" formatCode="#,##0">
                  <c:v>1179</c:v>
                </c:pt>
                <c:pt idx="30" formatCode="#,##0">
                  <c:v>1185</c:v>
                </c:pt>
                <c:pt idx="31" formatCode="#,##0">
                  <c:v>1100</c:v>
                </c:pt>
                <c:pt idx="32" formatCode="#,##0">
                  <c:v>1100</c:v>
                </c:pt>
                <c:pt idx="33" formatCode="#,##0">
                  <c:v>1213</c:v>
                </c:pt>
                <c:pt idx="34" formatCode="#,##0">
                  <c:v>1318</c:v>
                </c:pt>
                <c:pt idx="35" formatCode="#,##0">
                  <c:v>1300</c:v>
                </c:pt>
                <c:pt idx="36" formatCode="#,##0">
                  <c:v>1300</c:v>
                </c:pt>
                <c:pt idx="37" formatCode="#,##0">
                  <c:v>1500</c:v>
                </c:pt>
                <c:pt idx="38" formatCode="#,##0">
                  <c:v>1750</c:v>
                </c:pt>
                <c:pt idx="39" formatCode="#,##0">
                  <c:v>1750</c:v>
                </c:pt>
                <c:pt idx="40" formatCode="#,##0">
                  <c:v>1500</c:v>
                </c:pt>
                <c:pt idx="41" formatCode="#,##0">
                  <c:v>1750</c:v>
                </c:pt>
                <c:pt idx="42" formatCode="#,##0">
                  <c:v>1750</c:v>
                </c:pt>
                <c:pt idx="43" formatCode="#,##0">
                  <c:v>1750</c:v>
                </c:pt>
                <c:pt idx="44" formatCode="#,##0">
                  <c:v>2700</c:v>
                </c:pt>
                <c:pt idx="45" formatCode="#,##0">
                  <c:v>3000</c:v>
                </c:pt>
                <c:pt idx="46" formatCode="#,##0">
                  <c:v>3000</c:v>
                </c:pt>
                <c:pt idx="47" formatCode="#,##0">
                  <c:v>3200</c:v>
                </c:pt>
                <c:pt idx="48" formatCode="#,##0">
                  <c:v>3000</c:v>
                </c:pt>
                <c:pt idx="49" formatCode="#,##0">
                  <c:v>3000</c:v>
                </c:pt>
                <c:pt idx="50" formatCode="_(* #,##0_);_(* \(#,##0\);_(* &quot;-&quot;??_);_(@_)">
                  <c:v>4102.07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58000"/>
        <c:axId val="317055256"/>
      </c:lineChart>
      <c:catAx>
        <c:axId val="317058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5256"/>
        <c:crosses val="autoZero"/>
        <c:auto val="1"/>
        <c:lblAlgn val="ctr"/>
        <c:lblOffset val="100"/>
        <c:noMultiLvlLbl val="0"/>
      </c:catAx>
      <c:valAx>
        <c:axId val="3170552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800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9.208808320465868E-2"/>
          <c:y val="0.85178901879689306"/>
          <c:w val="0.22186267659018788"/>
          <c:h val="0.1482109812031071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Pak!$C$6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Pak!$D$6:$BD$6</c:f>
              <c:numCache>
                <c:formatCode>#,##0</c:formatCode>
                <c:ptCount val="53"/>
                <c:pt idx="0">
                  <c:v>1398</c:v>
                </c:pt>
                <c:pt idx="1">
                  <c:v>1505</c:v>
                </c:pt>
                <c:pt idx="2">
                  <c:v>1690</c:v>
                </c:pt>
                <c:pt idx="3">
                  <c:v>1940</c:v>
                </c:pt>
                <c:pt idx="4">
                  <c:v>1747</c:v>
                </c:pt>
                <c:pt idx="5">
                  <c:v>1915</c:v>
                </c:pt>
                <c:pt idx="6">
                  <c:v>2139</c:v>
                </c:pt>
                <c:pt idx="7">
                  <c:v>2389</c:v>
                </c:pt>
                <c:pt idx="8">
                  <c:v>2429</c:v>
                </c:pt>
                <c:pt idx="9">
                  <c:v>2473</c:v>
                </c:pt>
                <c:pt idx="10">
                  <c:v>2500</c:v>
                </c:pt>
                <c:pt idx="11">
                  <c:v>3249</c:v>
                </c:pt>
                <c:pt idx="12">
                  <c:v>3100</c:v>
                </c:pt>
                <c:pt idx="13">
                  <c:v>2909</c:v>
                </c:pt>
                <c:pt idx="14">
                  <c:v>2802</c:v>
                </c:pt>
                <c:pt idx="15">
                  <c:v>2269</c:v>
                </c:pt>
                <c:pt idx="16">
                  <c:v>1921</c:v>
                </c:pt>
                <c:pt idx="17">
                  <c:v>2539</c:v>
                </c:pt>
                <c:pt idx="18">
                  <c:v>2132</c:v>
                </c:pt>
                <c:pt idx="19">
                  <c:v>3417</c:v>
                </c:pt>
                <c:pt idx="20">
                  <c:v>3280</c:v>
                </c:pt>
                <c:pt idx="21">
                  <c:v>3434</c:v>
                </c:pt>
                <c:pt idx="22">
                  <c:v>3782</c:v>
                </c:pt>
                <c:pt idx="23">
                  <c:v>2271</c:v>
                </c:pt>
                <c:pt idx="24">
                  <c:v>4630</c:v>
                </c:pt>
                <c:pt idx="25">
                  <c:v>5587</c:v>
                </c:pt>
                <c:pt idx="26">
                  <c:v>6062</c:v>
                </c:pt>
                <c:pt idx="27">
                  <c:v>6744</c:v>
                </c:pt>
                <c:pt idx="28">
                  <c:v>6551</c:v>
                </c:pt>
                <c:pt idx="29">
                  <c:v>6687</c:v>
                </c:pt>
                <c:pt idx="30">
                  <c:v>7522</c:v>
                </c:pt>
                <c:pt idx="31">
                  <c:v>10000</c:v>
                </c:pt>
                <c:pt idx="32">
                  <c:v>7073</c:v>
                </c:pt>
                <c:pt idx="33">
                  <c:v>6282</c:v>
                </c:pt>
                <c:pt idx="34">
                  <c:v>6250</c:v>
                </c:pt>
                <c:pt idx="35">
                  <c:v>8272</c:v>
                </c:pt>
                <c:pt idx="36">
                  <c:v>7319</c:v>
                </c:pt>
                <c:pt idx="37">
                  <c:v>7175</c:v>
                </c:pt>
                <c:pt idx="38">
                  <c:v>6863</c:v>
                </c:pt>
                <c:pt idx="39">
                  <c:v>8776</c:v>
                </c:pt>
                <c:pt idx="40">
                  <c:v>8379</c:v>
                </c:pt>
                <c:pt idx="41">
                  <c:v>8286</c:v>
                </c:pt>
                <c:pt idx="42">
                  <c:v>7972</c:v>
                </c:pt>
                <c:pt idx="43">
                  <c:v>7845</c:v>
                </c:pt>
                <c:pt idx="44">
                  <c:v>11138</c:v>
                </c:pt>
                <c:pt idx="45">
                  <c:v>9850</c:v>
                </c:pt>
                <c:pt idx="46">
                  <c:v>9600</c:v>
                </c:pt>
                <c:pt idx="47">
                  <c:v>8600</c:v>
                </c:pt>
                <c:pt idx="48">
                  <c:v>8700</c:v>
                </c:pt>
                <c:pt idx="49">
                  <c:v>9600</c:v>
                </c:pt>
                <c:pt idx="50" formatCode="_(* #,##0_);_(* \(#,##0\);_(* &quot;-&quot;??_);_(@_)">
                  <c:v>8700</c:v>
                </c:pt>
                <c:pt idx="51" formatCode="_(* #,##0_);_(* \(#,##0\);_(* &quot;-&quot;??_);_(@_)">
                  <c:v>2312</c:v>
                </c:pt>
                <c:pt idx="52" formatCode="_(* #,##0_);_(* \(#,##0\);_(* &quot;-&quot;??_);_(@_)">
                  <c:v>2215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Pak!$C$7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Pak!$D$7:$BD$7</c:f>
              <c:numCache>
                <c:formatCode>General</c:formatCode>
                <c:ptCount val="53"/>
                <c:pt idx="0">
                  <c:v>4</c:v>
                </c:pt>
                <c:pt idx="1">
                  <c:v>42</c:v>
                </c:pt>
                <c:pt idx="2">
                  <c:v>9</c:v>
                </c:pt>
                <c:pt idx="3">
                  <c:v>4</c:v>
                </c:pt>
                <c:pt idx="4">
                  <c:v>9</c:v>
                </c:pt>
                <c:pt idx="5">
                  <c:v>7</c:v>
                </c:pt>
                <c:pt idx="6">
                  <c:v>10</c:v>
                </c:pt>
                <c:pt idx="7">
                  <c:v>4</c:v>
                </c:pt>
                <c:pt idx="8">
                  <c:v>4</c:v>
                </c:pt>
                <c:pt idx="9">
                  <c:v>0</c:v>
                </c:pt>
                <c:pt idx="10">
                  <c:v>6</c:v>
                </c:pt>
                <c:pt idx="11">
                  <c:v>7</c:v>
                </c:pt>
                <c:pt idx="12">
                  <c:v>4</c:v>
                </c:pt>
                <c:pt idx="13">
                  <c:v>2</c:v>
                </c:pt>
                <c:pt idx="14">
                  <c:v>1</c:v>
                </c:pt>
                <c:pt idx="15">
                  <c:v>0</c:v>
                </c:pt>
                <c:pt idx="16">
                  <c:v>2</c:v>
                </c:pt>
                <c:pt idx="17">
                  <c:v>1</c:v>
                </c:pt>
                <c:pt idx="18">
                  <c:v>4</c:v>
                </c:pt>
                <c:pt idx="19">
                  <c:v>4</c:v>
                </c:pt>
                <c:pt idx="20">
                  <c:v>5</c:v>
                </c:pt>
                <c:pt idx="21">
                  <c:v>5</c:v>
                </c:pt>
                <c:pt idx="22">
                  <c:v>4</c:v>
                </c:pt>
                <c:pt idx="23">
                  <c:v>240</c:v>
                </c:pt>
                <c:pt idx="24">
                  <c:v>9</c:v>
                </c:pt>
                <c:pt idx="25">
                  <c:v>6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17</c:v>
                </c:pt>
                <c:pt idx="30">
                  <c:v>2</c:v>
                </c:pt>
                <c:pt idx="31">
                  <c:v>20</c:v>
                </c:pt>
                <c:pt idx="32">
                  <c:v>24</c:v>
                </c:pt>
                <c:pt idx="33">
                  <c:v>350</c:v>
                </c:pt>
                <c:pt idx="34">
                  <c:v>696</c:v>
                </c:pt>
                <c:pt idx="35">
                  <c:v>122</c:v>
                </c:pt>
                <c:pt idx="36">
                  <c:v>279</c:v>
                </c:pt>
                <c:pt idx="37">
                  <c:v>120</c:v>
                </c:pt>
                <c:pt idx="38">
                  <c:v>925</c:v>
                </c:pt>
                <c:pt idx="39">
                  <c:v>475</c:v>
                </c:pt>
                <c:pt idx="40">
                  <c:v>470</c:v>
                </c:pt>
                <c:pt idx="41">
                  <c:v>865</c:v>
                </c:pt>
                <c:pt idx="42">
                  <c:v>872</c:v>
                </c:pt>
                <c:pt idx="43" formatCode="#,##0">
                  <c:v>1805</c:v>
                </c:pt>
                <c:pt idx="44" formatCode="#,##0">
                  <c:v>1756</c:v>
                </c:pt>
                <c:pt idx="45" formatCode="#,##0">
                  <c:v>1615</c:v>
                </c:pt>
                <c:pt idx="46" formatCode="#,##0">
                  <c:v>2305</c:v>
                </c:pt>
                <c:pt idx="47" formatCode="#,##0">
                  <c:v>3907</c:v>
                </c:pt>
                <c:pt idx="48" formatCode="#,##0">
                  <c:v>1917</c:v>
                </c:pt>
                <c:pt idx="49" formatCode="#,##0">
                  <c:v>1800</c:v>
                </c:pt>
                <c:pt idx="50" formatCode="_(* #,##0_);_(* \(#,##0\);_(* &quot;-&quot;??_);_(@_)">
                  <c:v>1300</c:v>
                </c:pt>
                <c:pt idx="51" formatCode="_(* #,##0_);_(* \(#,##0\);_(* &quot;-&quot;??_);_(@_)">
                  <c:v>248.66499999999999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Pak!$C$8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Pak!$D$8:$BD$8</c:f>
              <c:numCache>
                <c:formatCode>General</c:formatCode>
                <c:ptCount val="53"/>
                <c:pt idx="0">
                  <c:v>244</c:v>
                </c:pt>
                <c:pt idx="1">
                  <c:v>299</c:v>
                </c:pt>
                <c:pt idx="2">
                  <c:v>683</c:v>
                </c:pt>
                <c:pt idx="3">
                  <c:v>689</c:v>
                </c:pt>
                <c:pt idx="4">
                  <c:v>485</c:v>
                </c:pt>
                <c:pt idx="5">
                  <c:v>492</c:v>
                </c:pt>
                <c:pt idx="6">
                  <c:v>558</c:v>
                </c:pt>
                <c:pt idx="7">
                  <c:v>887</c:v>
                </c:pt>
                <c:pt idx="8">
                  <c:v>606</c:v>
                </c:pt>
                <c:pt idx="9">
                  <c:v>393</c:v>
                </c:pt>
                <c:pt idx="10">
                  <c:v>473</c:v>
                </c:pt>
                <c:pt idx="11" formatCode="#,##0">
                  <c:v>1151</c:v>
                </c:pt>
                <c:pt idx="12">
                  <c:v>822</c:v>
                </c:pt>
                <c:pt idx="13">
                  <c:v>196</c:v>
                </c:pt>
                <c:pt idx="14" formatCode="#,##0">
                  <c:v>1060</c:v>
                </c:pt>
                <c:pt idx="15">
                  <c:v>418</c:v>
                </c:pt>
                <c:pt idx="16">
                  <c:v>65</c:v>
                </c:pt>
                <c:pt idx="17">
                  <c:v>471</c:v>
                </c:pt>
                <c:pt idx="18">
                  <c:v>246</c:v>
                </c:pt>
                <c:pt idx="19" formatCode="#,##0">
                  <c:v>1177</c:v>
                </c:pt>
                <c:pt idx="20" formatCode="#,##0">
                  <c:v>1489</c:v>
                </c:pt>
                <c:pt idx="21" formatCode="#,##0">
                  <c:v>1096</c:v>
                </c:pt>
                <c:pt idx="22" formatCode="#,##0">
                  <c:v>1272</c:v>
                </c:pt>
                <c:pt idx="23">
                  <c:v>377</c:v>
                </c:pt>
                <c:pt idx="24" formatCode="#,##0">
                  <c:v>1260</c:v>
                </c:pt>
                <c:pt idx="25" formatCode="#,##0">
                  <c:v>3146</c:v>
                </c:pt>
                <c:pt idx="26" formatCode="#,##0">
                  <c:v>2870</c:v>
                </c:pt>
                <c:pt idx="27" formatCode="#,##0">
                  <c:v>2358</c:v>
                </c:pt>
                <c:pt idx="28" formatCode="#,##0">
                  <c:v>3780</c:v>
                </c:pt>
                <c:pt idx="29" formatCode="#,##0">
                  <c:v>1371</c:v>
                </c:pt>
                <c:pt idx="30" formatCode="#,##0">
                  <c:v>1357</c:v>
                </c:pt>
                <c:pt idx="31" formatCode="#,##0">
                  <c:v>2059</c:v>
                </c:pt>
                <c:pt idx="32" formatCode="#,##0">
                  <c:v>1175</c:v>
                </c:pt>
                <c:pt idx="33">
                  <c:v>318</c:v>
                </c:pt>
                <c:pt idx="34">
                  <c:v>148</c:v>
                </c:pt>
                <c:pt idx="35" formatCode="#,##0">
                  <c:v>1433</c:v>
                </c:pt>
                <c:pt idx="36">
                  <c:v>119</c:v>
                </c:pt>
                <c:pt idx="37">
                  <c:v>380</c:v>
                </c:pt>
                <c:pt idx="38">
                  <c:v>10</c:v>
                </c:pt>
                <c:pt idx="39">
                  <c:v>415</c:v>
                </c:pt>
                <c:pt idx="40">
                  <c:v>582</c:v>
                </c:pt>
                <c:pt idx="41">
                  <c:v>180</c:v>
                </c:pt>
                <c:pt idx="42">
                  <c:v>231</c:v>
                </c:pt>
                <c:pt idx="43">
                  <c:v>170</c:v>
                </c:pt>
                <c:pt idx="44">
                  <c:v>558</c:v>
                </c:pt>
                <c:pt idx="45">
                  <c:v>288</c:v>
                </c:pt>
                <c:pt idx="46">
                  <c:v>217</c:v>
                </c:pt>
                <c:pt idx="47">
                  <c:v>269</c:v>
                </c:pt>
                <c:pt idx="48">
                  <c:v>357</c:v>
                </c:pt>
                <c:pt idx="49">
                  <c:v>730</c:v>
                </c:pt>
                <c:pt idx="50" formatCode="_(* #,##0_);_(* \(#,##0\);_(* &quot;-&quot;??_);_(@_)">
                  <c:v>400</c:v>
                </c:pt>
                <c:pt idx="51" formatCode="_(* #,##0_);_(* \(#,##0\);_(* &quot;-&quot;??_);_(@_)">
                  <c:v>142.37799999999999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Pak!$C$9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Pak!$D$9:$BD$9</c:f>
              <c:numCache>
                <c:formatCode>#,##0</c:formatCode>
                <c:ptCount val="53"/>
                <c:pt idx="0">
                  <c:v>1118</c:v>
                </c:pt>
                <c:pt idx="1">
                  <c:v>1128</c:v>
                </c:pt>
                <c:pt idx="2">
                  <c:v>1176</c:v>
                </c:pt>
                <c:pt idx="3">
                  <c:v>1255</c:v>
                </c:pt>
                <c:pt idx="4">
                  <c:v>1301</c:v>
                </c:pt>
                <c:pt idx="5">
                  <c:v>1305</c:v>
                </c:pt>
                <c:pt idx="6">
                  <c:v>1545</c:v>
                </c:pt>
                <c:pt idx="7">
                  <c:v>1548</c:v>
                </c:pt>
                <c:pt idx="8">
                  <c:v>1826</c:v>
                </c:pt>
                <c:pt idx="9">
                  <c:v>1981</c:v>
                </c:pt>
                <c:pt idx="10">
                  <c:v>2030</c:v>
                </c:pt>
                <c:pt idx="11">
                  <c:v>1986</c:v>
                </c:pt>
                <c:pt idx="12">
                  <c:v>2382</c:v>
                </c:pt>
                <c:pt idx="13">
                  <c:v>2377</c:v>
                </c:pt>
                <c:pt idx="14">
                  <c:v>1912</c:v>
                </c:pt>
                <c:pt idx="15">
                  <c:v>2146</c:v>
                </c:pt>
                <c:pt idx="16">
                  <c:v>1846</c:v>
                </c:pt>
                <c:pt idx="17">
                  <c:v>1997</c:v>
                </c:pt>
                <c:pt idx="18">
                  <c:v>1890</c:v>
                </c:pt>
                <c:pt idx="19">
                  <c:v>2000</c:v>
                </c:pt>
                <c:pt idx="20">
                  <c:v>2028</c:v>
                </c:pt>
                <c:pt idx="21">
                  <c:v>2329</c:v>
                </c:pt>
                <c:pt idx="22">
                  <c:v>2437</c:v>
                </c:pt>
                <c:pt idx="23">
                  <c:v>2174</c:v>
                </c:pt>
                <c:pt idx="24">
                  <c:v>2671</c:v>
                </c:pt>
                <c:pt idx="25">
                  <c:v>2524</c:v>
                </c:pt>
                <c:pt idx="26">
                  <c:v>3173</c:v>
                </c:pt>
                <c:pt idx="27">
                  <c:v>3810</c:v>
                </c:pt>
                <c:pt idx="28">
                  <c:v>3726</c:v>
                </c:pt>
                <c:pt idx="29">
                  <c:v>4880</c:v>
                </c:pt>
                <c:pt idx="30">
                  <c:v>5748</c:v>
                </c:pt>
                <c:pt idx="31">
                  <c:v>6582</c:v>
                </c:pt>
                <c:pt idx="32">
                  <c:v>6734</c:v>
                </c:pt>
                <c:pt idx="33">
                  <c:v>6784</c:v>
                </c:pt>
                <c:pt idx="34">
                  <c:v>6800</c:v>
                </c:pt>
                <c:pt idx="35">
                  <c:v>7223</c:v>
                </c:pt>
                <c:pt idx="36">
                  <c:v>7023</c:v>
                </c:pt>
                <c:pt idx="37">
                  <c:v>7212</c:v>
                </c:pt>
                <c:pt idx="38">
                  <c:v>7025</c:v>
                </c:pt>
                <c:pt idx="39">
                  <c:v>7675</c:v>
                </c:pt>
                <c:pt idx="40">
                  <c:v>8125</c:v>
                </c:pt>
                <c:pt idx="41">
                  <c:v>8525</c:v>
                </c:pt>
                <c:pt idx="42">
                  <c:v>9425</c:v>
                </c:pt>
                <c:pt idx="43">
                  <c:v>9625</c:v>
                </c:pt>
                <c:pt idx="44">
                  <c:v>10525</c:v>
                </c:pt>
                <c:pt idx="45">
                  <c:v>11525</c:v>
                </c:pt>
                <c:pt idx="46">
                  <c:v>12025</c:v>
                </c:pt>
                <c:pt idx="47">
                  <c:v>12025</c:v>
                </c:pt>
                <c:pt idx="48">
                  <c:v>11275</c:v>
                </c:pt>
                <c:pt idx="49">
                  <c:v>10925</c:v>
                </c:pt>
                <c:pt idx="50" formatCode="_(* #,##0_);_(* \(#,##0\);_(* &quot;-&quot;??_);_(@_)">
                  <c:v>10525</c:v>
                </c:pt>
                <c:pt idx="51" formatCode="_(* #,##0_);_(* \(#,##0\);_(* &quot;-&quot;??_);_(@_)">
                  <c:v>2418.2869999999998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57216"/>
        <c:axId val="317058784"/>
      </c:lineChart>
      <c:catAx>
        <c:axId val="3170572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8784"/>
        <c:crosses val="autoZero"/>
        <c:auto val="1"/>
        <c:lblAlgn val="ctr"/>
        <c:lblOffset val="100"/>
        <c:noMultiLvlLbl val="0"/>
      </c:catAx>
      <c:valAx>
        <c:axId val="3170587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5721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92222095877489"/>
          <c:h val="0.1078069407990667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037541243747825"/>
          <c:y val="0.16144916311690582"/>
          <c:w val="0.8094370975544702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Pak!$C$10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Pak!$D$10:$BD$10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</c:v>
                </c:pt>
                <c:pt idx="22">
                  <c:v>3</c:v>
                </c:pt>
                <c:pt idx="23">
                  <c:v>1</c:v>
                </c:pt>
                <c:pt idx="24">
                  <c:v>2</c:v>
                </c:pt>
                <c:pt idx="25">
                  <c:v>5</c:v>
                </c:pt>
                <c:pt idx="26">
                  <c:v>5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6</c:v>
                </c:pt>
                <c:pt idx="32">
                  <c:v>10</c:v>
                </c:pt>
                <c:pt idx="33">
                  <c:v>14</c:v>
                </c:pt>
                <c:pt idx="34">
                  <c:v>14</c:v>
                </c:pt>
                <c:pt idx="35">
                  <c:v>7</c:v>
                </c:pt>
                <c:pt idx="36">
                  <c:v>3</c:v>
                </c:pt>
                <c:pt idx="37">
                  <c:v>7</c:v>
                </c:pt>
                <c:pt idx="38">
                  <c:v>8</c:v>
                </c:pt>
                <c:pt idx="39">
                  <c:v>1</c:v>
                </c:pt>
                <c:pt idx="40">
                  <c:v>2</c:v>
                </c:pt>
                <c:pt idx="41">
                  <c:v>1</c:v>
                </c:pt>
                <c:pt idx="42">
                  <c:v>2</c:v>
                </c:pt>
                <c:pt idx="43">
                  <c:v>1</c:v>
                </c:pt>
                <c:pt idx="44">
                  <c:v>1</c:v>
                </c:pt>
                <c:pt idx="45">
                  <c:v>2</c:v>
                </c:pt>
                <c:pt idx="46">
                  <c:v>2</c:v>
                </c:pt>
                <c:pt idx="47">
                  <c:v>2</c:v>
                </c:pt>
                <c:pt idx="48">
                  <c:v>2</c:v>
                </c:pt>
                <c:pt idx="49">
                  <c:v>2</c:v>
                </c:pt>
                <c:pt idx="50" formatCode="_(* #,##0_);_(* \(#,##0\);_(* &quot;-&quot;??_);_(@_)">
                  <c:v>2</c:v>
                </c:pt>
                <c:pt idx="51" formatCode="_(* #,##0_);_(* \(#,##0\);_(* &quot;-&quot;??_);_(@_)">
                  <c:v>8.8999999999999996E-2</c:v>
                </c:pt>
                <c:pt idx="52" formatCode="_(* #,##0_);_(* \(#,##0\);_(* &quot;-&quot;??_);_(@_)">
                  <c:v>1.7000000000000001E-2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Pak!$C$11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Pak!$D$11:$BD$11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12</c:v>
                </c:pt>
                <c:pt idx="34">
                  <c:v>25</c:v>
                </c:pt>
                <c:pt idx="35">
                  <c:v>11</c:v>
                </c:pt>
                <c:pt idx="36">
                  <c:v>33</c:v>
                </c:pt>
                <c:pt idx="37">
                  <c:v>0</c:v>
                </c:pt>
                <c:pt idx="38">
                  <c:v>0</c:v>
                </c:pt>
                <c:pt idx="39">
                  <c:v>50</c:v>
                </c:pt>
                <c:pt idx="40">
                  <c:v>162</c:v>
                </c:pt>
                <c:pt idx="41">
                  <c:v>301</c:v>
                </c:pt>
                <c:pt idx="42">
                  <c:v>87</c:v>
                </c:pt>
                <c:pt idx="43">
                  <c:v>79</c:v>
                </c:pt>
                <c:pt idx="44">
                  <c:v>0</c:v>
                </c:pt>
                <c:pt idx="45">
                  <c:v>12</c:v>
                </c:pt>
                <c:pt idx="46">
                  <c:v>42</c:v>
                </c:pt>
                <c:pt idx="47">
                  <c:v>0</c:v>
                </c:pt>
                <c:pt idx="48">
                  <c:v>0</c:v>
                </c:pt>
                <c:pt idx="49">
                  <c:v>10</c:v>
                </c:pt>
                <c:pt idx="50" formatCode="_(* #,##0_);_(* \(#,##0\);_(* &quot;-&quot;??_);_(@_)">
                  <c:v>10</c:v>
                </c:pt>
                <c:pt idx="51" formatCode="_(* #,##0_);_(* \(#,##0\);_(* &quot;-&quot;??_);_(@_)">
                  <c:v>3.0000000000000001E-3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Pak!$C$12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Pak!$D$12:$BD$12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</c:v>
                </c:pt>
                <c:pt idx="22">
                  <c:v>3</c:v>
                </c:pt>
                <c:pt idx="23">
                  <c:v>1</c:v>
                </c:pt>
                <c:pt idx="24">
                  <c:v>2</c:v>
                </c:pt>
                <c:pt idx="25">
                  <c:v>5</c:v>
                </c:pt>
                <c:pt idx="26">
                  <c:v>5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6</c:v>
                </c:pt>
                <c:pt idx="32">
                  <c:v>10</c:v>
                </c:pt>
                <c:pt idx="33">
                  <c:v>26</c:v>
                </c:pt>
                <c:pt idx="34">
                  <c:v>39</c:v>
                </c:pt>
                <c:pt idx="35">
                  <c:v>18</c:v>
                </c:pt>
                <c:pt idx="36">
                  <c:v>36</c:v>
                </c:pt>
                <c:pt idx="37">
                  <c:v>7</c:v>
                </c:pt>
                <c:pt idx="38">
                  <c:v>8</c:v>
                </c:pt>
                <c:pt idx="39">
                  <c:v>51</c:v>
                </c:pt>
                <c:pt idx="40">
                  <c:v>164</c:v>
                </c:pt>
                <c:pt idx="41">
                  <c:v>302</c:v>
                </c:pt>
                <c:pt idx="42">
                  <c:v>89</c:v>
                </c:pt>
                <c:pt idx="43">
                  <c:v>80</c:v>
                </c:pt>
                <c:pt idx="44">
                  <c:v>1</c:v>
                </c:pt>
                <c:pt idx="45">
                  <c:v>14</c:v>
                </c:pt>
                <c:pt idx="46">
                  <c:v>32</c:v>
                </c:pt>
                <c:pt idx="47">
                  <c:v>14</c:v>
                </c:pt>
                <c:pt idx="48">
                  <c:v>2</c:v>
                </c:pt>
                <c:pt idx="49">
                  <c:v>12</c:v>
                </c:pt>
                <c:pt idx="50" formatCode="_(* #,##0_);_(* \(#,##0\);_(* &quot;-&quot;??_);_(@_)">
                  <c:v>12</c:v>
                </c:pt>
                <c:pt idx="51" formatCode="_(* #,##0_);_(* \(#,##0\);_(* &quot;-&quot;??_);_(@_)">
                  <c:v>9.1999999999999998E-2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62704"/>
        <c:axId val="317061136"/>
      </c:lineChart>
      <c:catAx>
        <c:axId val="317062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61136"/>
        <c:crosses val="autoZero"/>
        <c:auto val="1"/>
        <c:lblAlgn val="ctr"/>
        <c:lblOffset val="100"/>
        <c:noMultiLvlLbl val="0"/>
      </c:catAx>
      <c:valAx>
        <c:axId val="3170611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6270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13756580223585532"/>
          <c:h val="0.107807002848048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Pak!$C$13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Pak!$D$13:$BD$13</c:f>
              <c:numCache>
                <c:formatCode>#,##0</c:formatCode>
                <c:ptCount val="53"/>
                <c:pt idx="0">
                  <c:v>1030</c:v>
                </c:pt>
                <c:pt idx="1">
                  <c:v>1127</c:v>
                </c:pt>
                <c:pt idx="2">
                  <c:v>1096</c:v>
                </c:pt>
                <c:pt idx="3">
                  <c:v>1192</c:v>
                </c:pt>
                <c:pt idx="4">
                  <c:v>1351</c:v>
                </c:pt>
                <c:pt idx="5">
                  <c:v>1317</c:v>
                </c:pt>
                <c:pt idx="6">
                  <c:v>1365</c:v>
                </c:pt>
                <c:pt idx="7">
                  <c:v>1499</c:v>
                </c:pt>
                <c:pt idx="8">
                  <c:v>2032</c:v>
                </c:pt>
                <c:pt idx="9">
                  <c:v>2401</c:v>
                </c:pt>
                <c:pt idx="10">
                  <c:v>2200</c:v>
                </c:pt>
                <c:pt idx="11">
                  <c:v>2226</c:v>
                </c:pt>
                <c:pt idx="12">
                  <c:v>2288</c:v>
                </c:pt>
                <c:pt idx="13">
                  <c:v>2455</c:v>
                </c:pt>
                <c:pt idx="14">
                  <c:v>2310</c:v>
                </c:pt>
                <c:pt idx="15">
                  <c:v>2617</c:v>
                </c:pt>
                <c:pt idx="16">
                  <c:v>2737</c:v>
                </c:pt>
                <c:pt idx="17">
                  <c:v>2950</c:v>
                </c:pt>
                <c:pt idx="18">
                  <c:v>3272</c:v>
                </c:pt>
                <c:pt idx="19">
                  <c:v>3216</c:v>
                </c:pt>
                <c:pt idx="20">
                  <c:v>3123</c:v>
                </c:pt>
                <c:pt idx="21">
                  <c:v>3430</c:v>
                </c:pt>
                <c:pt idx="22">
                  <c:v>3445</c:v>
                </c:pt>
                <c:pt idx="23">
                  <c:v>3339</c:v>
                </c:pt>
                <c:pt idx="24">
                  <c:v>3315</c:v>
                </c:pt>
                <c:pt idx="25">
                  <c:v>2919</c:v>
                </c:pt>
                <c:pt idx="26">
                  <c:v>3486</c:v>
                </c:pt>
                <c:pt idx="27">
                  <c:v>3241</c:v>
                </c:pt>
                <c:pt idx="28">
                  <c:v>3200</c:v>
                </c:pt>
                <c:pt idx="29">
                  <c:v>3220</c:v>
                </c:pt>
                <c:pt idx="30">
                  <c:v>3265</c:v>
                </c:pt>
                <c:pt idx="31">
                  <c:v>3243</c:v>
                </c:pt>
                <c:pt idx="32">
                  <c:v>3116</c:v>
                </c:pt>
                <c:pt idx="33">
                  <c:v>3995</c:v>
                </c:pt>
                <c:pt idx="34">
                  <c:v>3447</c:v>
                </c:pt>
                <c:pt idx="35">
                  <c:v>3967</c:v>
                </c:pt>
                <c:pt idx="36">
                  <c:v>4307</c:v>
                </c:pt>
                <c:pt idx="37">
                  <c:v>4333</c:v>
                </c:pt>
                <c:pt idx="38">
                  <c:v>4674</c:v>
                </c:pt>
                <c:pt idx="39">
                  <c:v>5156</c:v>
                </c:pt>
                <c:pt idx="40">
                  <c:v>4802</c:v>
                </c:pt>
                <c:pt idx="41">
                  <c:v>3882</c:v>
                </c:pt>
                <c:pt idx="42">
                  <c:v>4479</c:v>
                </c:pt>
                <c:pt idx="43">
                  <c:v>4848</c:v>
                </c:pt>
                <c:pt idx="44">
                  <c:v>5025</c:v>
                </c:pt>
                <c:pt idx="45">
                  <c:v>5547</c:v>
                </c:pt>
                <c:pt idx="46">
                  <c:v>5450</c:v>
                </c:pt>
                <c:pt idx="47">
                  <c:v>5700</c:v>
                </c:pt>
                <c:pt idx="48">
                  <c:v>6900</c:v>
                </c:pt>
                <c:pt idx="49">
                  <c:v>6800</c:v>
                </c:pt>
                <c:pt idx="50" formatCode="_(* #,##0_);_(* \(#,##0\);_(* &quot;-&quot;??_);_(@_)">
                  <c:v>5000</c:v>
                </c:pt>
                <c:pt idx="51" formatCode="_(* #,##0_);_(* \(#,##0\);_(* &quot;-&quot;??_);_(@_)">
                  <c:v>6160.4</c:v>
                </c:pt>
                <c:pt idx="52" formatCode="_(* #,##0_);_(* \(#,##0\);_(* &quot;-&quot;??_);_(@_)">
                  <c:v>5535.9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Pak!$C$14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Pak!$D$14:$BD$14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109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 formatCode="_(* #,##0_);_(* \(#,##0\);_(* &quot;-&quot;??_);_(@_)">
                  <c:v>0</c:v>
                </c:pt>
                <c:pt idx="51" formatCode="_(* #,##0_);_(* \(#,##0\);_(* &quot;-&quot;??_);_(@_)">
                  <c:v>21.052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Pak!$C$15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Pak!$D$15:$BD$15</c:f>
              <c:numCache>
                <c:formatCode>General</c:formatCode>
                <c:ptCount val="53"/>
                <c:pt idx="0">
                  <c:v>49</c:v>
                </c:pt>
                <c:pt idx="1">
                  <c:v>130</c:v>
                </c:pt>
                <c:pt idx="2">
                  <c:v>136</c:v>
                </c:pt>
                <c:pt idx="3">
                  <c:v>134</c:v>
                </c:pt>
                <c:pt idx="4">
                  <c:v>184</c:v>
                </c:pt>
                <c:pt idx="5">
                  <c:v>148</c:v>
                </c:pt>
                <c:pt idx="6">
                  <c:v>182</c:v>
                </c:pt>
                <c:pt idx="7">
                  <c:v>122</c:v>
                </c:pt>
                <c:pt idx="8">
                  <c:v>140</c:v>
                </c:pt>
                <c:pt idx="9">
                  <c:v>91</c:v>
                </c:pt>
                <c:pt idx="10">
                  <c:v>182</c:v>
                </c:pt>
                <c:pt idx="11">
                  <c:v>198</c:v>
                </c:pt>
                <c:pt idx="12">
                  <c:v>789</c:v>
                </c:pt>
                <c:pt idx="13">
                  <c:v>505</c:v>
                </c:pt>
                <c:pt idx="14">
                  <c:v>470</c:v>
                </c:pt>
                <c:pt idx="15">
                  <c:v>763</c:v>
                </c:pt>
                <c:pt idx="16">
                  <c:v>883</c:v>
                </c:pt>
                <c:pt idx="17">
                  <c:v>810</c:v>
                </c:pt>
                <c:pt idx="18" formatCode="#,##0">
                  <c:v>1015</c:v>
                </c:pt>
                <c:pt idx="19" formatCode="#,##0">
                  <c:v>1086</c:v>
                </c:pt>
                <c:pt idx="20" formatCode="#,##0">
                  <c:v>1163</c:v>
                </c:pt>
                <c:pt idx="21">
                  <c:v>840</c:v>
                </c:pt>
                <c:pt idx="22" formatCode="#,##0">
                  <c:v>1146</c:v>
                </c:pt>
                <c:pt idx="23" formatCode="#,##0">
                  <c:v>1172</c:v>
                </c:pt>
                <c:pt idx="24">
                  <c:v>836</c:v>
                </c:pt>
                <c:pt idx="25" formatCode="#,##0">
                  <c:v>1297</c:v>
                </c:pt>
                <c:pt idx="26" formatCode="#,##0">
                  <c:v>1300</c:v>
                </c:pt>
                <c:pt idx="27">
                  <c:v>999</c:v>
                </c:pt>
                <c:pt idx="28">
                  <c:v>792</c:v>
                </c:pt>
                <c:pt idx="29">
                  <c:v>749</c:v>
                </c:pt>
                <c:pt idx="30" formatCode="#,##0">
                  <c:v>1274</c:v>
                </c:pt>
                <c:pt idx="31" formatCode="#,##0">
                  <c:v>1419</c:v>
                </c:pt>
                <c:pt idx="32">
                  <c:v>918</c:v>
                </c:pt>
                <c:pt idx="33" formatCode="#,##0">
                  <c:v>1232</c:v>
                </c:pt>
                <c:pt idx="34" formatCode="#,##0">
                  <c:v>1660</c:v>
                </c:pt>
                <c:pt idx="35" formatCode="#,##0">
                  <c:v>1632</c:v>
                </c:pt>
                <c:pt idx="36" formatCode="#,##0">
                  <c:v>1834</c:v>
                </c:pt>
                <c:pt idx="37" formatCode="#,##0">
                  <c:v>2099</c:v>
                </c:pt>
                <c:pt idx="38" formatCode="#,##0">
                  <c:v>1837</c:v>
                </c:pt>
                <c:pt idx="39" formatCode="#,##0">
                  <c:v>2104</c:v>
                </c:pt>
                <c:pt idx="40" formatCode="#,##0">
                  <c:v>2429</c:v>
                </c:pt>
                <c:pt idx="41" formatCode="#,##0">
                  <c:v>1628</c:v>
                </c:pt>
                <c:pt idx="42" formatCode="#,##0">
                  <c:v>1992</c:v>
                </c:pt>
                <c:pt idx="43" formatCode="#,##0">
                  <c:v>1868</c:v>
                </c:pt>
                <c:pt idx="44" formatCode="#,##0">
                  <c:v>2801</c:v>
                </c:pt>
                <c:pt idx="45" formatCode="#,##0">
                  <c:v>3664</c:v>
                </c:pt>
                <c:pt idx="46" formatCode="#,##0">
                  <c:v>2839</c:v>
                </c:pt>
                <c:pt idx="47" formatCode="#,##0">
                  <c:v>2982</c:v>
                </c:pt>
                <c:pt idx="48" formatCode="#,##0">
                  <c:v>2910</c:v>
                </c:pt>
                <c:pt idx="49" formatCode="#,##0">
                  <c:v>4000</c:v>
                </c:pt>
                <c:pt idx="50" formatCode="_(* #,##0_);_(* \(#,##0\);_(* &quot;-&quot;??_);_(@_)">
                  <c:v>2650</c:v>
                </c:pt>
                <c:pt idx="51" formatCode="_(* #,##0_);_(* \(#,##0\);_(* &quot;-&quot;??_);_(@_)">
                  <c:v>3412.4989999999998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Pak!$C$16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Pak!$D$16:$BD$16</c:f>
              <c:numCache>
                <c:formatCode>General</c:formatCode>
                <c:ptCount val="53"/>
                <c:pt idx="0">
                  <c:v>981</c:v>
                </c:pt>
                <c:pt idx="1">
                  <c:v>997</c:v>
                </c:pt>
                <c:pt idx="2">
                  <c:v>960</c:v>
                </c:pt>
                <c:pt idx="3" formatCode="#,##0">
                  <c:v>1058</c:v>
                </c:pt>
                <c:pt idx="4" formatCode="#,##0">
                  <c:v>1167</c:v>
                </c:pt>
                <c:pt idx="5" formatCode="#,##0">
                  <c:v>1169</c:v>
                </c:pt>
                <c:pt idx="6" formatCode="#,##0">
                  <c:v>1183</c:v>
                </c:pt>
                <c:pt idx="7" formatCode="#,##0">
                  <c:v>1377</c:v>
                </c:pt>
                <c:pt idx="8" formatCode="#,##0">
                  <c:v>1892</c:v>
                </c:pt>
                <c:pt idx="9" formatCode="#,##0">
                  <c:v>2310</c:v>
                </c:pt>
                <c:pt idx="10" formatCode="#,##0">
                  <c:v>2018</c:v>
                </c:pt>
                <c:pt idx="11" formatCode="#,##0">
                  <c:v>1986</c:v>
                </c:pt>
                <c:pt idx="12" formatCode="#,##0">
                  <c:v>1813</c:v>
                </c:pt>
                <c:pt idx="13" formatCode="#,##0">
                  <c:v>1857</c:v>
                </c:pt>
                <c:pt idx="14" formatCode="#,##0">
                  <c:v>1857</c:v>
                </c:pt>
                <c:pt idx="15" formatCode="#,##0">
                  <c:v>1961</c:v>
                </c:pt>
                <c:pt idx="16" formatCode="#,##0">
                  <c:v>1940</c:v>
                </c:pt>
                <c:pt idx="17" formatCode="#,##0">
                  <c:v>1947</c:v>
                </c:pt>
                <c:pt idx="18" formatCode="#,##0">
                  <c:v>2118</c:v>
                </c:pt>
                <c:pt idx="19" formatCode="#,##0">
                  <c:v>2389</c:v>
                </c:pt>
                <c:pt idx="20" formatCode="#,##0">
                  <c:v>1981</c:v>
                </c:pt>
                <c:pt idx="21" formatCode="#,##0">
                  <c:v>2379</c:v>
                </c:pt>
                <c:pt idx="22" formatCode="#,##0">
                  <c:v>2250</c:v>
                </c:pt>
                <c:pt idx="23" formatCode="#,##0">
                  <c:v>2120</c:v>
                </c:pt>
                <c:pt idx="24" formatCode="#,##0">
                  <c:v>2200</c:v>
                </c:pt>
                <c:pt idx="25" formatCode="#,##0">
                  <c:v>1857</c:v>
                </c:pt>
                <c:pt idx="26" formatCode="#,##0">
                  <c:v>2050</c:v>
                </c:pt>
                <c:pt idx="27" formatCode="#,##0">
                  <c:v>2139</c:v>
                </c:pt>
                <c:pt idx="28" formatCode="#,##0">
                  <c:v>2100</c:v>
                </c:pt>
                <c:pt idx="29" formatCode="#,##0">
                  <c:v>2250</c:v>
                </c:pt>
                <c:pt idx="30" formatCode="#,##0">
                  <c:v>2100</c:v>
                </c:pt>
                <c:pt idx="31" formatCode="#,##0">
                  <c:v>2150</c:v>
                </c:pt>
                <c:pt idx="32" formatCode="#,##0">
                  <c:v>2250</c:v>
                </c:pt>
                <c:pt idx="33" formatCode="#,##0">
                  <c:v>2300</c:v>
                </c:pt>
                <c:pt idx="34" formatCode="#,##0">
                  <c:v>2400</c:v>
                </c:pt>
                <c:pt idx="35" formatCode="#,##0">
                  <c:v>2531</c:v>
                </c:pt>
                <c:pt idx="36" formatCode="#,##0">
                  <c:v>2550</c:v>
                </c:pt>
                <c:pt idx="37" formatCode="#,##0">
                  <c:v>2550</c:v>
                </c:pt>
                <c:pt idx="38" formatCode="#,##0">
                  <c:v>2575</c:v>
                </c:pt>
                <c:pt idx="39" formatCode="#,##0">
                  <c:v>2600</c:v>
                </c:pt>
                <c:pt idx="40" formatCode="#,##0">
                  <c:v>2615</c:v>
                </c:pt>
                <c:pt idx="41" formatCode="#,##0">
                  <c:v>2540</c:v>
                </c:pt>
                <c:pt idx="42" formatCode="#,##0">
                  <c:v>2545</c:v>
                </c:pt>
                <c:pt idx="43" formatCode="#,##0">
                  <c:v>2595</c:v>
                </c:pt>
                <c:pt idx="44" formatCode="#,##0">
                  <c:v>2550</c:v>
                </c:pt>
                <c:pt idx="45" formatCode="#,##0">
                  <c:v>1896</c:v>
                </c:pt>
                <c:pt idx="46" formatCode="#,##0">
                  <c:v>2207</c:v>
                </c:pt>
                <c:pt idx="47" formatCode="#,##0">
                  <c:v>2718</c:v>
                </c:pt>
                <c:pt idx="48" formatCode="#,##0">
                  <c:v>3490</c:v>
                </c:pt>
                <c:pt idx="49" formatCode="#,##0">
                  <c:v>2900</c:v>
                </c:pt>
                <c:pt idx="50" formatCode="#,##0">
                  <c:v>3000</c:v>
                </c:pt>
                <c:pt idx="51" formatCode="_(* #,##0_);_(* \(#,##0\);_(* &quot;-&quot;??_);_(@_)">
                  <c:v>2768.9529999999995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63880"/>
        <c:axId val="317061528"/>
      </c:lineChart>
      <c:catAx>
        <c:axId val="317063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61528"/>
        <c:crosses val="autoZero"/>
        <c:auto val="1"/>
        <c:lblAlgn val="ctr"/>
        <c:lblOffset val="100"/>
        <c:noMultiLvlLbl val="0"/>
      </c:catAx>
      <c:valAx>
        <c:axId val="31706152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6388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349385338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Pak!$C$17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Pak!$D$17:$BD$17</c:f>
              <c:numCache>
                <c:formatCode>General</c:formatCode>
                <c:ptCount val="53"/>
                <c:pt idx="0">
                  <c:v>220</c:v>
                </c:pt>
                <c:pt idx="1">
                  <c:v>248</c:v>
                </c:pt>
                <c:pt idx="2">
                  <c:v>251</c:v>
                </c:pt>
                <c:pt idx="3">
                  <c:v>238</c:v>
                </c:pt>
                <c:pt idx="4">
                  <c:v>293</c:v>
                </c:pt>
                <c:pt idx="5">
                  <c:v>274</c:v>
                </c:pt>
                <c:pt idx="6">
                  <c:v>277</c:v>
                </c:pt>
                <c:pt idx="7">
                  <c:v>291</c:v>
                </c:pt>
                <c:pt idx="8">
                  <c:v>262</c:v>
                </c:pt>
                <c:pt idx="9">
                  <c:v>304</c:v>
                </c:pt>
                <c:pt idx="10">
                  <c:v>329</c:v>
                </c:pt>
                <c:pt idx="11">
                  <c:v>312</c:v>
                </c:pt>
                <c:pt idx="12">
                  <c:v>302</c:v>
                </c:pt>
                <c:pt idx="13">
                  <c:v>378</c:v>
                </c:pt>
                <c:pt idx="14">
                  <c:v>265</c:v>
                </c:pt>
                <c:pt idx="15">
                  <c:v>281</c:v>
                </c:pt>
                <c:pt idx="16">
                  <c:v>261</c:v>
                </c:pt>
                <c:pt idx="17">
                  <c:v>284</c:v>
                </c:pt>
                <c:pt idx="18">
                  <c:v>252</c:v>
                </c:pt>
                <c:pt idx="19">
                  <c:v>249</c:v>
                </c:pt>
                <c:pt idx="20">
                  <c:v>230</c:v>
                </c:pt>
                <c:pt idx="21">
                  <c:v>225</c:v>
                </c:pt>
                <c:pt idx="22">
                  <c:v>222</c:v>
                </c:pt>
                <c:pt idx="23">
                  <c:v>222</c:v>
                </c:pt>
                <c:pt idx="24">
                  <c:v>230</c:v>
                </c:pt>
                <c:pt idx="25">
                  <c:v>218</c:v>
                </c:pt>
                <c:pt idx="26">
                  <c:v>235</c:v>
                </c:pt>
                <c:pt idx="27">
                  <c:v>181</c:v>
                </c:pt>
                <c:pt idx="28">
                  <c:v>248</c:v>
                </c:pt>
                <c:pt idx="29">
                  <c:v>262</c:v>
                </c:pt>
                <c:pt idx="30">
                  <c:v>239</c:v>
                </c:pt>
                <c:pt idx="31">
                  <c:v>225</c:v>
                </c:pt>
                <c:pt idx="32">
                  <c:v>238</c:v>
                </c:pt>
                <c:pt idx="33">
                  <c:v>212</c:v>
                </c:pt>
                <c:pt idx="34">
                  <c:v>234</c:v>
                </c:pt>
                <c:pt idx="35">
                  <c:v>255</c:v>
                </c:pt>
                <c:pt idx="36">
                  <c:v>219</c:v>
                </c:pt>
                <c:pt idx="37">
                  <c:v>231</c:v>
                </c:pt>
                <c:pt idx="38">
                  <c:v>228</c:v>
                </c:pt>
                <c:pt idx="39">
                  <c:v>220</c:v>
                </c:pt>
                <c:pt idx="40">
                  <c:v>219</c:v>
                </c:pt>
                <c:pt idx="41">
                  <c:v>222</c:v>
                </c:pt>
                <c:pt idx="42">
                  <c:v>203</c:v>
                </c:pt>
                <c:pt idx="43">
                  <c:v>238</c:v>
                </c:pt>
                <c:pt idx="44">
                  <c:v>186</c:v>
                </c:pt>
                <c:pt idx="45">
                  <c:v>153</c:v>
                </c:pt>
                <c:pt idx="46">
                  <c:v>155</c:v>
                </c:pt>
                <c:pt idx="47">
                  <c:v>151</c:v>
                </c:pt>
                <c:pt idx="48">
                  <c:v>145</c:v>
                </c:pt>
                <c:pt idx="49">
                  <c:v>145</c:v>
                </c:pt>
                <c:pt idx="50">
                  <c:v>145</c:v>
                </c:pt>
                <c:pt idx="51" formatCode="_(* #,##0_);_(* \(#,##0\);_(* &quot;-&quot;??_);_(@_)">
                  <c:v>137</c:v>
                </c:pt>
                <c:pt idx="52" formatCode="_(* #,##0_);_(* \(#,##0\);_(* &quot;-&quot;??_);_(@_)">
                  <c:v>122.7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Pak!$C$18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Pak!$D$18:$BD$18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19</c:v>
                </c:pt>
                <c:pt idx="8">
                  <c:v>0</c:v>
                </c:pt>
                <c:pt idx="9">
                  <c:v>3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40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1</c:v>
                </c:pt>
                <c:pt idx="43">
                  <c:v>0</c:v>
                </c:pt>
                <c:pt idx="44">
                  <c:v>1</c:v>
                </c:pt>
                <c:pt idx="45">
                  <c:v>0</c:v>
                </c:pt>
                <c:pt idx="46">
                  <c:v>3</c:v>
                </c:pt>
                <c:pt idx="47">
                  <c:v>2</c:v>
                </c:pt>
                <c:pt idx="48">
                  <c:v>4</c:v>
                </c:pt>
                <c:pt idx="49">
                  <c:v>0</c:v>
                </c:pt>
                <c:pt idx="50">
                  <c:v>0</c:v>
                </c:pt>
                <c:pt idx="51" formatCode="_(* #,##0_);_(* \(#,##0\);_(* &quot;-&quot;??_);_(@_)">
                  <c:v>0.38900000000000001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Pak!$C$19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Pak!$D$19:$BD$19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5</c:v>
                </c:pt>
                <c:pt idx="8">
                  <c:v>5</c:v>
                </c:pt>
                <c:pt idx="9">
                  <c:v>5</c:v>
                </c:pt>
                <c:pt idx="10">
                  <c:v>8</c:v>
                </c:pt>
                <c:pt idx="11">
                  <c:v>10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 formatCode="_(* #,##0_);_(* \(#,##0\);_(* &quot;-&quot;??_);_(@_)">
                  <c:v>0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Pak!$C$20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Pak!$D$20:$BD$20</c:f>
              <c:numCache>
                <c:formatCode>General</c:formatCode>
                <c:ptCount val="53"/>
                <c:pt idx="0">
                  <c:v>220</c:v>
                </c:pt>
                <c:pt idx="1">
                  <c:v>248</c:v>
                </c:pt>
                <c:pt idx="2">
                  <c:v>251</c:v>
                </c:pt>
                <c:pt idx="3">
                  <c:v>238</c:v>
                </c:pt>
                <c:pt idx="4">
                  <c:v>293</c:v>
                </c:pt>
                <c:pt idx="5">
                  <c:v>274</c:v>
                </c:pt>
                <c:pt idx="6">
                  <c:v>277</c:v>
                </c:pt>
                <c:pt idx="7">
                  <c:v>305</c:v>
                </c:pt>
                <c:pt idx="8">
                  <c:v>257</c:v>
                </c:pt>
                <c:pt idx="9">
                  <c:v>302</c:v>
                </c:pt>
                <c:pt idx="10">
                  <c:v>298</c:v>
                </c:pt>
                <c:pt idx="11">
                  <c:v>305</c:v>
                </c:pt>
                <c:pt idx="12">
                  <c:v>298</c:v>
                </c:pt>
                <c:pt idx="13">
                  <c:v>391</c:v>
                </c:pt>
                <c:pt idx="14">
                  <c:v>298</c:v>
                </c:pt>
                <c:pt idx="15">
                  <c:v>300</c:v>
                </c:pt>
                <c:pt idx="16">
                  <c:v>261</c:v>
                </c:pt>
                <c:pt idx="17">
                  <c:v>284</c:v>
                </c:pt>
                <c:pt idx="18">
                  <c:v>252</c:v>
                </c:pt>
                <c:pt idx="19">
                  <c:v>249</c:v>
                </c:pt>
                <c:pt idx="20">
                  <c:v>230</c:v>
                </c:pt>
                <c:pt idx="21">
                  <c:v>225</c:v>
                </c:pt>
                <c:pt idx="22">
                  <c:v>222</c:v>
                </c:pt>
                <c:pt idx="23">
                  <c:v>222</c:v>
                </c:pt>
                <c:pt idx="24">
                  <c:v>230</c:v>
                </c:pt>
                <c:pt idx="25">
                  <c:v>218</c:v>
                </c:pt>
                <c:pt idx="26">
                  <c:v>235</c:v>
                </c:pt>
                <c:pt idx="27">
                  <c:v>181</c:v>
                </c:pt>
                <c:pt idx="28">
                  <c:v>248</c:v>
                </c:pt>
                <c:pt idx="29">
                  <c:v>262</c:v>
                </c:pt>
                <c:pt idx="30">
                  <c:v>239</c:v>
                </c:pt>
                <c:pt idx="31">
                  <c:v>225</c:v>
                </c:pt>
                <c:pt idx="32">
                  <c:v>238</c:v>
                </c:pt>
                <c:pt idx="33">
                  <c:v>212</c:v>
                </c:pt>
                <c:pt idx="34">
                  <c:v>234</c:v>
                </c:pt>
                <c:pt idx="35">
                  <c:v>255</c:v>
                </c:pt>
                <c:pt idx="36">
                  <c:v>219</c:v>
                </c:pt>
                <c:pt idx="37">
                  <c:v>231</c:v>
                </c:pt>
                <c:pt idx="38">
                  <c:v>228</c:v>
                </c:pt>
                <c:pt idx="39">
                  <c:v>220</c:v>
                </c:pt>
                <c:pt idx="40">
                  <c:v>219</c:v>
                </c:pt>
                <c:pt idx="41">
                  <c:v>222</c:v>
                </c:pt>
                <c:pt idx="42">
                  <c:v>204</c:v>
                </c:pt>
                <c:pt idx="43">
                  <c:v>238</c:v>
                </c:pt>
                <c:pt idx="44">
                  <c:v>187</c:v>
                </c:pt>
                <c:pt idx="45">
                  <c:v>153</c:v>
                </c:pt>
                <c:pt idx="46">
                  <c:v>158</c:v>
                </c:pt>
                <c:pt idx="47">
                  <c:v>153</c:v>
                </c:pt>
                <c:pt idx="48">
                  <c:v>149</c:v>
                </c:pt>
                <c:pt idx="49">
                  <c:v>145</c:v>
                </c:pt>
                <c:pt idx="50">
                  <c:v>145</c:v>
                </c:pt>
                <c:pt idx="51" formatCode="_(* #,##0_);_(* \(#,##0\);_(* &quot;-&quot;??_);_(@_)">
                  <c:v>137.38900000000001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061920"/>
        <c:axId val="317062312"/>
      </c:lineChart>
      <c:catAx>
        <c:axId val="3170619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62312"/>
        <c:crosses val="autoZero"/>
        <c:auto val="1"/>
        <c:lblAlgn val="ctr"/>
        <c:lblOffset val="100"/>
        <c:noMultiLvlLbl val="0"/>
      </c:catAx>
      <c:valAx>
        <c:axId val="3170623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70619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Pak!$C$21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Pak!$D$21:$BD$21</c:f>
              <c:numCache>
                <c:formatCode>_(* #,##0_);_(* \(#,##0\);_(* "-"??_);_(@_)</c:formatCode>
                <c:ptCount val="53"/>
                <c:pt idx="0">
                  <c:v>11640</c:v>
                </c:pt>
                <c:pt idx="1">
                  <c:v>14356.7</c:v>
                </c:pt>
                <c:pt idx="2">
                  <c:v>18438</c:v>
                </c:pt>
                <c:pt idx="3">
                  <c:v>161390</c:v>
                </c:pt>
                <c:pt idx="4">
                  <c:v>18667.008000000002</c:v>
                </c:pt>
                <c:pt idx="5">
                  <c:v>22309.407999999999</c:v>
                </c:pt>
                <c:pt idx="6">
                  <c:v>21982.207999999999</c:v>
                </c:pt>
                <c:pt idx="7">
                  <c:v>18659.008000000002</c:v>
                </c:pt>
                <c:pt idx="8">
                  <c:v>21971.008000000002</c:v>
                </c:pt>
                <c:pt idx="9">
                  <c:v>26369.504000000001</c:v>
                </c:pt>
                <c:pt idx="10">
                  <c:v>23167.008000000002</c:v>
                </c:pt>
                <c:pt idx="11">
                  <c:v>19963.407999999999</c:v>
                </c:pt>
                <c:pt idx="12">
                  <c:v>19947.103999999999</c:v>
                </c:pt>
                <c:pt idx="13">
                  <c:v>23910.495999999999</c:v>
                </c:pt>
                <c:pt idx="14">
                  <c:v>21242</c:v>
                </c:pt>
                <c:pt idx="15">
                  <c:v>25546.639999999999</c:v>
                </c:pt>
                <c:pt idx="16">
                  <c:v>29522.959999999999</c:v>
                </c:pt>
                <c:pt idx="17">
                  <c:v>30076.608</c:v>
                </c:pt>
                <c:pt idx="18">
                  <c:v>27325.504000000001</c:v>
                </c:pt>
                <c:pt idx="19">
                  <c:v>27497.696</c:v>
                </c:pt>
                <c:pt idx="20">
                  <c:v>32359.407999999999</c:v>
                </c:pt>
                <c:pt idx="21">
                  <c:v>36579.696000000004</c:v>
                </c:pt>
                <c:pt idx="22">
                  <c:v>32533.504000000001</c:v>
                </c:pt>
                <c:pt idx="23">
                  <c:v>34287.296000000002</c:v>
                </c:pt>
                <c:pt idx="24">
                  <c:v>32139.599999999999</c:v>
                </c:pt>
                <c:pt idx="25">
                  <c:v>27856.304</c:v>
                </c:pt>
                <c:pt idx="26">
                  <c:v>43608</c:v>
                </c:pt>
                <c:pt idx="27">
                  <c:v>33028.800000000003</c:v>
                </c:pt>
                <c:pt idx="28">
                  <c:v>36975.696000000004</c:v>
                </c:pt>
                <c:pt idx="29">
                  <c:v>35493.599999999999</c:v>
                </c:pt>
                <c:pt idx="30">
                  <c:v>35988.703999999998</c:v>
                </c:pt>
                <c:pt idx="31">
                  <c:v>38864.896000000001</c:v>
                </c:pt>
                <c:pt idx="32">
                  <c:v>38058.896000000001</c:v>
                </c:pt>
                <c:pt idx="33">
                  <c:v>44427</c:v>
                </c:pt>
                <c:pt idx="34">
                  <c:v>47168.4</c:v>
                </c:pt>
                <c:pt idx="35">
                  <c:v>45229.7</c:v>
                </c:pt>
                <c:pt idx="36">
                  <c:v>41998.400000000001</c:v>
                </c:pt>
                <c:pt idx="37">
                  <c:v>53104.2</c:v>
                </c:pt>
                <c:pt idx="38">
                  <c:v>55191.1</c:v>
                </c:pt>
                <c:pt idx="39">
                  <c:v>46332.6</c:v>
                </c:pt>
                <c:pt idx="40">
                  <c:v>43606.3</c:v>
                </c:pt>
                <c:pt idx="41">
                  <c:v>48041.599999999999</c:v>
                </c:pt>
                <c:pt idx="42">
                  <c:v>52055.8</c:v>
                </c:pt>
                <c:pt idx="43">
                  <c:v>53820</c:v>
                </c:pt>
                <c:pt idx="44">
                  <c:v>47244.1</c:v>
                </c:pt>
                <c:pt idx="45">
                  <c:v>44665.5</c:v>
                </c:pt>
                <c:pt idx="46">
                  <c:v>54741.599999999999</c:v>
                </c:pt>
                <c:pt idx="47">
                  <c:v>63920</c:v>
                </c:pt>
                <c:pt idx="48">
                  <c:v>50045.4</c:v>
                </c:pt>
                <c:pt idx="49">
                  <c:v>43972.9</c:v>
                </c:pt>
                <c:pt idx="50">
                  <c:v>55308.5</c:v>
                </c:pt>
                <c:pt idx="51">
                  <c:v>58397</c:v>
                </c:pt>
                <c:pt idx="52">
                  <c:v>63749.9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Pak!$C$22</c:f>
              <c:strCache>
                <c:ptCount val="1"/>
                <c:pt idx="0">
                  <c:v>Total Imports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Pak!$D$22:$BD$22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57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234</c:v>
                </c:pt>
                <c:pt idx="20">
                  <c:v>10</c:v>
                </c:pt>
                <c:pt idx="21">
                  <c:v>2</c:v>
                </c:pt>
                <c:pt idx="22">
                  <c:v>5</c:v>
                </c:pt>
                <c:pt idx="23">
                  <c:v>0</c:v>
                </c:pt>
                <c:pt idx="24">
                  <c:v>0</c:v>
                </c:pt>
                <c:pt idx="25">
                  <c:v>424</c:v>
                </c:pt>
                <c:pt idx="26">
                  <c:v>576</c:v>
                </c:pt>
                <c:pt idx="27">
                  <c:v>207</c:v>
                </c:pt>
                <c:pt idx="28">
                  <c:v>94</c:v>
                </c:pt>
                <c:pt idx="29">
                  <c:v>402</c:v>
                </c:pt>
                <c:pt idx="30">
                  <c:v>328</c:v>
                </c:pt>
                <c:pt idx="31">
                  <c:v>153</c:v>
                </c:pt>
                <c:pt idx="32">
                  <c:v>86</c:v>
                </c:pt>
                <c:pt idx="33">
                  <c:v>9</c:v>
                </c:pt>
                <c:pt idx="34">
                  <c:v>4</c:v>
                </c:pt>
                <c:pt idx="35">
                  <c:v>771</c:v>
                </c:pt>
                <c:pt idx="36">
                  <c:v>21</c:v>
                </c:pt>
                <c:pt idx="37">
                  <c:v>21</c:v>
                </c:pt>
                <c:pt idx="38">
                  <c:v>8</c:v>
                </c:pt>
                <c:pt idx="39">
                  <c:v>550</c:v>
                </c:pt>
                <c:pt idx="40">
                  <c:v>1100</c:v>
                </c:pt>
                <c:pt idx="41">
                  <c:v>32</c:v>
                </c:pt>
                <c:pt idx="42">
                  <c:v>0</c:v>
                </c:pt>
                <c:pt idx="43">
                  <c:v>0</c:v>
                </c:pt>
                <c:pt idx="44">
                  <c:v>825</c:v>
                </c:pt>
                <c:pt idx="45">
                  <c:v>1532</c:v>
                </c:pt>
                <c:pt idx="46">
                  <c:v>200</c:v>
                </c:pt>
                <c:pt idx="47">
                  <c:v>110</c:v>
                </c:pt>
                <c:pt idx="48">
                  <c:v>125</c:v>
                </c:pt>
                <c:pt idx="49">
                  <c:v>1030</c:v>
                </c:pt>
                <c:pt idx="50">
                  <c:v>1200</c:v>
                </c:pt>
                <c:pt idx="51">
                  <c:v>6.0999999999999999E-2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Pak!$C$23</c:f>
              <c:strCache>
                <c:ptCount val="1"/>
                <c:pt idx="0">
                  <c:v>Total Exports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Pak!$D$23:$BD$23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50</c:v>
                </c:pt>
                <c:pt idx="24">
                  <c:v>15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51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174</c:v>
                </c:pt>
                <c:pt idx="34">
                  <c:v>349</c:v>
                </c:pt>
                <c:pt idx="35">
                  <c:v>0</c:v>
                </c:pt>
                <c:pt idx="36">
                  <c:v>620</c:v>
                </c:pt>
                <c:pt idx="37">
                  <c:v>628</c:v>
                </c:pt>
                <c:pt idx="38">
                  <c:v>540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107</c:v>
                </c:pt>
                <c:pt idx="43">
                  <c:v>214</c:v>
                </c:pt>
                <c:pt idx="44">
                  <c:v>0</c:v>
                </c:pt>
                <c:pt idx="45">
                  <c:v>61</c:v>
                </c:pt>
                <c:pt idx="46">
                  <c:v>65</c:v>
                </c:pt>
                <c:pt idx="47">
                  <c:v>70</c:v>
                </c:pt>
                <c:pt idx="48">
                  <c:v>75</c:v>
                </c:pt>
                <c:pt idx="49">
                  <c:v>70</c:v>
                </c:pt>
                <c:pt idx="50">
                  <c:v>70</c:v>
                </c:pt>
                <c:pt idx="51">
                  <c:v>4.3920000000000003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Pak!$C$24</c:f>
              <c:strCache>
                <c:ptCount val="1"/>
                <c:pt idx="0">
                  <c:v>Human Dom.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Pak!$D$24:$BD$24</c:f>
              <c:numCache>
                <c:formatCode>_(* #,##0_);_(* \(#,##0\);_(* "-"??_);_(@_)</c:formatCode>
                <c:ptCount val="53"/>
                <c:pt idx="0">
                  <c:v>11640</c:v>
                </c:pt>
                <c:pt idx="1">
                  <c:v>14356.7</c:v>
                </c:pt>
                <c:pt idx="2">
                  <c:v>18438</c:v>
                </c:pt>
                <c:pt idx="3">
                  <c:v>161390</c:v>
                </c:pt>
                <c:pt idx="4">
                  <c:v>18667.008000000002</c:v>
                </c:pt>
                <c:pt idx="5">
                  <c:v>22309.407999999999</c:v>
                </c:pt>
                <c:pt idx="6">
                  <c:v>21982.207999999999</c:v>
                </c:pt>
                <c:pt idx="7">
                  <c:v>18659.008000000002</c:v>
                </c:pt>
                <c:pt idx="8">
                  <c:v>21971.008000000002</c:v>
                </c:pt>
                <c:pt idx="9">
                  <c:v>26369.504000000001</c:v>
                </c:pt>
                <c:pt idx="10">
                  <c:v>23167.008000000002</c:v>
                </c:pt>
                <c:pt idx="11">
                  <c:v>19963.407999999999</c:v>
                </c:pt>
                <c:pt idx="12">
                  <c:v>19947.103999999999</c:v>
                </c:pt>
                <c:pt idx="13">
                  <c:v>23910.495999999999</c:v>
                </c:pt>
                <c:pt idx="14">
                  <c:v>21299</c:v>
                </c:pt>
                <c:pt idx="15">
                  <c:v>25546.639999999999</c:v>
                </c:pt>
                <c:pt idx="16">
                  <c:v>29522.959999999999</c:v>
                </c:pt>
                <c:pt idx="17">
                  <c:v>30076.608</c:v>
                </c:pt>
                <c:pt idx="18">
                  <c:v>27325.504000000001</c:v>
                </c:pt>
                <c:pt idx="19">
                  <c:v>27731.696</c:v>
                </c:pt>
                <c:pt idx="20">
                  <c:v>32369.407999999999</c:v>
                </c:pt>
                <c:pt idx="21">
                  <c:v>36581.696000000004</c:v>
                </c:pt>
                <c:pt idx="22">
                  <c:v>32538.504000000001</c:v>
                </c:pt>
                <c:pt idx="23">
                  <c:v>34237.296000000002</c:v>
                </c:pt>
                <c:pt idx="24">
                  <c:v>32124.6</c:v>
                </c:pt>
                <c:pt idx="25">
                  <c:v>28280.304</c:v>
                </c:pt>
                <c:pt idx="26">
                  <c:v>44184</c:v>
                </c:pt>
                <c:pt idx="27">
                  <c:v>33235.800000000003</c:v>
                </c:pt>
                <c:pt idx="28">
                  <c:v>37018.696000000004</c:v>
                </c:pt>
                <c:pt idx="29">
                  <c:v>35895.599999999999</c:v>
                </c:pt>
                <c:pt idx="30">
                  <c:v>36316.703999999998</c:v>
                </c:pt>
                <c:pt idx="31">
                  <c:v>39017.896000000001</c:v>
                </c:pt>
                <c:pt idx="32">
                  <c:v>38144.896000000001</c:v>
                </c:pt>
                <c:pt idx="33">
                  <c:v>44262</c:v>
                </c:pt>
                <c:pt idx="34">
                  <c:v>46823.4</c:v>
                </c:pt>
                <c:pt idx="35">
                  <c:v>46000.7</c:v>
                </c:pt>
                <c:pt idx="36">
                  <c:v>41399.4</c:v>
                </c:pt>
                <c:pt idx="37">
                  <c:v>52497.2</c:v>
                </c:pt>
                <c:pt idx="38">
                  <c:v>54659.1</c:v>
                </c:pt>
                <c:pt idx="39">
                  <c:v>46882.6</c:v>
                </c:pt>
                <c:pt idx="40">
                  <c:v>44706.3</c:v>
                </c:pt>
                <c:pt idx="41">
                  <c:v>48073.599999999999</c:v>
                </c:pt>
                <c:pt idx="42">
                  <c:v>51948.800000000003</c:v>
                </c:pt>
                <c:pt idx="43">
                  <c:v>53606</c:v>
                </c:pt>
                <c:pt idx="44">
                  <c:v>48069.1</c:v>
                </c:pt>
                <c:pt idx="45">
                  <c:v>46136.5</c:v>
                </c:pt>
                <c:pt idx="46">
                  <c:v>54876.6</c:v>
                </c:pt>
                <c:pt idx="47">
                  <c:v>63960</c:v>
                </c:pt>
                <c:pt idx="48">
                  <c:v>50095.4</c:v>
                </c:pt>
                <c:pt idx="49">
                  <c:v>44932.9</c:v>
                </c:pt>
                <c:pt idx="50">
                  <c:v>56438.5</c:v>
                </c:pt>
                <c:pt idx="51">
                  <c:v>58392.669000000002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96000"/>
        <c:axId val="318394432"/>
      </c:lineChart>
      <c:catAx>
        <c:axId val="318396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4432"/>
        <c:crosses val="autoZero"/>
        <c:auto val="1"/>
        <c:lblAlgn val="ctr"/>
        <c:lblOffset val="100"/>
        <c:noMultiLvlLbl val="0"/>
      </c:catAx>
      <c:valAx>
        <c:axId val="31839443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600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69717029150336918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2"/>
          <c:order val="1"/>
          <c:tx>
            <c:strRef>
              <c:f>Pak!$C$25</c:f>
              <c:strCache>
                <c:ptCount val="1"/>
                <c:pt idx="0">
                  <c:v>Production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Pak!$D$25:$BD$25</c:f>
              <c:numCache>
                <c:formatCode>#,##0</c:formatCode>
                <c:ptCount val="53"/>
                <c:pt idx="0">
                  <c:v>3909</c:v>
                </c:pt>
                <c:pt idx="1">
                  <c:v>3814</c:v>
                </c:pt>
                <c:pt idx="2">
                  <c:v>4027</c:v>
                </c:pt>
                <c:pt idx="3">
                  <c:v>4170</c:v>
                </c:pt>
                <c:pt idx="4">
                  <c:v>4162</c:v>
                </c:pt>
                <c:pt idx="5">
                  <c:v>4591</c:v>
                </c:pt>
                <c:pt idx="6">
                  <c:v>3916</c:v>
                </c:pt>
                <c:pt idx="7">
                  <c:v>4334</c:v>
                </c:pt>
                <c:pt idx="8">
                  <c:v>6418</c:v>
                </c:pt>
                <c:pt idx="9">
                  <c:v>6618</c:v>
                </c:pt>
                <c:pt idx="10">
                  <c:v>7294</c:v>
                </c:pt>
                <c:pt idx="11">
                  <c:v>6476</c:v>
                </c:pt>
                <c:pt idx="12">
                  <c:v>6890</c:v>
                </c:pt>
                <c:pt idx="13">
                  <c:v>7800</c:v>
                </c:pt>
                <c:pt idx="14">
                  <c:v>7800</c:v>
                </c:pt>
                <c:pt idx="15">
                  <c:v>7674</c:v>
                </c:pt>
                <c:pt idx="16">
                  <c:v>8690</c:v>
                </c:pt>
                <c:pt idx="17">
                  <c:v>9143</c:v>
                </c:pt>
                <c:pt idx="18">
                  <c:v>8367</c:v>
                </c:pt>
                <c:pt idx="19">
                  <c:v>9950</c:v>
                </c:pt>
                <c:pt idx="20">
                  <c:v>10857</c:v>
                </c:pt>
                <c:pt idx="21">
                  <c:v>11473</c:v>
                </c:pt>
                <c:pt idx="22">
                  <c:v>11304</c:v>
                </c:pt>
                <c:pt idx="23">
                  <c:v>12414</c:v>
                </c:pt>
                <c:pt idx="24">
                  <c:v>10882</c:v>
                </c:pt>
                <c:pt idx="25">
                  <c:v>11703</c:v>
                </c:pt>
                <c:pt idx="26">
                  <c:v>13922</c:v>
                </c:pt>
                <c:pt idx="27">
                  <c:v>12020</c:v>
                </c:pt>
                <c:pt idx="28">
                  <c:v>12675</c:v>
                </c:pt>
                <c:pt idx="29">
                  <c:v>14419</c:v>
                </c:pt>
                <c:pt idx="30">
                  <c:v>14429</c:v>
                </c:pt>
                <c:pt idx="31">
                  <c:v>14565</c:v>
                </c:pt>
                <c:pt idx="32">
                  <c:v>15684</c:v>
                </c:pt>
                <c:pt idx="33">
                  <c:v>16157</c:v>
                </c:pt>
                <c:pt idx="34">
                  <c:v>15212</c:v>
                </c:pt>
                <c:pt idx="35">
                  <c:v>17002</c:v>
                </c:pt>
                <c:pt idx="36">
                  <c:v>16907</c:v>
                </c:pt>
                <c:pt idx="37">
                  <c:v>16651</c:v>
                </c:pt>
                <c:pt idx="38">
                  <c:v>18694</c:v>
                </c:pt>
                <c:pt idx="39">
                  <c:v>17858</c:v>
                </c:pt>
                <c:pt idx="40">
                  <c:v>21079</c:v>
                </c:pt>
                <c:pt idx="41">
                  <c:v>19024</c:v>
                </c:pt>
                <c:pt idx="42">
                  <c:v>18227</c:v>
                </c:pt>
                <c:pt idx="43">
                  <c:v>19183</c:v>
                </c:pt>
                <c:pt idx="44">
                  <c:v>19500</c:v>
                </c:pt>
                <c:pt idx="45">
                  <c:v>21612</c:v>
                </c:pt>
                <c:pt idx="46">
                  <c:v>21277</c:v>
                </c:pt>
                <c:pt idx="47">
                  <c:v>23295</c:v>
                </c:pt>
                <c:pt idx="48">
                  <c:v>20959</c:v>
                </c:pt>
                <c:pt idx="49">
                  <c:v>24033</c:v>
                </c:pt>
                <c:pt idx="50">
                  <c:v>23900</c:v>
                </c:pt>
                <c:pt idx="51" formatCode="_(* #,##0_);_(* \(#,##0\);_(* &quot;-&quot;??_);_(@_)">
                  <c:v>25213.8</c:v>
                </c:pt>
                <c:pt idx="52" formatCode="_(* #,##0_);_(* \(#,##0\);_(* &quot;-&quot;??_);_(@_)">
                  <c:v>23473.4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Pak!$C$26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Pak!$D$26:$BD$26</c:f>
              <c:numCache>
                <c:formatCode>#,##0</c:formatCode>
                <c:ptCount val="53"/>
                <c:pt idx="0">
                  <c:v>1026</c:v>
                </c:pt>
                <c:pt idx="1">
                  <c:v>1143</c:v>
                </c:pt>
                <c:pt idx="2">
                  <c:v>1637</c:v>
                </c:pt>
                <c:pt idx="3">
                  <c:v>1515</c:v>
                </c:pt>
                <c:pt idx="4">
                  <c:v>1785</c:v>
                </c:pt>
                <c:pt idx="5">
                  <c:v>1236</c:v>
                </c:pt>
                <c:pt idx="6">
                  <c:v>1759</c:v>
                </c:pt>
                <c:pt idx="7">
                  <c:v>2131</c:v>
                </c:pt>
                <c:pt idx="8" formatCode="General">
                  <c:v>756</c:v>
                </c:pt>
                <c:pt idx="9">
                  <c:v>1085</c:v>
                </c:pt>
                <c:pt idx="10">
                  <c:v>1075</c:v>
                </c:pt>
                <c:pt idx="11">
                  <c:v>1027</c:v>
                </c:pt>
                <c:pt idx="12">
                  <c:v>1468</c:v>
                </c:pt>
                <c:pt idx="13">
                  <c:v>1106</c:v>
                </c:pt>
                <c:pt idx="14">
                  <c:v>1135</c:v>
                </c:pt>
                <c:pt idx="15">
                  <c:v>1289</c:v>
                </c:pt>
                <c:pt idx="16" formatCode="General">
                  <c:v>507</c:v>
                </c:pt>
                <c:pt idx="17" formatCode="General">
                  <c:v>800</c:v>
                </c:pt>
                <c:pt idx="18">
                  <c:v>2111</c:v>
                </c:pt>
                <c:pt idx="19" formatCode="General">
                  <c:v>668</c:v>
                </c:pt>
                <c:pt idx="20" formatCode="General">
                  <c:v>320</c:v>
                </c:pt>
                <c:pt idx="21" formatCode="General">
                  <c:v>346</c:v>
                </c:pt>
                <c:pt idx="22" formatCode="General">
                  <c:v>570</c:v>
                </c:pt>
                <c:pt idx="23" formatCode="General">
                  <c:v>393</c:v>
                </c:pt>
                <c:pt idx="24">
                  <c:v>1042</c:v>
                </c:pt>
                <c:pt idx="25">
                  <c:v>1832</c:v>
                </c:pt>
                <c:pt idx="26" formatCode="General">
                  <c:v>374</c:v>
                </c:pt>
                <c:pt idx="27" formatCode="General">
                  <c:v>505</c:v>
                </c:pt>
                <c:pt idx="28">
                  <c:v>2200</c:v>
                </c:pt>
                <c:pt idx="29">
                  <c:v>1916</c:v>
                </c:pt>
                <c:pt idx="30">
                  <c:v>1026</c:v>
                </c:pt>
                <c:pt idx="31">
                  <c:v>2217</c:v>
                </c:pt>
                <c:pt idx="32">
                  <c:v>2862</c:v>
                </c:pt>
                <c:pt idx="33">
                  <c:v>1617</c:v>
                </c:pt>
                <c:pt idx="34">
                  <c:v>2123</c:v>
                </c:pt>
                <c:pt idx="35">
                  <c:v>1903</c:v>
                </c:pt>
                <c:pt idx="36">
                  <c:v>3018</c:v>
                </c:pt>
                <c:pt idx="37">
                  <c:v>4130</c:v>
                </c:pt>
                <c:pt idx="38">
                  <c:v>3130</c:v>
                </c:pt>
                <c:pt idx="39">
                  <c:v>2100</c:v>
                </c:pt>
                <c:pt idx="40" formatCode="General">
                  <c:v>50</c:v>
                </c:pt>
                <c:pt idx="41" formatCode="General">
                  <c:v>235</c:v>
                </c:pt>
                <c:pt idx="42" formatCode="General">
                  <c:v>185</c:v>
                </c:pt>
                <c:pt idx="43" formatCode="General">
                  <c:v>162</c:v>
                </c:pt>
                <c:pt idx="44">
                  <c:v>1415</c:v>
                </c:pt>
                <c:pt idx="45" formatCode="General">
                  <c:v>924</c:v>
                </c:pt>
                <c:pt idx="46" formatCode="General">
                  <c:v>66</c:v>
                </c:pt>
                <c:pt idx="47">
                  <c:v>1493</c:v>
                </c:pt>
                <c:pt idx="48">
                  <c:v>3126</c:v>
                </c:pt>
                <c:pt idx="49" formatCode="General">
                  <c:v>170</c:v>
                </c:pt>
                <c:pt idx="50" formatCode="General">
                  <c:v>200</c:v>
                </c:pt>
                <c:pt idx="51" formatCode="_(* #,##0_);_(* \(#,##0\);_(* &quot;-&quot;??_);_(@_)">
                  <c:v>21.841000000000001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Pak!$C$27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Pak!$D$27:$BD$27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78</c:v>
                </c:pt>
                <c:pt idx="23">
                  <c:v>205</c:v>
                </c:pt>
                <c:pt idx="24">
                  <c:v>49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10</c:v>
                </c:pt>
                <c:pt idx="32">
                  <c:v>50</c:v>
                </c:pt>
                <c:pt idx="33">
                  <c:v>0</c:v>
                </c:pt>
                <c:pt idx="34">
                  <c:v>6</c:v>
                </c:pt>
                <c:pt idx="35">
                  <c:v>1</c:v>
                </c:pt>
                <c:pt idx="36">
                  <c:v>1</c:v>
                </c:pt>
                <c:pt idx="37">
                  <c:v>12</c:v>
                </c:pt>
                <c:pt idx="38">
                  <c:v>0</c:v>
                </c:pt>
                <c:pt idx="39">
                  <c:v>0</c:v>
                </c:pt>
                <c:pt idx="40">
                  <c:v>253</c:v>
                </c:pt>
                <c:pt idx="41">
                  <c:v>495</c:v>
                </c:pt>
                <c:pt idx="42" formatCode="#,##0">
                  <c:v>1185</c:v>
                </c:pt>
                <c:pt idx="43">
                  <c:v>193</c:v>
                </c:pt>
                <c:pt idx="44">
                  <c:v>600</c:v>
                </c:pt>
                <c:pt idx="45">
                  <c:v>600</c:v>
                </c:pt>
                <c:pt idx="46">
                  <c:v>700</c:v>
                </c:pt>
                <c:pt idx="47" formatCode="#,##0">
                  <c:v>2200</c:v>
                </c:pt>
                <c:pt idx="48" formatCode="#,##0">
                  <c:v>2100</c:v>
                </c:pt>
                <c:pt idx="49">
                  <c:v>300</c:v>
                </c:pt>
                <c:pt idx="50">
                  <c:v>500</c:v>
                </c:pt>
                <c:pt idx="51" formatCode="_(* #,##0_);_(* \(#,##0\);_(* &quot;-&quot;??_);_(@_)">
                  <c:v>2087.422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Pak!$C$28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Pak!$D$1:$BD$1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Pak!$D$28:$BD$28</c:f>
              <c:numCache>
                <c:formatCode>#,##0</c:formatCode>
                <c:ptCount val="53"/>
                <c:pt idx="0">
                  <c:v>5454</c:v>
                </c:pt>
                <c:pt idx="1">
                  <c:v>4465</c:v>
                </c:pt>
                <c:pt idx="2">
                  <c:v>5378</c:v>
                </c:pt>
                <c:pt idx="3">
                  <c:v>5871</c:v>
                </c:pt>
                <c:pt idx="4">
                  <c:v>6645</c:v>
                </c:pt>
                <c:pt idx="5">
                  <c:v>5835</c:v>
                </c:pt>
                <c:pt idx="6">
                  <c:v>5858</c:v>
                </c:pt>
                <c:pt idx="7">
                  <c:v>6334</c:v>
                </c:pt>
                <c:pt idx="8">
                  <c:v>6918</c:v>
                </c:pt>
                <c:pt idx="9">
                  <c:v>7678</c:v>
                </c:pt>
                <c:pt idx="10">
                  <c:v>8356</c:v>
                </c:pt>
                <c:pt idx="11">
                  <c:v>7458</c:v>
                </c:pt>
                <c:pt idx="12">
                  <c:v>8115</c:v>
                </c:pt>
                <c:pt idx="13">
                  <c:v>8744</c:v>
                </c:pt>
                <c:pt idx="14">
                  <c:v>8692</c:v>
                </c:pt>
                <c:pt idx="15">
                  <c:v>9148</c:v>
                </c:pt>
                <c:pt idx="16">
                  <c:v>9705</c:v>
                </c:pt>
                <c:pt idx="17">
                  <c:v>9885</c:v>
                </c:pt>
                <c:pt idx="18">
                  <c:v>10036</c:v>
                </c:pt>
                <c:pt idx="19">
                  <c:v>10770</c:v>
                </c:pt>
                <c:pt idx="20">
                  <c:v>11200</c:v>
                </c:pt>
                <c:pt idx="21">
                  <c:v>11215</c:v>
                </c:pt>
                <c:pt idx="22">
                  <c:v>11521</c:v>
                </c:pt>
                <c:pt idx="23">
                  <c:v>12000</c:v>
                </c:pt>
                <c:pt idx="24">
                  <c:v>12312</c:v>
                </c:pt>
                <c:pt idx="25">
                  <c:v>12754</c:v>
                </c:pt>
                <c:pt idx="26">
                  <c:v>13200</c:v>
                </c:pt>
                <c:pt idx="27">
                  <c:v>13800</c:v>
                </c:pt>
                <c:pt idx="28">
                  <c:v>14886</c:v>
                </c:pt>
                <c:pt idx="29">
                  <c:v>15316</c:v>
                </c:pt>
                <c:pt idx="30">
                  <c:v>16206</c:v>
                </c:pt>
                <c:pt idx="31">
                  <c:v>16907</c:v>
                </c:pt>
                <c:pt idx="32">
                  <c:v>17405</c:v>
                </c:pt>
                <c:pt idx="33">
                  <c:v>17900</c:v>
                </c:pt>
                <c:pt idx="34">
                  <c:v>18137</c:v>
                </c:pt>
                <c:pt idx="35">
                  <c:v>18904</c:v>
                </c:pt>
                <c:pt idx="36">
                  <c:v>20124</c:v>
                </c:pt>
                <c:pt idx="37">
                  <c:v>20258</c:v>
                </c:pt>
                <c:pt idx="38">
                  <c:v>21284</c:v>
                </c:pt>
                <c:pt idx="39">
                  <c:v>20452</c:v>
                </c:pt>
                <c:pt idx="40">
                  <c:v>20500</c:v>
                </c:pt>
                <c:pt idx="41">
                  <c:v>19800</c:v>
                </c:pt>
                <c:pt idx="42">
                  <c:v>18380</c:v>
                </c:pt>
                <c:pt idx="43">
                  <c:v>18900</c:v>
                </c:pt>
                <c:pt idx="44">
                  <c:v>19500</c:v>
                </c:pt>
                <c:pt idx="45">
                  <c:v>20100</c:v>
                </c:pt>
                <c:pt idx="46">
                  <c:v>21700</c:v>
                </c:pt>
                <c:pt idx="47">
                  <c:v>22400</c:v>
                </c:pt>
                <c:pt idx="48">
                  <c:v>22800</c:v>
                </c:pt>
                <c:pt idx="49">
                  <c:v>23000</c:v>
                </c:pt>
                <c:pt idx="50">
                  <c:v>23200</c:v>
                </c:pt>
                <c:pt idx="51" formatCode="_(* #,##0_);_(* \(#,##0\);_(* &quot;-&quot;??_);_(@_)">
                  <c:v>23148.219000000001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96784"/>
        <c:axId val="31839364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Pak!$C$1</c15:sqref>
                        </c15:formulaRef>
                      </c:ext>
                    </c:extLst>
                    <c:strCache>
                      <c:ptCount val="1"/>
                      <c:pt idx="0">
                        <c:v>Attribute</c:v>
                      </c:pt>
                    </c:strCache>
                  </c:strRef>
                </c:tx>
                <c:spPr>
                  <a:ln>
                    <a:solidFill>
                      <a:srgbClr val="C00000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Pak!$D$1:$BD$1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Pak!$D$1:$BD$1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318396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3648"/>
        <c:crosses val="autoZero"/>
        <c:auto val="1"/>
        <c:lblAlgn val="ctr"/>
        <c:lblOffset val="100"/>
        <c:noMultiLvlLbl val="0"/>
      </c:catAx>
      <c:valAx>
        <c:axId val="31839364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678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63"/>
          <c:w val="0.845245908485693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Russ!$C$2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Russ!$D$2:$AC$2</c:f>
              <c:numCache>
                <c:formatCode>#,##0</c:formatCode>
                <c:ptCount val="26"/>
                <c:pt idx="0">
                  <c:v>3844</c:v>
                </c:pt>
                <c:pt idx="1">
                  <c:v>3814</c:v>
                </c:pt>
                <c:pt idx="2">
                  <c:v>4663</c:v>
                </c:pt>
                <c:pt idx="3">
                  <c:v>2451</c:v>
                </c:pt>
                <c:pt idx="4">
                  <c:v>1969</c:v>
                </c:pt>
                <c:pt idx="5">
                  <c:v>2135</c:v>
                </c:pt>
                <c:pt idx="6">
                  <c:v>2447</c:v>
                </c:pt>
                <c:pt idx="7" formatCode="General">
                  <c:v>900</c:v>
                </c:pt>
                <c:pt idx="8">
                  <c:v>1700</c:v>
                </c:pt>
                <c:pt idx="9">
                  <c:v>1081</c:v>
                </c:pt>
                <c:pt idx="10">
                  <c:v>2652</c:v>
                </c:pt>
                <c:pt idx="11" formatCode="General">
                  <c:v>800</c:v>
                </c:pt>
                <c:pt idx="12">
                  <c:v>1034</c:v>
                </c:pt>
                <c:pt idx="13">
                  <c:v>1489</c:v>
                </c:pt>
                <c:pt idx="14" formatCode="General">
                  <c:v>808</c:v>
                </c:pt>
                <c:pt idx="15">
                  <c:v>1499</c:v>
                </c:pt>
                <c:pt idx="16">
                  <c:v>2031</c:v>
                </c:pt>
                <c:pt idx="17">
                  <c:v>3373</c:v>
                </c:pt>
                <c:pt idx="18">
                  <c:v>3060</c:v>
                </c:pt>
                <c:pt idx="19">
                  <c:v>3510</c:v>
                </c:pt>
                <c:pt idx="20">
                  <c:v>3798</c:v>
                </c:pt>
                <c:pt idx="21">
                  <c:v>6682</c:v>
                </c:pt>
                <c:pt idx="22">
                  <c:v>3963</c:v>
                </c:pt>
                <c:pt idx="23" formatCode="_(* #,##0_);_(* \(#,##0\);_(* &quot;-&quot;??_);_(@_)">
                  <c:v>6962.44</c:v>
                </c:pt>
                <c:pt idx="24" formatCode="_(* #,##0_);_(* \(#,##0\);_(* &quot;-&quot;??_);_(@_)">
                  <c:v>8212.9240000000009</c:v>
                </c:pt>
                <c:pt idx="25" formatCode="_(* #,##0_);_(* \(#,##0\);_(* &quot;-&quot;??_);_(@_)">
                  <c:v>11634.942999999999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Russ!$C$3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Russ!$D$3:$AC$3</c:f>
              <c:numCache>
                <c:formatCode>#,##0</c:formatCode>
                <c:ptCount val="26"/>
                <c:pt idx="0">
                  <c:v>5000</c:v>
                </c:pt>
                <c:pt idx="1">
                  <c:v>13575</c:v>
                </c:pt>
                <c:pt idx="2">
                  <c:v>10750</c:v>
                </c:pt>
                <c:pt idx="3">
                  <c:v>6050</c:v>
                </c:pt>
                <c:pt idx="4">
                  <c:v>6025</c:v>
                </c:pt>
                <c:pt idx="5">
                  <c:v>4271</c:v>
                </c:pt>
                <c:pt idx="6">
                  <c:v>2765</c:v>
                </c:pt>
                <c:pt idx="7" formatCode="General">
                  <c:v>111</c:v>
                </c:pt>
                <c:pt idx="8" formatCode="General">
                  <c:v>112</c:v>
                </c:pt>
                <c:pt idx="9" formatCode="General">
                  <c:v>231</c:v>
                </c:pt>
                <c:pt idx="10" formatCode="General">
                  <c:v>85</c:v>
                </c:pt>
                <c:pt idx="11" formatCode="General">
                  <c:v>524</c:v>
                </c:pt>
                <c:pt idx="12" formatCode="General">
                  <c:v>870</c:v>
                </c:pt>
                <c:pt idx="13" formatCode="General">
                  <c:v>150</c:v>
                </c:pt>
                <c:pt idx="14" formatCode="General">
                  <c:v>534</c:v>
                </c:pt>
                <c:pt idx="15" formatCode="General">
                  <c:v>99</c:v>
                </c:pt>
                <c:pt idx="16" formatCode="General">
                  <c:v>496</c:v>
                </c:pt>
                <c:pt idx="17" formatCode="General">
                  <c:v>226</c:v>
                </c:pt>
                <c:pt idx="18" formatCode="General">
                  <c:v>306</c:v>
                </c:pt>
                <c:pt idx="19" formatCode="General">
                  <c:v>108</c:v>
                </c:pt>
                <c:pt idx="20" formatCode="General">
                  <c:v>341</c:v>
                </c:pt>
                <c:pt idx="21" formatCode="General">
                  <c:v>51</c:v>
                </c:pt>
                <c:pt idx="22" formatCode="General">
                  <c:v>50</c:v>
                </c:pt>
                <c:pt idx="23" formatCode="_(* #,##0_);_(* \(#,##0\);_(* &quot;-&quot;??_);_(@_)">
                  <c:v>114.224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Russ!$C$4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Russ!$D$4:$AC$4</c:f>
              <c:numCache>
                <c:formatCode>General</c:formatCode>
                <c:ptCount val="26"/>
                <c:pt idx="0">
                  <c:v>500</c:v>
                </c:pt>
                <c:pt idx="1">
                  <c:v>100</c:v>
                </c:pt>
                <c:pt idx="2">
                  <c:v>150</c:v>
                </c:pt>
                <c:pt idx="3">
                  <c:v>400</c:v>
                </c:pt>
                <c:pt idx="4">
                  <c:v>300</c:v>
                </c:pt>
                <c:pt idx="5">
                  <c:v>100</c:v>
                </c:pt>
                <c:pt idx="6">
                  <c:v>4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16</c:v>
                </c:pt>
                <c:pt idx="11">
                  <c:v>13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12</c:v>
                </c:pt>
                <c:pt idx="16">
                  <c:v>0</c:v>
                </c:pt>
                <c:pt idx="17">
                  <c:v>44</c:v>
                </c:pt>
                <c:pt idx="18">
                  <c:v>53</c:v>
                </c:pt>
                <c:pt idx="19">
                  <c:v>77</c:v>
                </c:pt>
                <c:pt idx="20">
                  <c:v>49</c:v>
                </c:pt>
                <c:pt idx="21" formatCode="#,##0">
                  <c:v>1331</c:v>
                </c:pt>
                <c:pt idx="22">
                  <c:v>427</c:v>
                </c:pt>
                <c:pt idx="23" formatCode="_(* #,##0_);_(* \(#,##0\);_(* &quot;-&quot;??_);_(@_)">
                  <c:v>721.62599999999998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Russ!$C$5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Russ!$D$5:$AC$5</c:f>
              <c:numCache>
                <c:formatCode>#,##0</c:formatCode>
                <c:ptCount val="26"/>
                <c:pt idx="0">
                  <c:v>7400</c:v>
                </c:pt>
                <c:pt idx="1">
                  <c:v>15665</c:v>
                </c:pt>
                <c:pt idx="2">
                  <c:v>15775</c:v>
                </c:pt>
                <c:pt idx="3">
                  <c:v>8600</c:v>
                </c:pt>
                <c:pt idx="4">
                  <c:v>8295</c:v>
                </c:pt>
                <c:pt idx="5">
                  <c:v>6175</c:v>
                </c:pt>
                <c:pt idx="6">
                  <c:v>5650</c:v>
                </c:pt>
                <c:pt idx="7">
                  <c:v>1800</c:v>
                </c:pt>
                <c:pt idx="8">
                  <c:v>1800</c:v>
                </c:pt>
                <c:pt idx="9">
                  <c:v>1330</c:v>
                </c:pt>
                <c:pt idx="10">
                  <c:v>2370</c:v>
                </c:pt>
                <c:pt idx="11">
                  <c:v>1710</c:v>
                </c:pt>
                <c:pt idx="12">
                  <c:v>1845</c:v>
                </c:pt>
                <c:pt idx="13">
                  <c:v>1700</c:v>
                </c:pt>
                <c:pt idx="14">
                  <c:v>1350</c:v>
                </c:pt>
                <c:pt idx="15">
                  <c:v>1600</c:v>
                </c:pt>
                <c:pt idx="16">
                  <c:v>2550</c:v>
                </c:pt>
                <c:pt idx="17">
                  <c:v>3500</c:v>
                </c:pt>
                <c:pt idx="18">
                  <c:v>3300</c:v>
                </c:pt>
                <c:pt idx="19">
                  <c:v>3600</c:v>
                </c:pt>
                <c:pt idx="20">
                  <c:v>4100</c:v>
                </c:pt>
                <c:pt idx="21">
                  <c:v>5200</c:v>
                </c:pt>
                <c:pt idx="22">
                  <c:v>3700</c:v>
                </c:pt>
                <c:pt idx="23" formatCode="_(* #,##0_);_(* \(#,##0\);_(* &quot;-&quot;??_);_(@_)">
                  <c:v>6355.0379999999996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94824"/>
        <c:axId val="318395216"/>
      </c:lineChart>
      <c:catAx>
        <c:axId val="318394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5216"/>
        <c:crosses val="autoZero"/>
        <c:auto val="1"/>
        <c:lblAlgn val="ctr"/>
        <c:lblOffset val="100"/>
        <c:noMultiLvlLbl val="0"/>
      </c:catAx>
      <c:valAx>
        <c:axId val="31839521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482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0312934904142379"/>
          <c:y val="0.8888260558339296"/>
          <c:w val="0.8441857520650321"/>
          <c:h val="9.0971923964049989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Russ!$C$6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Russ!$D$6:$AC$6</c:f>
              <c:numCache>
                <c:formatCode>#,##0</c:formatCode>
                <c:ptCount val="26"/>
                <c:pt idx="0">
                  <c:v>5395</c:v>
                </c:pt>
                <c:pt idx="1">
                  <c:v>5827</c:v>
                </c:pt>
                <c:pt idx="2">
                  <c:v>5878</c:v>
                </c:pt>
                <c:pt idx="3">
                  <c:v>5290</c:v>
                </c:pt>
                <c:pt idx="4">
                  <c:v>3900</c:v>
                </c:pt>
                <c:pt idx="5">
                  <c:v>2650</c:v>
                </c:pt>
                <c:pt idx="6">
                  <c:v>3000</c:v>
                </c:pt>
                <c:pt idx="7">
                  <c:v>2159</c:v>
                </c:pt>
                <c:pt idx="8">
                  <c:v>1100</c:v>
                </c:pt>
                <c:pt idx="9">
                  <c:v>1000</c:v>
                </c:pt>
                <c:pt idx="10">
                  <c:v>1225</c:v>
                </c:pt>
                <c:pt idx="11" formatCode="General">
                  <c:v>850</c:v>
                </c:pt>
                <c:pt idx="12">
                  <c:v>1600</c:v>
                </c:pt>
                <c:pt idx="13">
                  <c:v>1650</c:v>
                </c:pt>
                <c:pt idx="14">
                  <c:v>1800</c:v>
                </c:pt>
                <c:pt idx="15">
                  <c:v>1650</c:v>
                </c:pt>
                <c:pt idx="16">
                  <c:v>1475</c:v>
                </c:pt>
                <c:pt idx="17">
                  <c:v>1450</c:v>
                </c:pt>
                <c:pt idx="18">
                  <c:v>1375</c:v>
                </c:pt>
                <c:pt idx="19">
                  <c:v>1325</c:v>
                </c:pt>
                <c:pt idx="20">
                  <c:v>1125</c:v>
                </c:pt>
                <c:pt idx="21" formatCode="General">
                  <c:v>845</c:v>
                </c:pt>
                <c:pt idx="22" formatCode="General">
                  <c:v>600</c:v>
                </c:pt>
                <c:pt idx="23" formatCode="_(* #,##0_);_(* \(#,##0\);_(* &quot;-&quot;??_);_(@_)">
                  <c:v>550</c:v>
                </c:pt>
                <c:pt idx="24" formatCode="_(* #,##0_);_(* \(#,##0\);_(* &quot;-&quot;??_);_(@_)">
                  <c:v>90.366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Russ!$C$7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Russ!$D$7:$AC$7</c:f>
              <c:numCache>
                <c:formatCode>#,##0</c:formatCode>
                <c:ptCount val="26"/>
                <c:pt idx="0">
                  <c:v>5665</c:v>
                </c:pt>
                <c:pt idx="1">
                  <c:v>5600</c:v>
                </c:pt>
                <c:pt idx="2">
                  <c:v>5831</c:v>
                </c:pt>
                <c:pt idx="3">
                  <c:v>5469</c:v>
                </c:pt>
                <c:pt idx="4">
                  <c:v>4539</c:v>
                </c:pt>
                <c:pt idx="5">
                  <c:v>2200</c:v>
                </c:pt>
                <c:pt idx="6">
                  <c:v>2200</c:v>
                </c:pt>
                <c:pt idx="7">
                  <c:v>1263</c:v>
                </c:pt>
                <c:pt idx="8">
                  <c:v>1150</c:v>
                </c:pt>
                <c:pt idx="9">
                  <c:v>1150</c:v>
                </c:pt>
                <c:pt idx="10">
                  <c:v>1200</c:v>
                </c:pt>
                <c:pt idx="11" formatCode="General">
                  <c:v>920</c:v>
                </c:pt>
                <c:pt idx="12">
                  <c:v>1550</c:v>
                </c:pt>
                <c:pt idx="13">
                  <c:v>1600</c:v>
                </c:pt>
                <c:pt idx="14">
                  <c:v>1800</c:v>
                </c:pt>
                <c:pt idx="15">
                  <c:v>1650</c:v>
                </c:pt>
                <c:pt idx="16">
                  <c:v>1500</c:v>
                </c:pt>
                <c:pt idx="17">
                  <c:v>1425</c:v>
                </c:pt>
                <c:pt idx="18">
                  <c:v>1375</c:v>
                </c:pt>
                <c:pt idx="19">
                  <c:v>1325</c:v>
                </c:pt>
                <c:pt idx="20">
                  <c:v>1150</c:v>
                </c:pt>
                <c:pt idx="21" formatCode="General">
                  <c:v>900</c:v>
                </c:pt>
                <c:pt idx="22" formatCode="General">
                  <c:v>650</c:v>
                </c:pt>
                <c:pt idx="23" formatCode="_(* #,##0_);_(* \(#,##0\);_(* &quot;-&quot;??_);_(@_)">
                  <c:v>550</c:v>
                </c:pt>
                <c:pt idx="24" formatCode="_(* #,##0_);_(* \(#,##0\);_(* &quot;-&quot;??_);_(@_)">
                  <c:v>90.366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90120"/>
        <c:axId val="318388944"/>
      </c:lineChart>
      <c:catAx>
        <c:axId val="3183901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8944"/>
        <c:crosses val="autoZero"/>
        <c:auto val="1"/>
        <c:lblAlgn val="ctr"/>
        <c:lblOffset val="100"/>
        <c:noMultiLvlLbl val="0"/>
      </c:catAx>
      <c:valAx>
        <c:axId val="31838894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01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455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Russ!$C$8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Russ!$D$8:$AC$8</c:f>
              <c:numCache>
                <c:formatCode>General</c:formatCode>
                <c:ptCount val="26"/>
                <c:pt idx="0">
                  <c:v>541</c:v>
                </c:pt>
                <c:pt idx="1">
                  <c:v>675</c:v>
                </c:pt>
                <c:pt idx="2">
                  <c:v>738</c:v>
                </c:pt>
                <c:pt idx="3">
                  <c:v>717</c:v>
                </c:pt>
                <c:pt idx="4">
                  <c:v>624</c:v>
                </c:pt>
                <c:pt idx="5">
                  <c:v>505</c:v>
                </c:pt>
                <c:pt idx="6">
                  <c:v>497</c:v>
                </c:pt>
                <c:pt idx="7">
                  <c:v>421</c:v>
                </c:pt>
                <c:pt idx="8">
                  <c:v>290</c:v>
                </c:pt>
                <c:pt idx="9">
                  <c:v>279</c:v>
                </c:pt>
                <c:pt idx="10">
                  <c:v>280</c:v>
                </c:pt>
                <c:pt idx="11">
                  <c:v>297</c:v>
                </c:pt>
                <c:pt idx="12">
                  <c:v>334</c:v>
                </c:pt>
                <c:pt idx="13">
                  <c:v>342</c:v>
                </c:pt>
                <c:pt idx="14">
                  <c:v>350</c:v>
                </c:pt>
                <c:pt idx="15">
                  <c:v>423</c:v>
                </c:pt>
                <c:pt idx="16">
                  <c:v>393</c:v>
                </c:pt>
                <c:pt idx="17">
                  <c:v>555</c:v>
                </c:pt>
                <c:pt idx="18">
                  <c:v>689</c:v>
                </c:pt>
                <c:pt idx="19">
                  <c:v>807</c:v>
                </c:pt>
                <c:pt idx="20">
                  <c:v>652</c:v>
                </c:pt>
                <c:pt idx="21">
                  <c:v>744</c:v>
                </c:pt>
                <c:pt idx="22">
                  <c:v>942</c:v>
                </c:pt>
                <c:pt idx="23" formatCode="_(* #,##0_);_(* \(#,##0\);_(* &quot;-&quot;??_);_(@_)">
                  <c:v>1200</c:v>
                </c:pt>
                <c:pt idx="24" formatCode="_(* #,##0_);_(* \(#,##0\);_(* &quot;-&quot;??_);_(@_)">
                  <c:v>1756.01</c:v>
                </c:pt>
                <c:pt idx="25" formatCode="_(* #,##0_);_(* \(#,##0\);_(* &quot;-&quot;??_);_(@_)">
                  <c:v>1806.203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Russ!$C$9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Russ!$D$9:$AC$9</c:f>
              <c:numCache>
                <c:formatCode>General</c:formatCode>
                <c:ptCount val="26"/>
                <c:pt idx="0">
                  <c:v>425</c:v>
                </c:pt>
                <c:pt idx="1">
                  <c:v>200</c:v>
                </c:pt>
                <c:pt idx="2">
                  <c:v>200</c:v>
                </c:pt>
                <c:pt idx="3">
                  <c:v>180</c:v>
                </c:pt>
                <c:pt idx="4">
                  <c:v>75</c:v>
                </c:pt>
                <c:pt idx="5">
                  <c:v>167</c:v>
                </c:pt>
                <c:pt idx="6">
                  <c:v>68</c:v>
                </c:pt>
                <c:pt idx="7">
                  <c:v>35</c:v>
                </c:pt>
                <c:pt idx="8">
                  <c:v>35</c:v>
                </c:pt>
                <c:pt idx="9">
                  <c:v>4</c:v>
                </c:pt>
                <c:pt idx="10">
                  <c:v>14</c:v>
                </c:pt>
                <c:pt idx="11">
                  <c:v>200</c:v>
                </c:pt>
                <c:pt idx="12">
                  <c:v>65</c:v>
                </c:pt>
                <c:pt idx="13">
                  <c:v>22</c:v>
                </c:pt>
                <c:pt idx="14">
                  <c:v>64</c:v>
                </c:pt>
                <c:pt idx="15">
                  <c:v>15</c:v>
                </c:pt>
                <c:pt idx="16">
                  <c:v>1</c:v>
                </c:pt>
                <c:pt idx="17">
                  <c:v>40</c:v>
                </c:pt>
                <c:pt idx="18">
                  <c:v>2</c:v>
                </c:pt>
                <c:pt idx="19">
                  <c:v>34</c:v>
                </c:pt>
                <c:pt idx="20">
                  <c:v>442</c:v>
                </c:pt>
                <c:pt idx="21">
                  <c:v>837</c:v>
                </c:pt>
                <c:pt idx="22" formatCode="#,##0">
                  <c:v>1037</c:v>
                </c:pt>
                <c:pt idx="23" formatCode="_(* #,##0_);_(* \(#,##0\);_(* &quot;-&quot;??_);_(@_)">
                  <c:v>1150</c:v>
                </c:pt>
                <c:pt idx="24" formatCode="_(* #,##0_);_(* \(#,##0\);_(* &quot;-&quot;??_);_(@_)">
                  <c:v>890.53700000000003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Russ!$C$10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Russ!$D$10:$AC$10</c:f>
              <c:numCache>
                <c:formatCode>General</c:formatCode>
                <c:ptCount val="26"/>
                <c:pt idx="0">
                  <c:v>966</c:v>
                </c:pt>
                <c:pt idx="1">
                  <c:v>875</c:v>
                </c:pt>
                <c:pt idx="2">
                  <c:v>938</c:v>
                </c:pt>
                <c:pt idx="3">
                  <c:v>897</c:v>
                </c:pt>
                <c:pt idx="4">
                  <c:v>644</c:v>
                </c:pt>
                <c:pt idx="5">
                  <c:v>668</c:v>
                </c:pt>
                <c:pt idx="6">
                  <c:v>542</c:v>
                </c:pt>
                <c:pt idx="7">
                  <c:v>400</c:v>
                </c:pt>
                <c:pt idx="8">
                  <c:v>301</c:v>
                </c:pt>
                <c:pt idx="9">
                  <c:v>207</c:v>
                </c:pt>
                <c:pt idx="10">
                  <c:v>232</c:v>
                </c:pt>
                <c:pt idx="11">
                  <c:v>397</c:v>
                </c:pt>
                <c:pt idx="12">
                  <c:v>369</c:v>
                </c:pt>
                <c:pt idx="13">
                  <c:v>367</c:v>
                </c:pt>
                <c:pt idx="14">
                  <c:v>415</c:v>
                </c:pt>
                <c:pt idx="15">
                  <c:v>452</c:v>
                </c:pt>
                <c:pt idx="16">
                  <c:v>390</c:v>
                </c:pt>
                <c:pt idx="17">
                  <c:v>564</c:v>
                </c:pt>
                <c:pt idx="18">
                  <c:v>695</c:v>
                </c:pt>
                <c:pt idx="19">
                  <c:v>825</c:v>
                </c:pt>
                <c:pt idx="20" formatCode="#,##0">
                  <c:v>1071</c:v>
                </c:pt>
                <c:pt idx="21" formatCode="#,##0">
                  <c:v>1527</c:v>
                </c:pt>
                <c:pt idx="22" formatCode="#,##0">
                  <c:v>1980</c:v>
                </c:pt>
                <c:pt idx="23" formatCode="_(* #,##0_);_(* \(#,##0\);_(* &quot;-&quot;??_);_(@_)">
                  <c:v>2280</c:v>
                </c:pt>
                <c:pt idx="24" formatCode="_(* #,##0_);_(* \(#,##0\);_(* &quot;-&quot;??_);_(@_)">
                  <c:v>2646.547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91296"/>
        <c:axId val="318384632"/>
      </c:lineChart>
      <c:catAx>
        <c:axId val="318391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4632"/>
        <c:crosses val="autoZero"/>
        <c:auto val="1"/>
        <c:lblAlgn val="ctr"/>
        <c:lblOffset val="100"/>
        <c:noMultiLvlLbl val="0"/>
      </c:catAx>
      <c:valAx>
        <c:axId val="31838463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129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413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Russ!$C$11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Russ!$D$11:$AC$11</c:f>
              <c:numCache>
                <c:formatCode>General</c:formatCode>
                <c:ptCount val="26"/>
                <c:pt idx="0">
                  <c:v>697</c:v>
                </c:pt>
                <c:pt idx="1">
                  <c:v>745</c:v>
                </c:pt>
                <c:pt idx="2">
                  <c:v>641</c:v>
                </c:pt>
                <c:pt idx="3">
                  <c:v>582</c:v>
                </c:pt>
                <c:pt idx="4">
                  <c:v>502</c:v>
                </c:pt>
                <c:pt idx="5">
                  <c:v>491</c:v>
                </c:pt>
                <c:pt idx="6">
                  <c:v>447</c:v>
                </c:pt>
                <c:pt idx="7">
                  <c:v>340</c:v>
                </c:pt>
                <c:pt idx="8">
                  <c:v>300</c:v>
                </c:pt>
                <c:pt idx="9">
                  <c:v>253</c:v>
                </c:pt>
                <c:pt idx="10">
                  <c:v>213</c:v>
                </c:pt>
                <c:pt idx="11">
                  <c:v>268</c:v>
                </c:pt>
                <c:pt idx="12">
                  <c:v>289</c:v>
                </c:pt>
                <c:pt idx="13">
                  <c:v>381</c:v>
                </c:pt>
                <c:pt idx="14">
                  <c:v>323</c:v>
                </c:pt>
                <c:pt idx="15">
                  <c:v>314</c:v>
                </c:pt>
                <c:pt idx="16">
                  <c:v>293</c:v>
                </c:pt>
                <c:pt idx="17">
                  <c:v>306</c:v>
                </c:pt>
                <c:pt idx="18">
                  <c:v>372</c:v>
                </c:pt>
                <c:pt idx="19">
                  <c:v>445</c:v>
                </c:pt>
                <c:pt idx="20">
                  <c:v>460</c:v>
                </c:pt>
                <c:pt idx="21">
                  <c:v>480</c:v>
                </c:pt>
                <c:pt idx="22">
                  <c:v>590</c:v>
                </c:pt>
                <c:pt idx="23" formatCode="_(* #,##0_);_(* \(#,##0\);_(* &quot;-&quot;??_);_(@_)">
                  <c:v>690</c:v>
                </c:pt>
                <c:pt idx="24" formatCode="_(* #,##0_);_(* \(#,##0\);_(* &quot;-&quot;??_);_(@_)">
                  <c:v>1055.57</c:v>
                </c:pt>
                <c:pt idx="25" formatCode="_(* #,##0_);_(* \(#,##0\);_(* &quot;-&quot;??_);_(@_)">
                  <c:v>1051.8910000000001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Russ!$C$12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Russ!$D$12:$AC$12</c:f>
              <c:numCache>
                <c:formatCode>General</c:formatCode>
                <c:ptCount val="26"/>
                <c:pt idx="0">
                  <c:v>175</c:v>
                </c:pt>
                <c:pt idx="1">
                  <c:v>185</c:v>
                </c:pt>
                <c:pt idx="2">
                  <c:v>100</c:v>
                </c:pt>
                <c:pt idx="3">
                  <c:v>100</c:v>
                </c:pt>
                <c:pt idx="4">
                  <c:v>500</c:v>
                </c:pt>
                <c:pt idx="5">
                  <c:v>128</c:v>
                </c:pt>
                <c:pt idx="6">
                  <c:v>50</c:v>
                </c:pt>
                <c:pt idx="7">
                  <c:v>129</c:v>
                </c:pt>
                <c:pt idx="8">
                  <c:v>408</c:v>
                </c:pt>
                <c:pt idx="9">
                  <c:v>290</c:v>
                </c:pt>
                <c:pt idx="10">
                  <c:v>224</c:v>
                </c:pt>
                <c:pt idx="11">
                  <c:v>580</c:v>
                </c:pt>
                <c:pt idx="12">
                  <c:v>400</c:v>
                </c:pt>
                <c:pt idx="13">
                  <c:v>247</c:v>
                </c:pt>
                <c:pt idx="14">
                  <c:v>406</c:v>
                </c:pt>
                <c:pt idx="15">
                  <c:v>385</c:v>
                </c:pt>
                <c:pt idx="16">
                  <c:v>350</c:v>
                </c:pt>
                <c:pt idx="17">
                  <c:v>350</c:v>
                </c:pt>
                <c:pt idx="18">
                  <c:v>358</c:v>
                </c:pt>
                <c:pt idx="19">
                  <c:v>221</c:v>
                </c:pt>
                <c:pt idx="20">
                  <c:v>237</c:v>
                </c:pt>
                <c:pt idx="21">
                  <c:v>230</c:v>
                </c:pt>
                <c:pt idx="22">
                  <c:v>220</c:v>
                </c:pt>
                <c:pt idx="23" formatCode="_(* #,##0_);_(* \(#,##0\);_(* &quot;-&quot;??_);_(@_)">
                  <c:v>200</c:v>
                </c:pt>
                <c:pt idx="24" formatCode="_(* #,##0_);_(* \(#,##0\);_(* &quot;-&quot;??_);_(@_)">
                  <c:v>190.39699999999999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Russ!$C$13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Russ!$D$13:$AC$13</c:f>
              <c:numCache>
                <c:formatCode>General</c:formatCode>
                <c:ptCount val="26"/>
                <c:pt idx="0">
                  <c:v>166</c:v>
                </c:pt>
                <c:pt idx="1">
                  <c:v>150</c:v>
                </c:pt>
                <c:pt idx="2">
                  <c:v>150</c:v>
                </c:pt>
                <c:pt idx="3">
                  <c:v>150</c:v>
                </c:pt>
                <c:pt idx="4">
                  <c:v>25</c:v>
                </c:pt>
                <c:pt idx="5">
                  <c:v>25</c:v>
                </c:pt>
                <c:pt idx="6">
                  <c:v>90</c:v>
                </c:pt>
                <c:pt idx="7">
                  <c:v>91</c:v>
                </c:pt>
                <c:pt idx="8">
                  <c:v>33</c:v>
                </c:pt>
                <c:pt idx="9">
                  <c:v>12</c:v>
                </c:pt>
                <c:pt idx="10">
                  <c:v>14</c:v>
                </c:pt>
                <c:pt idx="11">
                  <c:v>7</c:v>
                </c:pt>
                <c:pt idx="12">
                  <c:v>25</c:v>
                </c:pt>
                <c:pt idx="13">
                  <c:v>10</c:v>
                </c:pt>
                <c:pt idx="14">
                  <c:v>6</c:v>
                </c:pt>
                <c:pt idx="15">
                  <c:v>20</c:v>
                </c:pt>
                <c:pt idx="16">
                  <c:v>45</c:v>
                </c:pt>
                <c:pt idx="17">
                  <c:v>10</c:v>
                </c:pt>
                <c:pt idx="18">
                  <c:v>18</c:v>
                </c:pt>
                <c:pt idx="19">
                  <c:v>12</c:v>
                </c:pt>
                <c:pt idx="20">
                  <c:v>21</c:v>
                </c:pt>
                <c:pt idx="21">
                  <c:v>90</c:v>
                </c:pt>
                <c:pt idx="22">
                  <c:v>154</c:v>
                </c:pt>
                <c:pt idx="23" formatCode="_(* #,##0_);_(* \(#,##0\);_(* &quot;-&quot;??_);_(@_)">
                  <c:v>120</c:v>
                </c:pt>
                <c:pt idx="24" formatCode="_(* #,##0_);_(* \(#,##0\);_(* &quot;-&quot;??_);_(@_)">
                  <c:v>132.124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Russ!$C$14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Russ!$D$14:$AC$14</c:f>
              <c:numCache>
                <c:formatCode>General</c:formatCode>
                <c:ptCount val="26"/>
                <c:pt idx="0">
                  <c:v>706</c:v>
                </c:pt>
                <c:pt idx="1">
                  <c:v>780</c:v>
                </c:pt>
                <c:pt idx="2">
                  <c:v>591</c:v>
                </c:pt>
                <c:pt idx="3">
                  <c:v>532</c:v>
                </c:pt>
                <c:pt idx="4">
                  <c:v>977</c:v>
                </c:pt>
                <c:pt idx="5">
                  <c:v>594</c:v>
                </c:pt>
                <c:pt idx="6">
                  <c:v>407</c:v>
                </c:pt>
                <c:pt idx="7">
                  <c:v>378</c:v>
                </c:pt>
                <c:pt idx="8">
                  <c:v>560</c:v>
                </c:pt>
                <c:pt idx="9">
                  <c:v>471</c:v>
                </c:pt>
                <c:pt idx="10">
                  <c:v>550</c:v>
                </c:pt>
                <c:pt idx="11">
                  <c:v>600</c:v>
                </c:pt>
                <c:pt idx="12">
                  <c:v>625</c:v>
                </c:pt>
                <c:pt idx="13">
                  <c:v>650</c:v>
                </c:pt>
                <c:pt idx="14">
                  <c:v>680</c:v>
                </c:pt>
                <c:pt idx="15">
                  <c:v>710</c:v>
                </c:pt>
                <c:pt idx="16">
                  <c:v>715</c:v>
                </c:pt>
                <c:pt idx="17">
                  <c:v>720</c:v>
                </c:pt>
                <c:pt idx="18">
                  <c:v>725</c:v>
                </c:pt>
                <c:pt idx="19">
                  <c:v>689</c:v>
                </c:pt>
                <c:pt idx="20">
                  <c:v>676</c:v>
                </c:pt>
                <c:pt idx="21">
                  <c:v>640</c:v>
                </c:pt>
                <c:pt idx="22">
                  <c:v>650</c:v>
                </c:pt>
                <c:pt idx="23" formatCode="_(* #,##0_);_(* \(#,##0\);_(* &quot;-&quot;??_);_(@_)">
                  <c:v>720</c:v>
                </c:pt>
                <c:pt idx="24" formatCode="_(* #,##0_);_(* \(#,##0\);_(* &quot;-&quot;??_);_(@_)">
                  <c:v>1113.8429999999998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84240"/>
        <c:axId val="318391688"/>
      </c:lineChart>
      <c:catAx>
        <c:axId val="3183842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1688"/>
        <c:crosses val="autoZero"/>
        <c:auto val="1"/>
        <c:lblAlgn val="ctr"/>
        <c:lblOffset val="100"/>
        <c:noMultiLvlLbl val="0"/>
      </c:catAx>
      <c:valAx>
        <c:axId val="31839168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424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413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Russ!$C$15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Russ!$D$15:$AC$15</c:f>
              <c:numCache>
                <c:formatCode>General</c:formatCode>
                <c:ptCount val="26"/>
                <c:pt idx="0">
                  <c:v>0</c:v>
                </c:pt>
                <c:pt idx="1">
                  <c:v>0</c:v>
                </c:pt>
                <c:pt idx="2" formatCode="#,##0">
                  <c:v>3200</c:v>
                </c:pt>
                <c:pt idx="3" formatCode="#,##0">
                  <c:v>2600</c:v>
                </c:pt>
                <c:pt idx="4" formatCode="#,##0">
                  <c:v>2200</c:v>
                </c:pt>
                <c:pt idx="5" formatCode="#,##0">
                  <c:v>2540</c:v>
                </c:pt>
                <c:pt idx="6" formatCode="#,##0">
                  <c:v>2700</c:v>
                </c:pt>
                <c:pt idx="7" formatCode="#,##0">
                  <c:v>1655</c:v>
                </c:pt>
                <c:pt idx="8" formatCode="#,##0">
                  <c:v>2060</c:v>
                </c:pt>
                <c:pt idx="9" formatCode="#,##0">
                  <c:v>1300</c:v>
                </c:pt>
                <c:pt idx="10" formatCode="#,##0">
                  <c:v>1300</c:v>
                </c:pt>
                <c:pt idx="11" formatCode="#,##0">
                  <c:v>1300</c:v>
                </c:pt>
                <c:pt idx="12" formatCode="#,##0">
                  <c:v>1500</c:v>
                </c:pt>
                <c:pt idx="13" formatCode="#,##0">
                  <c:v>1550</c:v>
                </c:pt>
                <c:pt idx="14" formatCode="#,##0">
                  <c:v>1630</c:v>
                </c:pt>
                <c:pt idx="15" formatCode="#,##0">
                  <c:v>1580</c:v>
                </c:pt>
                <c:pt idx="16" formatCode="#,##0">
                  <c:v>1930</c:v>
                </c:pt>
                <c:pt idx="17" formatCode="#,##0">
                  <c:v>2250</c:v>
                </c:pt>
                <c:pt idx="18" formatCode="#,##0">
                  <c:v>2500</c:v>
                </c:pt>
                <c:pt idx="19" formatCode="#,##0">
                  <c:v>3150</c:v>
                </c:pt>
                <c:pt idx="20" formatCode="#,##0">
                  <c:v>3200</c:v>
                </c:pt>
                <c:pt idx="21" formatCode="#,##0">
                  <c:v>3481</c:v>
                </c:pt>
                <c:pt idx="22" formatCode="#,##0">
                  <c:v>3313</c:v>
                </c:pt>
                <c:pt idx="23" formatCode="_(* #,##0_);_(* \(#,##0\);_(* &quot;-&quot;??_);_(@_)">
                  <c:v>2850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Russ!$C$16</c:f>
              <c:strCache>
                <c:ptCount val="1"/>
                <c:pt idx="0">
                  <c:v>Total Imports</c:v>
                </c:pt>
              </c:strCache>
            </c:strRef>
          </c:tx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Russ!$D$16:$AC$16</c:f>
              <c:numCache>
                <c:formatCode>General</c:formatCode>
                <c:ptCount val="26"/>
                <c:pt idx="0">
                  <c:v>0</c:v>
                </c:pt>
                <c:pt idx="1">
                  <c:v>0</c:v>
                </c:pt>
                <c:pt idx="2" formatCode="#,##0">
                  <c:v>2161</c:v>
                </c:pt>
                <c:pt idx="3" formatCode="#,##0">
                  <c:v>3580</c:v>
                </c:pt>
                <c:pt idx="4" formatCode="#,##0">
                  <c:v>3850</c:v>
                </c:pt>
                <c:pt idx="5" formatCode="#,##0">
                  <c:v>3500</c:v>
                </c:pt>
                <c:pt idx="6" formatCode="#,##0">
                  <c:v>3150</c:v>
                </c:pt>
                <c:pt idx="7" formatCode="#,##0">
                  <c:v>2700</c:v>
                </c:pt>
                <c:pt idx="8" formatCode="#,##0">
                  <c:v>3200</c:v>
                </c:pt>
                <c:pt idx="9" formatCode="#,##0">
                  <c:v>3600</c:v>
                </c:pt>
                <c:pt idx="10" formatCode="#,##0">
                  <c:v>4210</c:v>
                </c:pt>
                <c:pt idx="11" formatCode="#,##0">
                  <c:v>5400</c:v>
                </c:pt>
                <c:pt idx="12" formatCode="#,##0">
                  <c:v>5170</c:v>
                </c:pt>
                <c:pt idx="13" formatCode="#,##0">
                  <c:v>5650</c:v>
                </c:pt>
                <c:pt idx="14" formatCode="#,##0">
                  <c:v>4850</c:v>
                </c:pt>
                <c:pt idx="15" formatCode="#,##0">
                  <c:v>4000</c:v>
                </c:pt>
                <c:pt idx="16" formatCode="#,##0">
                  <c:v>3670</c:v>
                </c:pt>
                <c:pt idx="17" formatCode="#,##0">
                  <c:v>4300</c:v>
                </c:pt>
                <c:pt idx="18" formatCode="#,##0">
                  <c:v>2900</c:v>
                </c:pt>
                <c:pt idx="19" formatCode="#,##0">
                  <c:v>2950</c:v>
                </c:pt>
                <c:pt idx="20" formatCode="#,##0">
                  <c:v>3100</c:v>
                </c:pt>
                <c:pt idx="21" formatCode="#,##0">
                  <c:v>2150</c:v>
                </c:pt>
                <c:pt idx="22" formatCode="#,##0">
                  <c:v>2380</c:v>
                </c:pt>
                <c:pt idx="23" formatCode="_(* #,##0_);_(* \(#,##0\);_(* &quot;-&quot;??_);_(@_)">
                  <c:v>3050</c:v>
                </c:pt>
                <c:pt idx="24" formatCode="_(* #,##0_);_(* \(#,##0\);_(* &quot;-&quot;??_);_(@_)">
                  <c:v>2331.4920000000002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Russ!$C$17</c:f>
              <c:strCache>
                <c:ptCount val="1"/>
                <c:pt idx="0">
                  <c:v>Total Exports</c:v>
                </c:pt>
              </c:strCache>
            </c:strRef>
          </c:tx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Russ!$D$17:$AC$17</c:f>
              <c:numCache>
                <c:formatCode>General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130</c:v>
                </c:pt>
                <c:pt idx="3">
                  <c:v>120</c:v>
                </c:pt>
                <c:pt idx="4">
                  <c:v>100</c:v>
                </c:pt>
                <c:pt idx="5">
                  <c:v>80</c:v>
                </c:pt>
                <c:pt idx="6">
                  <c:v>80</c:v>
                </c:pt>
                <c:pt idx="7">
                  <c:v>100</c:v>
                </c:pt>
                <c:pt idx="8">
                  <c:v>100</c:v>
                </c:pt>
                <c:pt idx="9">
                  <c:v>130</c:v>
                </c:pt>
                <c:pt idx="10">
                  <c:v>150</c:v>
                </c:pt>
                <c:pt idx="11">
                  <c:v>160</c:v>
                </c:pt>
                <c:pt idx="12">
                  <c:v>190</c:v>
                </c:pt>
                <c:pt idx="13">
                  <c:v>260</c:v>
                </c:pt>
                <c:pt idx="14">
                  <c:v>410</c:v>
                </c:pt>
                <c:pt idx="15">
                  <c:v>260</c:v>
                </c:pt>
                <c:pt idx="16">
                  <c:v>110</c:v>
                </c:pt>
                <c:pt idx="17">
                  <c:v>110</c:v>
                </c:pt>
                <c:pt idx="18">
                  <c:v>110</c:v>
                </c:pt>
                <c:pt idx="19">
                  <c:v>180</c:v>
                </c:pt>
                <c:pt idx="20">
                  <c:v>200</c:v>
                </c:pt>
                <c:pt idx="21">
                  <c:v>200</c:v>
                </c:pt>
                <c:pt idx="22">
                  <c:v>100</c:v>
                </c:pt>
                <c:pt idx="23" formatCode="_(* #,##0_);_(* \(#,##0\);_(* &quot;-&quot;??_);_(@_)">
                  <c:v>100</c:v>
                </c:pt>
                <c:pt idx="24" formatCode="_(* #,##0_);_(* \(#,##0\);_(* &quot;-&quot;??_);_(@_)">
                  <c:v>38.53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Russ!$C$18</c:f>
              <c:strCache>
                <c:ptCount val="1"/>
                <c:pt idx="0">
                  <c:v>Human Dom.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Russ!$D$18:$AC$18</c:f>
              <c:numCache>
                <c:formatCode>General</c:formatCode>
                <c:ptCount val="26"/>
                <c:pt idx="0">
                  <c:v>0</c:v>
                </c:pt>
                <c:pt idx="1">
                  <c:v>0</c:v>
                </c:pt>
                <c:pt idx="2" formatCode="#,##0">
                  <c:v>7600</c:v>
                </c:pt>
                <c:pt idx="3" formatCode="#,##0">
                  <c:v>6350</c:v>
                </c:pt>
                <c:pt idx="4" formatCode="#,##0">
                  <c:v>5800</c:v>
                </c:pt>
                <c:pt idx="5" formatCode="#,##0">
                  <c:v>5800</c:v>
                </c:pt>
                <c:pt idx="6" formatCode="#,##0">
                  <c:v>5400</c:v>
                </c:pt>
                <c:pt idx="7" formatCode="#,##0">
                  <c:v>4900</c:v>
                </c:pt>
                <c:pt idx="8" formatCode="#,##0">
                  <c:v>5000</c:v>
                </c:pt>
                <c:pt idx="9" formatCode="#,##0">
                  <c:v>5100</c:v>
                </c:pt>
                <c:pt idx="10" formatCode="#,##0">
                  <c:v>4960</c:v>
                </c:pt>
                <c:pt idx="11" formatCode="#,##0">
                  <c:v>4995</c:v>
                </c:pt>
                <c:pt idx="12" formatCode="#,##0">
                  <c:v>6130</c:v>
                </c:pt>
                <c:pt idx="13" formatCode="#,##0">
                  <c:v>6840</c:v>
                </c:pt>
                <c:pt idx="14" formatCode="#,##0">
                  <c:v>7040</c:v>
                </c:pt>
                <c:pt idx="15" formatCode="#,##0">
                  <c:v>6400</c:v>
                </c:pt>
                <c:pt idx="16" formatCode="#,##0">
                  <c:v>6100</c:v>
                </c:pt>
                <c:pt idx="17" formatCode="#,##0">
                  <c:v>6300</c:v>
                </c:pt>
                <c:pt idx="18" formatCode="#,##0">
                  <c:v>5400</c:v>
                </c:pt>
                <c:pt idx="19" formatCode="#,##0">
                  <c:v>5950</c:v>
                </c:pt>
                <c:pt idx="20" formatCode="#,##0">
                  <c:v>5990</c:v>
                </c:pt>
                <c:pt idx="21" formatCode="#,##0">
                  <c:v>5500</c:v>
                </c:pt>
                <c:pt idx="22" formatCode="#,##0">
                  <c:v>5694</c:v>
                </c:pt>
                <c:pt idx="23" formatCode="_(* #,##0_);_(* \(#,##0\);_(* &quot;-&quot;??_);_(@_)">
                  <c:v>5736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88552"/>
        <c:axId val="318389336"/>
      </c:lineChart>
      <c:catAx>
        <c:axId val="318388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9336"/>
        <c:crosses val="autoZero"/>
        <c:auto val="1"/>
        <c:lblAlgn val="ctr"/>
        <c:lblOffset val="100"/>
        <c:noMultiLvlLbl val="0"/>
      </c:catAx>
      <c:valAx>
        <c:axId val="3183893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855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344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Russ!$C$19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Russ!$D$19:$AC$19</c:f>
              <c:numCache>
                <c:formatCode>#,##0</c:formatCode>
                <c:ptCount val="26"/>
                <c:pt idx="0">
                  <c:v>36868</c:v>
                </c:pt>
                <c:pt idx="1">
                  <c:v>39864</c:v>
                </c:pt>
                <c:pt idx="2">
                  <c:v>44004</c:v>
                </c:pt>
                <c:pt idx="3">
                  <c:v>49596</c:v>
                </c:pt>
                <c:pt idx="4">
                  <c:v>38900</c:v>
                </c:pt>
                <c:pt idx="5">
                  <c:v>46170</c:v>
                </c:pt>
                <c:pt idx="6">
                  <c:v>43500</c:v>
                </c:pt>
                <c:pt idx="7">
                  <c:v>32100</c:v>
                </c:pt>
                <c:pt idx="8">
                  <c:v>30100</c:v>
                </c:pt>
                <c:pt idx="9">
                  <c:v>34900</c:v>
                </c:pt>
                <c:pt idx="10">
                  <c:v>44250</c:v>
                </c:pt>
                <c:pt idx="11">
                  <c:v>27012</c:v>
                </c:pt>
                <c:pt idx="12">
                  <c:v>30995</c:v>
                </c:pt>
                <c:pt idx="13">
                  <c:v>34455</c:v>
                </c:pt>
                <c:pt idx="14">
                  <c:v>46982</c:v>
                </c:pt>
                <c:pt idx="15">
                  <c:v>50609</c:v>
                </c:pt>
                <c:pt idx="16">
                  <c:v>34070</c:v>
                </c:pt>
                <c:pt idx="17">
                  <c:v>45434</c:v>
                </c:pt>
                <c:pt idx="18">
                  <c:v>47615</c:v>
                </c:pt>
                <c:pt idx="19">
                  <c:v>44927</c:v>
                </c:pt>
                <c:pt idx="20">
                  <c:v>49368</c:v>
                </c:pt>
                <c:pt idx="21">
                  <c:v>63765</c:v>
                </c:pt>
                <c:pt idx="22">
                  <c:v>61770</c:v>
                </c:pt>
                <c:pt idx="23" formatCode="_(* #,##0_);_(* \(#,##0\);_(* &quot;-&quot;??_);_(@_)">
                  <c:v>41508</c:v>
                </c:pt>
                <c:pt idx="24" formatCode="_(* #,##0_);_(* \(#,##0\);_(* &quot;-&quot;??_);_(@_)">
                  <c:v>56239.99</c:v>
                </c:pt>
                <c:pt idx="25" formatCode="_(* #,##0_);_(* \(#,##0\);_(* &quot;-&quot;??_);_(@_)">
                  <c:v>37719.64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Russ!$C$20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Russ!$D$20:$AC$20</c:f>
              <c:numCache>
                <c:formatCode>#,##0</c:formatCode>
                <c:ptCount val="26"/>
                <c:pt idx="0">
                  <c:v>14900</c:v>
                </c:pt>
                <c:pt idx="1">
                  <c:v>9860</c:v>
                </c:pt>
                <c:pt idx="2">
                  <c:v>9100</c:v>
                </c:pt>
                <c:pt idx="3">
                  <c:v>10849</c:v>
                </c:pt>
                <c:pt idx="4">
                  <c:v>13645</c:v>
                </c:pt>
                <c:pt idx="5">
                  <c:v>14470</c:v>
                </c:pt>
                <c:pt idx="6">
                  <c:v>5000</c:v>
                </c:pt>
                <c:pt idx="7">
                  <c:v>2167</c:v>
                </c:pt>
                <c:pt idx="8">
                  <c:v>5316</c:v>
                </c:pt>
                <c:pt idx="9">
                  <c:v>2631</c:v>
                </c:pt>
                <c:pt idx="10">
                  <c:v>3120</c:v>
                </c:pt>
                <c:pt idx="11">
                  <c:v>2490</c:v>
                </c:pt>
                <c:pt idx="12">
                  <c:v>5083</c:v>
                </c:pt>
                <c:pt idx="13">
                  <c:v>1604</c:v>
                </c:pt>
                <c:pt idx="14" formatCode="General">
                  <c:v>629</c:v>
                </c:pt>
                <c:pt idx="15">
                  <c:v>1045</c:v>
                </c:pt>
                <c:pt idx="16">
                  <c:v>1026</c:v>
                </c:pt>
                <c:pt idx="17">
                  <c:v>1197</c:v>
                </c:pt>
                <c:pt idx="18">
                  <c:v>1321</c:v>
                </c:pt>
                <c:pt idx="19" formatCode="General">
                  <c:v>928</c:v>
                </c:pt>
                <c:pt idx="20" formatCode="General">
                  <c:v>440</c:v>
                </c:pt>
                <c:pt idx="21" formatCode="General">
                  <c:v>203</c:v>
                </c:pt>
                <c:pt idx="22" formatCode="General">
                  <c:v>164</c:v>
                </c:pt>
                <c:pt idx="23" formatCode="_(* #,##0_);_(* \(#,##0\);_(* &quot;-&quot;??_);_(@_)">
                  <c:v>500</c:v>
                </c:pt>
                <c:pt idx="24" formatCode="_(* #,##0_);_(* \(#,##0\);_(* &quot;-&quot;??_);_(@_)">
                  <c:v>120.143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Russ!$C$21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Russ!$D$21:$AC$21</c:f>
              <c:numCache>
                <c:formatCode>General</c:formatCode>
                <c:ptCount val="26"/>
                <c:pt idx="0">
                  <c:v>800</c:v>
                </c:pt>
                <c:pt idx="1">
                  <c:v>970</c:v>
                </c:pt>
                <c:pt idx="2" formatCode="#,##0">
                  <c:v>1150</c:v>
                </c:pt>
                <c:pt idx="3" formatCode="#,##0">
                  <c:v>1200</c:v>
                </c:pt>
                <c:pt idx="4">
                  <c:v>555</c:v>
                </c:pt>
                <c:pt idx="5">
                  <c:v>900</c:v>
                </c:pt>
                <c:pt idx="6">
                  <c:v>500</c:v>
                </c:pt>
                <c:pt idx="7">
                  <c:v>619</c:v>
                </c:pt>
                <c:pt idx="8">
                  <c:v>206</c:v>
                </c:pt>
                <c:pt idx="9">
                  <c:v>697</c:v>
                </c:pt>
                <c:pt idx="10" formatCode="#,##0">
                  <c:v>1111</c:v>
                </c:pt>
                <c:pt idx="11" formatCode="#,##0">
                  <c:v>1652</c:v>
                </c:pt>
                <c:pt idx="12">
                  <c:v>518</c:v>
                </c:pt>
                <c:pt idx="13">
                  <c:v>696</c:v>
                </c:pt>
                <c:pt idx="14" formatCode="#,##0">
                  <c:v>4372</c:v>
                </c:pt>
                <c:pt idx="15" formatCode="#,##0">
                  <c:v>12621</c:v>
                </c:pt>
                <c:pt idx="16" formatCode="#,##0">
                  <c:v>3114</c:v>
                </c:pt>
                <c:pt idx="17" formatCode="#,##0">
                  <c:v>8456</c:v>
                </c:pt>
                <c:pt idx="18" formatCode="#,##0">
                  <c:v>10664</c:v>
                </c:pt>
                <c:pt idx="19" formatCode="#,##0">
                  <c:v>10790</c:v>
                </c:pt>
                <c:pt idx="20" formatCode="#,##0">
                  <c:v>12220</c:v>
                </c:pt>
                <c:pt idx="21" formatCode="#,##0">
                  <c:v>18393</c:v>
                </c:pt>
                <c:pt idx="22" formatCode="#,##0">
                  <c:v>18556</c:v>
                </c:pt>
                <c:pt idx="23" formatCode="_(* #,##0_);_(* \(#,##0\);_(* &quot;-&quot;??_);_(@_)">
                  <c:v>4000</c:v>
                </c:pt>
                <c:pt idx="24" formatCode="_(* #,##0_);_(* \(#,##0\);_(* &quot;-&quot;??_);_(@_)">
                  <c:v>15185.953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Russ!$C$22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Russ!$D$1:$AC$1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Russ!$D$22:$AC$22</c:f>
              <c:numCache>
                <c:formatCode>#,##0</c:formatCode>
                <c:ptCount val="26"/>
                <c:pt idx="0">
                  <c:v>50981</c:v>
                </c:pt>
                <c:pt idx="1">
                  <c:v>48840</c:v>
                </c:pt>
                <c:pt idx="2">
                  <c:v>51960</c:v>
                </c:pt>
                <c:pt idx="3">
                  <c:v>57260</c:v>
                </c:pt>
                <c:pt idx="4">
                  <c:v>53823</c:v>
                </c:pt>
                <c:pt idx="5">
                  <c:v>56617</c:v>
                </c:pt>
                <c:pt idx="6">
                  <c:v>48945</c:v>
                </c:pt>
                <c:pt idx="7">
                  <c:v>42873</c:v>
                </c:pt>
                <c:pt idx="8">
                  <c:v>39810</c:v>
                </c:pt>
                <c:pt idx="9">
                  <c:v>38134</c:v>
                </c:pt>
                <c:pt idx="10">
                  <c:v>39809</c:v>
                </c:pt>
                <c:pt idx="11">
                  <c:v>34838</c:v>
                </c:pt>
                <c:pt idx="12">
                  <c:v>35365</c:v>
                </c:pt>
                <c:pt idx="13">
                  <c:v>35158</c:v>
                </c:pt>
                <c:pt idx="14">
                  <c:v>37078</c:v>
                </c:pt>
                <c:pt idx="15">
                  <c:v>38320</c:v>
                </c:pt>
                <c:pt idx="16">
                  <c:v>35500</c:v>
                </c:pt>
                <c:pt idx="17">
                  <c:v>37400</c:v>
                </c:pt>
                <c:pt idx="18">
                  <c:v>38400</c:v>
                </c:pt>
                <c:pt idx="19">
                  <c:v>36400</c:v>
                </c:pt>
                <c:pt idx="20">
                  <c:v>37650</c:v>
                </c:pt>
                <c:pt idx="21">
                  <c:v>38900</c:v>
                </c:pt>
                <c:pt idx="22">
                  <c:v>42000</c:v>
                </c:pt>
                <c:pt idx="23" formatCode="_(* #,##0_);_(* \(#,##0\);_(* &quot;-&quot;??_);_(@_)">
                  <c:v>45800</c:v>
                </c:pt>
                <c:pt idx="24" formatCode="_(* #,##0_);_(* \(#,##0\);_(* &quot;-&quot;??_);_(@_)">
                  <c:v>41174.179999999993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89728"/>
        <c:axId val="318381496"/>
      </c:lineChart>
      <c:catAx>
        <c:axId val="318389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1496"/>
        <c:crosses val="autoZero"/>
        <c:auto val="1"/>
        <c:lblAlgn val="ctr"/>
        <c:lblOffset val="100"/>
        <c:noMultiLvlLbl val="0"/>
      </c:catAx>
      <c:valAx>
        <c:axId val="3183814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972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302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63"/>
          <c:w val="0.845245908485693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SAfr!$C$2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SAfr!$D$2:$BD$2</c:f>
              <c:numCache>
                <c:formatCode>_(* #,##0_);_(* \(#,##0\);_(* "-"??_);_(@_)</c:formatCode>
                <c:ptCount val="53"/>
                <c:pt idx="0">
                  <c:v>5275</c:v>
                </c:pt>
                <c:pt idx="1">
                  <c:v>6002</c:v>
                </c:pt>
                <c:pt idx="2">
                  <c:v>6100</c:v>
                </c:pt>
                <c:pt idx="3">
                  <c:v>4279</c:v>
                </c:pt>
                <c:pt idx="4">
                  <c:v>4583</c:v>
                </c:pt>
                <c:pt idx="5">
                  <c:v>5118</c:v>
                </c:pt>
                <c:pt idx="6">
                  <c:v>9762</c:v>
                </c:pt>
                <c:pt idx="7">
                  <c:v>5316</c:v>
                </c:pt>
                <c:pt idx="8">
                  <c:v>5340</c:v>
                </c:pt>
                <c:pt idx="9">
                  <c:v>6132</c:v>
                </c:pt>
                <c:pt idx="10">
                  <c:v>8600</c:v>
                </c:pt>
                <c:pt idx="11">
                  <c:v>9483</c:v>
                </c:pt>
                <c:pt idx="12">
                  <c:v>4160</c:v>
                </c:pt>
                <c:pt idx="13">
                  <c:v>11105</c:v>
                </c:pt>
                <c:pt idx="14">
                  <c:v>9140</c:v>
                </c:pt>
                <c:pt idx="15">
                  <c:v>7314</c:v>
                </c:pt>
                <c:pt idx="16">
                  <c:v>9727</c:v>
                </c:pt>
                <c:pt idx="17">
                  <c:v>10056</c:v>
                </c:pt>
                <c:pt idx="18">
                  <c:v>8332</c:v>
                </c:pt>
                <c:pt idx="19">
                  <c:v>11040</c:v>
                </c:pt>
                <c:pt idx="20">
                  <c:v>14872</c:v>
                </c:pt>
                <c:pt idx="21">
                  <c:v>8781</c:v>
                </c:pt>
                <c:pt idx="22">
                  <c:v>4399</c:v>
                </c:pt>
                <c:pt idx="23">
                  <c:v>4797</c:v>
                </c:pt>
                <c:pt idx="24">
                  <c:v>8444</c:v>
                </c:pt>
                <c:pt idx="25">
                  <c:v>8600</c:v>
                </c:pt>
                <c:pt idx="26">
                  <c:v>7890</c:v>
                </c:pt>
                <c:pt idx="27">
                  <c:v>7670</c:v>
                </c:pt>
                <c:pt idx="28">
                  <c:v>12481</c:v>
                </c:pt>
                <c:pt idx="29">
                  <c:v>9180</c:v>
                </c:pt>
                <c:pt idx="30">
                  <c:v>8614</c:v>
                </c:pt>
                <c:pt idx="31">
                  <c:v>3277</c:v>
                </c:pt>
                <c:pt idx="32">
                  <c:v>9997</c:v>
                </c:pt>
                <c:pt idx="33">
                  <c:v>13275</c:v>
                </c:pt>
                <c:pt idx="34">
                  <c:v>4866</c:v>
                </c:pt>
                <c:pt idx="35">
                  <c:v>10171</c:v>
                </c:pt>
                <c:pt idx="36">
                  <c:v>10136</c:v>
                </c:pt>
                <c:pt idx="37">
                  <c:v>7693</c:v>
                </c:pt>
                <c:pt idx="38">
                  <c:v>7946</c:v>
                </c:pt>
                <c:pt idx="39">
                  <c:v>11455</c:v>
                </c:pt>
                <c:pt idx="40">
                  <c:v>8040</c:v>
                </c:pt>
                <c:pt idx="41">
                  <c:v>10050</c:v>
                </c:pt>
                <c:pt idx="42">
                  <c:v>9675</c:v>
                </c:pt>
                <c:pt idx="43">
                  <c:v>9700</c:v>
                </c:pt>
                <c:pt idx="44">
                  <c:v>11716</c:v>
                </c:pt>
                <c:pt idx="45">
                  <c:v>6935</c:v>
                </c:pt>
                <c:pt idx="46">
                  <c:v>7300</c:v>
                </c:pt>
                <c:pt idx="47">
                  <c:v>13164</c:v>
                </c:pt>
                <c:pt idx="48">
                  <c:v>12567</c:v>
                </c:pt>
                <c:pt idx="49">
                  <c:v>13420</c:v>
                </c:pt>
                <c:pt idx="50">
                  <c:v>10360</c:v>
                </c:pt>
                <c:pt idx="51">
                  <c:v>11830</c:v>
                </c:pt>
                <c:pt idx="52">
                  <c:v>12486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SAfr!$C$3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SAfr!$D$3:$BD$3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2</c:v>
                </c:pt>
                <c:pt idx="2">
                  <c:v>1</c:v>
                </c:pt>
                <c:pt idx="3">
                  <c:v>0</c:v>
                </c:pt>
                <c:pt idx="4">
                  <c:v>160</c:v>
                </c:pt>
                <c:pt idx="5">
                  <c:v>136</c:v>
                </c:pt>
                <c:pt idx="6">
                  <c:v>3</c:v>
                </c:pt>
                <c:pt idx="7">
                  <c:v>0</c:v>
                </c:pt>
                <c:pt idx="8">
                  <c:v>503</c:v>
                </c:pt>
                <c:pt idx="9">
                  <c:v>9</c:v>
                </c:pt>
                <c:pt idx="10">
                  <c:v>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2314</c:v>
                </c:pt>
                <c:pt idx="23">
                  <c:v>2008</c:v>
                </c:pt>
                <c:pt idx="24">
                  <c:v>193</c:v>
                </c:pt>
                <c:pt idx="25">
                  <c:v>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205</c:v>
                </c:pt>
                <c:pt idx="30">
                  <c:v>375</c:v>
                </c:pt>
                <c:pt idx="31">
                  <c:v>4000</c:v>
                </c:pt>
                <c:pt idx="32">
                  <c:v>0</c:v>
                </c:pt>
                <c:pt idx="33">
                  <c:v>225</c:v>
                </c:pt>
                <c:pt idx="34">
                  <c:v>825</c:v>
                </c:pt>
                <c:pt idx="35">
                  <c:v>410</c:v>
                </c:pt>
                <c:pt idx="36">
                  <c:v>157</c:v>
                </c:pt>
                <c:pt idx="37">
                  <c:v>124</c:v>
                </c:pt>
                <c:pt idx="38">
                  <c:v>569</c:v>
                </c:pt>
                <c:pt idx="39">
                  <c:v>0</c:v>
                </c:pt>
                <c:pt idx="40">
                  <c:v>395</c:v>
                </c:pt>
                <c:pt idx="41">
                  <c:v>923</c:v>
                </c:pt>
                <c:pt idx="42">
                  <c:v>441</c:v>
                </c:pt>
                <c:pt idx="43">
                  <c:v>219</c:v>
                </c:pt>
                <c:pt idx="44">
                  <c:v>361</c:v>
                </c:pt>
                <c:pt idx="45">
                  <c:v>931</c:v>
                </c:pt>
                <c:pt idx="46">
                  <c:v>1121</c:v>
                </c:pt>
                <c:pt idx="47">
                  <c:v>27</c:v>
                </c:pt>
                <c:pt idx="48">
                  <c:v>27</c:v>
                </c:pt>
                <c:pt idx="49">
                  <c:v>25</c:v>
                </c:pt>
                <c:pt idx="50">
                  <c:v>87.507999999999996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SAfr!$C$4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SAfr!$D$4:$BD$4</c:f>
              <c:numCache>
                <c:formatCode>_(* #,##0_);_(* \(#,##0\);_(* "-"??_);_(@_)</c:formatCode>
                <c:ptCount val="53"/>
                <c:pt idx="0">
                  <c:v>1617</c:v>
                </c:pt>
                <c:pt idx="1">
                  <c:v>2586</c:v>
                </c:pt>
                <c:pt idx="2">
                  <c:v>2765</c:v>
                </c:pt>
                <c:pt idx="3">
                  <c:v>1101</c:v>
                </c:pt>
                <c:pt idx="4">
                  <c:v>480</c:v>
                </c:pt>
                <c:pt idx="5">
                  <c:v>482</c:v>
                </c:pt>
                <c:pt idx="6">
                  <c:v>2899</c:v>
                </c:pt>
                <c:pt idx="7">
                  <c:v>2671</c:v>
                </c:pt>
                <c:pt idx="8">
                  <c:v>796</c:v>
                </c:pt>
                <c:pt idx="9">
                  <c:v>1104</c:v>
                </c:pt>
                <c:pt idx="10">
                  <c:v>2555</c:v>
                </c:pt>
                <c:pt idx="11">
                  <c:v>3562</c:v>
                </c:pt>
                <c:pt idx="12">
                  <c:v>157</c:v>
                </c:pt>
                <c:pt idx="13">
                  <c:v>3227</c:v>
                </c:pt>
                <c:pt idx="14">
                  <c:v>3206</c:v>
                </c:pt>
                <c:pt idx="15">
                  <c:v>1465</c:v>
                </c:pt>
                <c:pt idx="16">
                  <c:v>2525</c:v>
                </c:pt>
                <c:pt idx="17">
                  <c:v>3012</c:v>
                </c:pt>
                <c:pt idx="18">
                  <c:v>2325</c:v>
                </c:pt>
                <c:pt idx="19">
                  <c:v>3444</c:v>
                </c:pt>
                <c:pt idx="20">
                  <c:v>4955</c:v>
                </c:pt>
                <c:pt idx="21">
                  <c:v>3787</c:v>
                </c:pt>
                <c:pt idx="22">
                  <c:v>238</c:v>
                </c:pt>
                <c:pt idx="23">
                  <c:v>9</c:v>
                </c:pt>
                <c:pt idx="24">
                  <c:v>517</c:v>
                </c:pt>
                <c:pt idx="25">
                  <c:v>2899</c:v>
                </c:pt>
                <c:pt idx="26">
                  <c:v>1437</c:v>
                </c:pt>
                <c:pt idx="27">
                  <c:v>600</c:v>
                </c:pt>
                <c:pt idx="28">
                  <c:v>4000</c:v>
                </c:pt>
                <c:pt idx="29">
                  <c:v>1000</c:v>
                </c:pt>
                <c:pt idx="30">
                  <c:v>900</c:v>
                </c:pt>
                <c:pt idx="31">
                  <c:v>0</c:v>
                </c:pt>
                <c:pt idx="32">
                  <c:v>1200</c:v>
                </c:pt>
                <c:pt idx="33">
                  <c:v>4200</c:v>
                </c:pt>
                <c:pt idx="34">
                  <c:v>250</c:v>
                </c:pt>
                <c:pt idx="35">
                  <c:v>2650</c:v>
                </c:pt>
                <c:pt idx="36">
                  <c:v>1418</c:v>
                </c:pt>
                <c:pt idx="37">
                  <c:v>1249</c:v>
                </c:pt>
                <c:pt idx="38">
                  <c:v>533</c:v>
                </c:pt>
                <c:pt idx="39">
                  <c:v>1423</c:v>
                </c:pt>
                <c:pt idx="40">
                  <c:v>1281</c:v>
                </c:pt>
                <c:pt idx="41">
                  <c:v>1074</c:v>
                </c:pt>
                <c:pt idx="42">
                  <c:v>1096</c:v>
                </c:pt>
                <c:pt idx="43">
                  <c:v>729</c:v>
                </c:pt>
                <c:pt idx="44">
                  <c:v>2143</c:v>
                </c:pt>
                <c:pt idx="45">
                  <c:v>548</c:v>
                </c:pt>
                <c:pt idx="46">
                  <c:v>468</c:v>
                </c:pt>
                <c:pt idx="47">
                  <c:v>2162</c:v>
                </c:pt>
                <c:pt idx="48">
                  <c:v>1671</c:v>
                </c:pt>
                <c:pt idx="49">
                  <c:v>2000</c:v>
                </c:pt>
                <c:pt idx="50">
                  <c:v>2563.1590000000001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SAfr!$C$5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SAfr!$D$5:$BD$5</c:f>
              <c:numCache>
                <c:formatCode>_(* #,##0_);_(* \(#,##0\);_(* "-"??_);_(@_)</c:formatCode>
                <c:ptCount val="53"/>
                <c:pt idx="0">
                  <c:v>3220</c:v>
                </c:pt>
                <c:pt idx="1">
                  <c:v>3439</c:v>
                </c:pt>
                <c:pt idx="2">
                  <c:v>3566</c:v>
                </c:pt>
                <c:pt idx="3">
                  <c:v>3457</c:v>
                </c:pt>
                <c:pt idx="4">
                  <c:v>4576</c:v>
                </c:pt>
                <c:pt idx="5">
                  <c:v>4363</c:v>
                </c:pt>
                <c:pt idx="6">
                  <c:v>4471</c:v>
                </c:pt>
                <c:pt idx="7">
                  <c:v>4885</c:v>
                </c:pt>
                <c:pt idx="8">
                  <c:v>5008</c:v>
                </c:pt>
                <c:pt idx="9">
                  <c:v>5159</c:v>
                </c:pt>
                <c:pt idx="10">
                  <c:v>5173</c:v>
                </c:pt>
                <c:pt idx="11">
                  <c:v>5540</c:v>
                </c:pt>
                <c:pt idx="12">
                  <c:v>5544</c:v>
                </c:pt>
                <c:pt idx="13">
                  <c:v>6325</c:v>
                </c:pt>
                <c:pt idx="14">
                  <c:v>6376</c:v>
                </c:pt>
                <c:pt idx="15">
                  <c:v>6438</c:v>
                </c:pt>
                <c:pt idx="16">
                  <c:v>6553</c:v>
                </c:pt>
                <c:pt idx="17">
                  <c:v>6565</c:v>
                </c:pt>
                <c:pt idx="18">
                  <c:v>6763</c:v>
                </c:pt>
                <c:pt idx="19">
                  <c:v>6677</c:v>
                </c:pt>
                <c:pt idx="20">
                  <c:v>7617</c:v>
                </c:pt>
                <c:pt idx="21">
                  <c:v>8072</c:v>
                </c:pt>
                <c:pt idx="22">
                  <c:v>7775</c:v>
                </c:pt>
                <c:pt idx="23">
                  <c:v>6696</c:v>
                </c:pt>
                <c:pt idx="24">
                  <c:v>6520</c:v>
                </c:pt>
                <c:pt idx="25">
                  <c:v>6310</c:v>
                </c:pt>
                <c:pt idx="26">
                  <c:v>6853</c:v>
                </c:pt>
                <c:pt idx="27">
                  <c:v>7470</c:v>
                </c:pt>
                <c:pt idx="28">
                  <c:v>7881</c:v>
                </c:pt>
                <c:pt idx="29">
                  <c:v>8285</c:v>
                </c:pt>
                <c:pt idx="30">
                  <c:v>8289</c:v>
                </c:pt>
                <c:pt idx="31">
                  <c:v>7527</c:v>
                </c:pt>
                <c:pt idx="32">
                  <c:v>7747</c:v>
                </c:pt>
                <c:pt idx="33">
                  <c:v>8100</c:v>
                </c:pt>
                <c:pt idx="34">
                  <c:v>7691</c:v>
                </c:pt>
                <c:pt idx="35">
                  <c:v>7681</c:v>
                </c:pt>
                <c:pt idx="36">
                  <c:v>7636</c:v>
                </c:pt>
                <c:pt idx="37">
                  <c:v>7990</c:v>
                </c:pt>
                <c:pt idx="38">
                  <c:v>7936</c:v>
                </c:pt>
                <c:pt idx="39">
                  <c:v>8854</c:v>
                </c:pt>
                <c:pt idx="40">
                  <c:v>8705</c:v>
                </c:pt>
                <c:pt idx="41">
                  <c:v>8446</c:v>
                </c:pt>
                <c:pt idx="42">
                  <c:v>8520</c:v>
                </c:pt>
                <c:pt idx="43">
                  <c:v>8677</c:v>
                </c:pt>
                <c:pt idx="44">
                  <c:v>9700</c:v>
                </c:pt>
                <c:pt idx="45">
                  <c:v>8200</c:v>
                </c:pt>
                <c:pt idx="46">
                  <c:v>8600</c:v>
                </c:pt>
                <c:pt idx="47">
                  <c:v>9600</c:v>
                </c:pt>
                <c:pt idx="48">
                  <c:v>9900</c:v>
                </c:pt>
                <c:pt idx="49">
                  <c:v>10400</c:v>
                </c:pt>
                <c:pt idx="50">
                  <c:v>7884.3490000000002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85416"/>
        <c:axId val="318383456"/>
      </c:lineChart>
      <c:catAx>
        <c:axId val="3183854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3456"/>
        <c:crosses val="autoZero"/>
        <c:auto val="1"/>
        <c:lblAlgn val="ctr"/>
        <c:lblOffset val="100"/>
        <c:noMultiLvlLbl val="0"/>
      </c:catAx>
      <c:valAx>
        <c:axId val="3183834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541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0370909257091476"/>
          <c:y val="0.90229406930194311"/>
          <c:w val="0.22186267659018788"/>
          <c:h val="9.7705930698056678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SAfr!$C$6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SAfr!$D$6:$BD$6</c:f>
              <c:numCache>
                <c:formatCode>_(* #,##0_);_(* \(#,##0\);_(* "-"??_);_(@_)</c:formatCode>
                <c:ptCount val="53"/>
                <c:pt idx="0">
                  <c:v>23</c:v>
                </c:pt>
                <c:pt idx="1">
                  <c:v>32</c:v>
                </c:pt>
                <c:pt idx="2">
                  <c:v>55</c:v>
                </c:pt>
                <c:pt idx="3">
                  <c:v>47</c:v>
                </c:pt>
                <c:pt idx="4">
                  <c:v>85</c:v>
                </c:pt>
                <c:pt idx="5">
                  <c:v>70</c:v>
                </c:pt>
                <c:pt idx="6">
                  <c:v>70</c:v>
                </c:pt>
                <c:pt idx="7">
                  <c:v>70</c:v>
                </c:pt>
                <c:pt idx="8">
                  <c:v>100</c:v>
                </c:pt>
                <c:pt idx="9">
                  <c:v>75</c:v>
                </c:pt>
                <c:pt idx="10">
                  <c:v>70</c:v>
                </c:pt>
                <c:pt idx="11">
                  <c:v>70</c:v>
                </c:pt>
                <c:pt idx="12">
                  <c:v>80</c:v>
                </c:pt>
                <c:pt idx="13">
                  <c:v>185</c:v>
                </c:pt>
                <c:pt idx="14">
                  <c:v>188</c:v>
                </c:pt>
                <c:pt idx="15">
                  <c:v>83</c:v>
                </c:pt>
                <c:pt idx="16">
                  <c:v>159</c:v>
                </c:pt>
                <c:pt idx="17">
                  <c:v>235</c:v>
                </c:pt>
                <c:pt idx="18">
                  <c:v>251</c:v>
                </c:pt>
                <c:pt idx="19">
                  <c:v>299</c:v>
                </c:pt>
                <c:pt idx="20">
                  <c:v>265</c:v>
                </c:pt>
                <c:pt idx="21">
                  <c:v>173</c:v>
                </c:pt>
                <c:pt idx="22">
                  <c:v>124</c:v>
                </c:pt>
                <c:pt idx="23">
                  <c:v>165</c:v>
                </c:pt>
                <c:pt idx="24">
                  <c:v>211</c:v>
                </c:pt>
                <c:pt idx="25">
                  <c:v>216</c:v>
                </c:pt>
                <c:pt idx="26">
                  <c:v>280</c:v>
                </c:pt>
                <c:pt idx="27">
                  <c:v>358</c:v>
                </c:pt>
                <c:pt idx="28">
                  <c:v>357</c:v>
                </c:pt>
                <c:pt idx="29">
                  <c:v>279</c:v>
                </c:pt>
                <c:pt idx="30">
                  <c:v>227</c:v>
                </c:pt>
                <c:pt idx="31">
                  <c:v>94</c:v>
                </c:pt>
                <c:pt idx="32">
                  <c:v>69</c:v>
                </c:pt>
                <c:pt idx="33">
                  <c:v>124</c:v>
                </c:pt>
                <c:pt idx="34">
                  <c:v>105</c:v>
                </c:pt>
                <c:pt idx="35">
                  <c:v>205</c:v>
                </c:pt>
                <c:pt idx="36">
                  <c:v>142</c:v>
                </c:pt>
                <c:pt idx="37">
                  <c:v>195</c:v>
                </c:pt>
                <c:pt idx="38">
                  <c:v>228</c:v>
                </c:pt>
                <c:pt idx="39">
                  <c:v>121</c:v>
                </c:pt>
                <c:pt idx="40">
                  <c:v>155</c:v>
                </c:pt>
                <c:pt idx="41">
                  <c:v>83</c:v>
                </c:pt>
                <c:pt idx="42">
                  <c:v>70</c:v>
                </c:pt>
                <c:pt idx="43">
                  <c:v>125</c:v>
                </c:pt>
                <c:pt idx="44">
                  <c:v>95</c:v>
                </c:pt>
                <c:pt idx="45">
                  <c:v>68</c:v>
                </c:pt>
                <c:pt idx="46">
                  <c:v>52</c:v>
                </c:pt>
                <c:pt idx="47">
                  <c:v>46</c:v>
                </c:pt>
                <c:pt idx="48">
                  <c:v>38</c:v>
                </c:pt>
                <c:pt idx="49">
                  <c:v>39</c:v>
                </c:pt>
                <c:pt idx="50">
                  <c:v>18</c:v>
                </c:pt>
                <c:pt idx="51">
                  <c:v>13</c:v>
                </c:pt>
                <c:pt idx="52">
                  <c:v>7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SAfr!$C$7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SAfr!$D$7:$BD$7</c:f>
              <c:numCache>
                <c:formatCode>_(* #,##0_);_(* \(#,##0\);_(* "-"??_);_(@_)</c:formatCode>
                <c:ptCount val="53"/>
                <c:pt idx="0">
                  <c:v>92</c:v>
                </c:pt>
                <c:pt idx="1">
                  <c:v>122</c:v>
                </c:pt>
                <c:pt idx="2">
                  <c:v>108</c:v>
                </c:pt>
                <c:pt idx="3">
                  <c:v>95</c:v>
                </c:pt>
                <c:pt idx="4">
                  <c:v>132</c:v>
                </c:pt>
                <c:pt idx="5">
                  <c:v>127</c:v>
                </c:pt>
                <c:pt idx="6">
                  <c:v>177</c:v>
                </c:pt>
                <c:pt idx="7">
                  <c:v>126</c:v>
                </c:pt>
                <c:pt idx="8">
                  <c:v>132</c:v>
                </c:pt>
                <c:pt idx="9">
                  <c:v>106</c:v>
                </c:pt>
                <c:pt idx="10">
                  <c:v>156</c:v>
                </c:pt>
                <c:pt idx="11">
                  <c:v>185</c:v>
                </c:pt>
                <c:pt idx="12">
                  <c:v>255</c:v>
                </c:pt>
                <c:pt idx="13">
                  <c:v>195</c:v>
                </c:pt>
                <c:pt idx="14">
                  <c:v>102</c:v>
                </c:pt>
                <c:pt idx="15">
                  <c:v>124</c:v>
                </c:pt>
                <c:pt idx="16">
                  <c:v>66</c:v>
                </c:pt>
                <c:pt idx="17">
                  <c:v>70</c:v>
                </c:pt>
                <c:pt idx="18">
                  <c:v>30</c:v>
                </c:pt>
                <c:pt idx="19">
                  <c:v>56</c:v>
                </c:pt>
                <c:pt idx="20">
                  <c:v>28</c:v>
                </c:pt>
                <c:pt idx="21">
                  <c:v>73</c:v>
                </c:pt>
                <c:pt idx="22">
                  <c:v>80</c:v>
                </c:pt>
                <c:pt idx="23">
                  <c:v>180</c:v>
                </c:pt>
                <c:pt idx="24">
                  <c:v>115</c:v>
                </c:pt>
                <c:pt idx="25">
                  <c:v>106</c:v>
                </c:pt>
                <c:pt idx="26">
                  <c:v>102</c:v>
                </c:pt>
                <c:pt idx="27">
                  <c:v>80</c:v>
                </c:pt>
                <c:pt idx="28">
                  <c:v>45</c:v>
                </c:pt>
                <c:pt idx="29">
                  <c:v>37</c:v>
                </c:pt>
                <c:pt idx="30">
                  <c:v>65</c:v>
                </c:pt>
                <c:pt idx="31">
                  <c:v>140</c:v>
                </c:pt>
                <c:pt idx="32">
                  <c:v>228</c:v>
                </c:pt>
                <c:pt idx="33">
                  <c:v>194</c:v>
                </c:pt>
                <c:pt idx="34">
                  <c:v>235</c:v>
                </c:pt>
                <c:pt idx="35">
                  <c:v>200</c:v>
                </c:pt>
                <c:pt idx="36">
                  <c:v>200</c:v>
                </c:pt>
                <c:pt idx="37">
                  <c:v>200</c:v>
                </c:pt>
                <c:pt idx="38">
                  <c:v>175</c:v>
                </c:pt>
                <c:pt idx="39">
                  <c:v>235</c:v>
                </c:pt>
                <c:pt idx="40">
                  <c:v>175</c:v>
                </c:pt>
                <c:pt idx="41">
                  <c:v>250</c:v>
                </c:pt>
                <c:pt idx="42">
                  <c:v>264</c:v>
                </c:pt>
                <c:pt idx="43">
                  <c:v>195</c:v>
                </c:pt>
                <c:pt idx="44">
                  <c:v>124</c:v>
                </c:pt>
                <c:pt idx="45">
                  <c:v>145</c:v>
                </c:pt>
                <c:pt idx="46">
                  <c:v>251</c:v>
                </c:pt>
                <c:pt idx="47">
                  <c:v>175</c:v>
                </c:pt>
                <c:pt idx="48">
                  <c:v>156</c:v>
                </c:pt>
                <c:pt idx="49">
                  <c:v>132</c:v>
                </c:pt>
                <c:pt idx="50">
                  <c:v>32.673000000000002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SAfr!$C$8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SAfr!$D$8:$BD$8</c:f>
              <c:numCache>
                <c:formatCode>_(* #,##0_);_(* \(#,##0\);_(* "-"??_);_(@_)</c:formatCode>
                <c:ptCount val="53"/>
                <c:pt idx="0">
                  <c:v>1</c:v>
                </c:pt>
                <c:pt idx="1">
                  <c:v>4</c:v>
                </c:pt>
                <c:pt idx="2">
                  <c:v>7</c:v>
                </c:pt>
                <c:pt idx="3">
                  <c:v>2</c:v>
                </c:pt>
                <c:pt idx="4">
                  <c:v>10</c:v>
                </c:pt>
                <c:pt idx="5">
                  <c:v>2</c:v>
                </c:pt>
                <c:pt idx="6">
                  <c:v>5</c:v>
                </c:pt>
                <c:pt idx="7">
                  <c:v>4</c:v>
                </c:pt>
                <c:pt idx="8">
                  <c:v>6</c:v>
                </c:pt>
                <c:pt idx="9">
                  <c:v>21</c:v>
                </c:pt>
                <c:pt idx="10">
                  <c:v>10</c:v>
                </c:pt>
                <c:pt idx="11">
                  <c:v>8</c:v>
                </c:pt>
                <c:pt idx="12">
                  <c:v>11</c:v>
                </c:pt>
                <c:pt idx="13">
                  <c:v>9</c:v>
                </c:pt>
                <c:pt idx="14">
                  <c:v>6</c:v>
                </c:pt>
                <c:pt idx="15">
                  <c:v>6</c:v>
                </c:pt>
                <c:pt idx="16">
                  <c:v>0</c:v>
                </c:pt>
                <c:pt idx="17">
                  <c:v>10</c:v>
                </c:pt>
                <c:pt idx="18">
                  <c:v>11</c:v>
                </c:pt>
                <c:pt idx="19">
                  <c:v>3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23</c:v>
                </c:pt>
                <c:pt idx="29">
                  <c:v>15</c:v>
                </c:pt>
                <c:pt idx="30">
                  <c:v>24</c:v>
                </c:pt>
                <c:pt idx="31">
                  <c:v>20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10</c:v>
                </c:pt>
                <c:pt idx="37">
                  <c:v>0</c:v>
                </c:pt>
                <c:pt idx="38">
                  <c:v>40</c:v>
                </c:pt>
                <c:pt idx="39">
                  <c:v>30</c:v>
                </c:pt>
                <c:pt idx="40">
                  <c:v>20</c:v>
                </c:pt>
                <c:pt idx="41">
                  <c:v>5</c:v>
                </c:pt>
                <c:pt idx="42">
                  <c:v>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13.205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SAfr!$C$9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SAfr!$D$9:$BD$9</c:f>
              <c:numCache>
                <c:formatCode>_(* #,##0_);_(* \(#,##0\);_(* "-"??_);_(@_)</c:formatCode>
                <c:ptCount val="53"/>
                <c:pt idx="0">
                  <c:v>110</c:v>
                </c:pt>
                <c:pt idx="1">
                  <c:v>120</c:v>
                </c:pt>
                <c:pt idx="2">
                  <c:v>130</c:v>
                </c:pt>
                <c:pt idx="3">
                  <c:v>138</c:v>
                </c:pt>
                <c:pt idx="4">
                  <c:v>164</c:v>
                </c:pt>
                <c:pt idx="5">
                  <c:v>200</c:v>
                </c:pt>
                <c:pt idx="6">
                  <c:v>215</c:v>
                </c:pt>
                <c:pt idx="7">
                  <c:v>220</c:v>
                </c:pt>
                <c:pt idx="8">
                  <c:v>235</c:v>
                </c:pt>
                <c:pt idx="9">
                  <c:v>235</c:v>
                </c:pt>
                <c:pt idx="10">
                  <c:v>230</c:v>
                </c:pt>
                <c:pt idx="11">
                  <c:v>265</c:v>
                </c:pt>
                <c:pt idx="12">
                  <c:v>295</c:v>
                </c:pt>
                <c:pt idx="13">
                  <c:v>280</c:v>
                </c:pt>
                <c:pt idx="14">
                  <c:v>274</c:v>
                </c:pt>
                <c:pt idx="15">
                  <c:v>261</c:v>
                </c:pt>
                <c:pt idx="16">
                  <c:v>219</c:v>
                </c:pt>
                <c:pt idx="17">
                  <c:v>221</c:v>
                </c:pt>
                <c:pt idx="18">
                  <c:v>246</c:v>
                </c:pt>
                <c:pt idx="19">
                  <c:v>285</c:v>
                </c:pt>
                <c:pt idx="20">
                  <c:v>319</c:v>
                </c:pt>
                <c:pt idx="21">
                  <c:v>308</c:v>
                </c:pt>
                <c:pt idx="22">
                  <c:v>284</c:v>
                </c:pt>
                <c:pt idx="23">
                  <c:v>301</c:v>
                </c:pt>
                <c:pt idx="24">
                  <c:v>294</c:v>
                </c:pt>
                <c:pt idx="25">
                  <c:v>338</c:v>
                </c:pt>
                <c:pt idx="26">
                  <c:v>359</c:v>
                </c:pt>
                <c:pt idx="27">
                  <c:v>358</c:v>
                </c:pt>
                <c:pt idx="28">
                  <c:v>344</c:v>
                </c:pt>
                <c:pt idx="29">
                  <c:v>367</c:v>
                </c:pt>
                <c:pt idx="30">
                  <c:v>339</c:v>
                </c:pt>
                <c:pt idx="31">
                  <c:v>310</c:v>
                </c:pt>
                <c:pt idx="32">
                  <c:v>298</c:v>
                </c:pt>
                <c:pt idx="33">
                  <c:v>328</c:v>
                </c:pt>
                <c:pt idx="34">
                  <c:v>350</c:v>
                </c:pt>
                <c:pt idx="35">
                  <c:v>350</c:v>
                </c:pt>
                <c:pt idx="36">
                  <c:v>350</c:v>
                </c:pt>
                <c:pt idx="37">
                  <c:v>380</c:v>
                </c:pt>
                <c:pt idx="38">
                  <c:v>350</c:v>
                </c:pt>
                <c:pt idx="39">
                  <c:v>340</c:v>
                </c:pt>
                <c:pt idx="40">
                  <c:v>325</c:v>
                </c:pt>
                <c:pt idx="41">
                  <c:v>325</c:v>
                </c:pt>
                <c:pt idx="42">
                  <c:v>330</c:v>
                </c:pt>
                <c:pt idx="43">
                  <c:v>290</c:v>
                </c:pt>
                <c:pt idx="44">
                  <c:v>249</c:v>
                </c:pt>
                <c:pt idx="45">
                  <c:v>225</c:v>
                </c:pt>
                <c:pt idx="46">
                  <c:v>250</c:v>
                </c:pt>
                <c:pt idx="47">
                  <c:v>235</c:v>
                </c:pt>
                <c:pt idx="48">
                  <c:v>210</c:v>
                </c:pt>
                <c:pt idx="49">
                  <c:v>185</c:v>
                </c:pt>
                <c:pt idx="50">
                  <c:v>37.468000000000004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92472"/>
        <c:axId val="318392080"/>
      </c:lineChart>
      <c:catAx>
        <c:axId val="318392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2080"/>
        <c:crosses val="autoZero"/>
        <c:auto val="1"/>
        <c:lblAlgn val="ctr"/>
        <c:lblOffset val="100"/>
        <c:noMultiLvlLbl val="0"/>
      </c:catAx>
      <c:valAx>
        <c:axId val="31839208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247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92222095877489"/>
          <c:h val="0.1078069407990667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SAfr!$C$10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SAfr!$D$10:$BD$10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7</c:v>
                </c:pt>
                <c:pt idx="9">
                  <c:v>4</c:v>
                </c:pt>
                <c:pt idx="10">
                  <c:v>2</c:v>
                </c:pt>
                <c:pt idx="11">
                  <c:v>5</c:v>
                </c:pt>
                <c:pt idx="12">
                  <c:v>5</c:v>
                </c:pt>
                <c:pt idx="13">
                  <c:v>21</c:v>
                </c:pt>
                <c:pt idx="14">
                  <c:v>20</c:v>
                </c:pt>
                <c:pt idx="15">
                  <c:v>18</c:v>
                </c:pt>
                <c:pt idx="16">
                  <c:v>28</c:v>
                </c:pt>
                <c:pt idx="17">
                  <c:v>37</c:v>
                </c:pt>
                <c:pt idx="18">
                  <c:v>26</c:v>
                </c:pt>
                <c:pt idx="19">
                  <c:v>40</c:v>
                </c:pt>
                <c:pt idx="20">
                  <c:v>26</c:v>
                </c:pt>
                <c:pt idx="21">
                  <c:v>21</c:v>
                </c:pt>
                <c:pt idx="22">
                  <c:v>26</c:v>
                </c:pt>
                <c:pt idx="23">
                  <c:v>32</c:v>
                </c:pt>
                <c:pt idx="24">
                  <c:v>35</c:v>
                </c:pt>
                <c:pt idx="25">
                  <c:v>35</c:v>
                </c:pt>
                <c:pt idx="26">
                  <c:v>63</c:v>
                </c:pt>
                <c:pt idx="27">
                  <c:v>84</c:v>
                </c:pt>
                <c:pt idx="28">
                  <c:v>70</c:v>
                </c:pt>
                <c:pt idx="29">
                  <c:v>108</c:v>
                </c:pt>
                <c:pt idx="30">
                  <c:v>126</c:v>
                </c:pt>
                <c:pt idx="31">
                  <c:v>68</c:v>
                </c:pt>
                <c:pt idx="32">
                  <c:v>61</c:v>
                </c:pt>
                <c:pt idx="33">
                  <c:v>72</c:v>
                </c:pt>
                <c:pt idx="34">
                  <c:v>58</c:v>
                </c:pt>
                <c:pt idx="35">
                  <c:v>80</c:v>
                </c:pt>
                <c:pt idx="36">
                  <c:v>120</c:v>
                </c:pt>
                <c:pt idx="37">
                  <c:v>197</c:v>
                </c:pt>
                <c:pt idx="38">
                  <c:v>175</c:v>
                </c:pt>
                <c:pt idx="39">
                  <c:v>149</c:v>
                </c:pt>
                <c:pt idx="40">
                  <c:v>226</c:v>
                </c:pt>
                <c:pt idx="41">
                  <c:v>224</c:v>
                </c:pt>
                <c:pt idx="42">
                  <c:v>137</c:v>
                </c:pt>
                <c:pt idx="43">
                  <c:v>220</c:v>
                </c:pt>
                <c:pt idx="44">
                  <c:v>273</c:v>
                </c:pt>
                <c:pt idx="45">
                  <c:v>424</c:v>
                </c:pt>
                <c:pt idx="46">
                  <c:v>206</c:v>
                </c:pt>
                <c:pt idx="47">
                  <c:v>282</c:v>
                </c:pt>
                <c:pt idx="48">
                  <c:v>516</c:v>
                </c:pt>
                <c:pt idx="49">
                  <c:v>561</c:v>
                </c:pt>
                <c:pt idx="50">
                  <c:v>710</c:v>
                </c:pt>
                <c:pt idx="51">
                  <c:v>650</c:v>
                </c:pt>
                <c:pt idx="52" formatCode="General">
                  <c:v>785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SAfr!$C$11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SAfr!$D$11:$BD$11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3</c:v>
                </c:pt>
                <c:pt idx="12">
                  <c:v>1</c:v>
                </c:pt>
                <c:pt idx="13">
                  <c:v>2</c:v>
                </c:pt>
                <c:pt idx="14">
                  <c:v>1</c:v>
                </c:pt>
                <c:pt idx="15">
                  <c:v>2</c:v>
                </c:pt>
                <c:pt idx="16">
                  <c:v>0</c:v>
                </c:pt>
                <c:pt idx="17">
                  <c:v>4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</c:v>
                </c:pt>
                <c:pt idx="22">
                  <c:v>7</c:v>
                </c:pt>
                <c:pt idx="23">
                  <c:v>5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200</c:v>
                </c:pt>
                <c:pt idx="32">
                  <c:v>184</c:v>
                </c:pt>
                <c:pt idx="33">
                  <c:v>120</c:v>
                </c:pt>
                <c:pt idx="34">
                  <c:v>150</c:v>
                </c:pt>
                <c:pt idx="35">
                  <c:v>100</c:v>
                </c:pt>
                <c:pt idx="36">
                  <c:v>48</c:v>
                </c:pt>
                <c:pt idx="37">
                  <c:v>22</c:v>
                </c:pt>
                <c:pt idx="38">
                  <c:v>20</c:v>
                </c:pt>
                <c:pt idx="39">
                  <c:v>71</c:v>
                </c:pt>
                <c:pt idx="40">
                  <c:v>26</c:v>
                </c:pt>
                <c:pt idx="41">
                  <c:v>27</c:v>
                </c:pt>
                <c:pt idx="42">
                  <c:v>19</c:v>
                </c:pt>
                <c:pt idx="43">
                  <c:v>28</c:v>
                </c:pt>
                <c:pt idx="44">
                  <c:v>6</c:v>
                </c:pt>
                <c:pt idx="45">
                  <c:v>24</c:v>
                </c:pt>
                <c:pt idx="46">
                  <c:v>114</c:v>
                </c:pt>
                <c:pt idx="47">
                  <c:v>2</c:v>
                </c:pt>
                <c:pt idx="48">
                  <c:v>4</c:v>
                </c:pt>
                <c:pt idx="49">
                  <c:v>2</c:v>
                </c:pt>
                <c:pt idx="50">
                  <c:v>1.5389999999999999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SAfr!$C$12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SAfr!$D$12:$BD$12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4</c:v>
                </c:pt>
                <c:pt idx="14">
                  <c:v>4</c:v>
                </c:pt>
                <c:pt idx="15">
                  <c:v>1</c:v>
                </c:pt>
                <c:pt idx="16">
                  <c:v>7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25</c:v>
                </c:pt>
                <c:pt idx="38">
                  <c:v>3</c:v>
                </c:pt>
                <c:pt idx="39">
                  <c:v>2</c:v>
                </c:pt>
                <c:pt idx="40">
                  <c:v>0</c:v>
                </c:pt>
                <c:pt idx="41">
                  <c:v>5</c:v>
                </c:pt>
                <c:pt idx="42">
                  <c:v>4</c:v>
                </c:pt>
                <c:pt idx="43">
                  <c:v>67</c:v>
                </c:pt>
                <c:pt idx="44">
                  <c:v>53</c:v>
                </c:pt>
                <c:pt idx="45">
                  <c:v>0</c:v>
                </c:pt>
                <c:pt idx="46">
                  <c:v>0</c:v>
                </c:pt>
                <c:pt idx="47">
                  <c:v>71</c:v>
                </c:pt>
                <c:pt idx="48">
                  <c:v>131</c:v>
                </c:pt>
                <c:pt idx="49">
                  <c:v>140</c:v>
                </c:pt>
                <c:pt idx="50">
                  <c:v>42.505000000000003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SAfr!$C$13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SAfr!$D$13:$BD$13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7</c:v>
                </c:pt>
                <c:pt idx="9">
                  <c:v>3</c:v>
                </c:pt>
                <c:pt idx="10">
                  <c:v>2</c:v>
                </c:pt>
                <c:pt idx="11">
                  <c:v>8</c:v>
                </c:pt>
                <c:pt idx="12">
                  <c:v>5</c:v>
                </c:pt>
                <c:pt idx="13">
                  <c:v>19</c:v>
                </c:pt>
                <c:pt idx="14">
                  <c:v>17</c:v>
                </c:pt>
                <c:pt idx="15">
                  <c:v>19</c:v>
                </c:pt>
                <c:pt idx="16">
                  <c:v>21</c:v>
                </c:pt>
                <c:pt idx="17">
                  <c:v>33</c:v>
                </c:pt>
                <c:pt idx="18">
                  <c:v>22</c:v>
                </c:pt>
                <c:pt idx="19">
                  <c:v>49</c:v>
                </c:pt>
                <c:pt idx="20">
                  <c:v>26</c:v>
                </c:pt>
                <c:pt idx="21">
                  <c:v>26</c:v>
                </c:pt>
                <c:pt idx="22">
                  <c:v>33</c:v>
                </c:pt>
                <c:pt idx="23">
                  <c:v>37</c:v>
                </c:pt>
                <c:pt idx="24">
                  <c:v>35</c:v>
                </c:pt>
                <c:pt idx="25">
                  <c:v>35</c:v>
                </c:pt>
                <c:pt idx="26">
                  <c:v>63</c:v>
                </c:pt>
                <c:pt idx="27">
                  <c:v>84</c:v>
                </c:pt>
                <c:pt idx="28">
                  <c:v>70</c:v>
                </c:pt>
                <c:pt idx="29">
                  <c:v>88</c:v>
                </c:pt>
                <c:pt idx="30">
                  <c:v>136</c:v>
                </c:pt>
                <c:pt idx="31">
                  <c:v>278</c:v>
                </c:pt>
                <c:pt idx="32">
                  <c:v>245</c:v>
                </c:pt>
                <c:pt idx="33">
                  <c:v>192</c:v>
                </c:pt>
                <c:pt idx="34">
                  <c:v>208</c:v>
                </c:pt>
                <c:pt idx="35">
                  <c:v>180</c:v>
                </c:pt>
                <c:pt idx="36">
                  <c:v>168</c:v>
                </c:pt>
                <c:pt idx="37">
                  <c:v>194</c:v>
                </c:pt>
                <c:pt idx="38">
                  <c:v>192</c:v>
                </c:pt>
                <c:pt idx="39">
                  <c:v>218</c:v>
                </c:pt>
                <c:pt idx="40">
                  <c:v>252</c:v>
                </c:pt>
                <c:pt idx="41">
                  <c:v>226</c:v>
                </c:pt>
                <c:pt idx="42">
                  <c:v>172</c:v>
                </c:pt>
                <c:pt idx="43">
                  <c:v>172</c:v>
                </c:pt>
                <c:pt idx="44">
                  <c:v>234</c:v>
                </c:pt>
                <c:pt idx="45">
                  <c:v>336</c:v>
                </c:pt>
                <c:pt idx="46">
                  <c:v>351</c:v>
                </c:pt>
                <c:pt idx="47">
                  <c:v>286</c:v>
                </c:pt>
                <c:pt idx="48">
                  <c:v>367</c:v>
                </c:pt>
                <c:pt idx="49">
                  <c:v>432</c:v>
                </c:pt>
                <c:pt idx="50">
                  <c:v>669.03399999999999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93256"/>
        <c:axId val="318386984"/>
      </c:lineChart>
      <c:catAx>
        <c:axId val="318393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6984"/>
        <c:crosses val="autoZero"/>
        <c:auto val="1"/>
        <c:lblAlgn val="ctr"/>
        <c:lblOffset val="100"/>
        <c:noMultiLvlLbl val="0"/>
      </c:catAx>
      <c:valAx>
        <c:axId val="3183869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9325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10929055664615035"/>
          <c:h val="0.107807002848048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SAfr!$C$14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SAfr!$D$14:$BD$14</c:f>
              <c:numCache>
                <c:formatCode>_(* #,##0_);_(* \(#,##0\);_(* "-"??_);_(@_)</c:formatCode>
                <c:ptCount val="53"/>
                <c:pt idx="0">
                  <c:v>51</c:v>
                </c:pt>
                <c:pt idx="1">
                  <c:v>52</c:v>
                </c:pt>
                <c:pt idx="2">
                  <c:v>44</c:v>
                </c:pt>
                <c:pt idx="3">
                  <c:v>60</c:v>
                </c:pt>
                <c:pt idx="4">
                  <c:v>59</c:v>
                </c:pt>
                <c:pt idx="5">
                  <c:v>67</c:v>
                </c:pt>
                <c:pt idx="6">
                  <c:v>74</c:v>
                </c:pt>
                <c:pt idx="7">
                  <c:v>78</c:v>
                </c:pt>
                <c:pt idx="8">
                  <c:v>79</c:v>
                </c:pt>
                <c:pt idx="9">
                  <c:v>81</c:v>
                </c:pt>
                <c:pt idx="10">
                  <c:v>68</c:v>
                </c:pt>
                <c:pt idx="11">
                  <c:v>82</c:v>
                </c:pt>
                <c:pt idx="12">
                  <c:v>75</c:v>
                </c:pt>
                <c:pt idx="13">
                  <c:v>92</c:v>
                </c:pt>
                <c:pt idx="14">
                  <c:v>65</c:v>
                </c:pt>
                <c:pt idx="15">
                  <c:v>79</c:v>
                </c:pt>
                <c:pt idx="16">
                  <c:v>81</c:v>
                </c:pt>
                <c:pt idx="17">
                  <c:v>99</c:v>
                </c:pt>
                <c:pt idx="18">
                  <c:v>92</c:v>
                </c:pt>
                <c:pt idx="19">
                  <c:v>121</c:v>
                </c:pt>
                <c:pt idx="20">
                  <c:v>126</c:v>
                </c:pt>
                <c:pt idx="21">
                  <c:v>134</c:v>
                </c:pt>
                <c:pt idx="22">
                  <c:v>146</c:v>
                </c:pt>
                <c:pt idx="23">
                  <c:v>158</c:v>
                </c:pt>
                <c:pt idx="24">
                  <c:v>186</c:v>
                </c:pt>
                <c:pt idx="25">
                  <c:v>178</c:v>
                </c:pt>
                <c:pt idx="26">
                  <c:v>190</c:v>
                </c:pt>
                <c:pt idx="27">
                  <c:v>268</c:v>
                </c:pt>
                <c:pt idx="28">
                  <c:v>242</c:v>
                </c:pt>
                <c:pt idx="29">
                  <c:v>292</c:v>
                </c:pt>
                <c:pt idx="30">
                  <c:v>293</c:v>
                </c:pt>
                <c:pt idx="31">
                  <c:v>384</c:v>
                </c:pt>
                <c:pt idx="32">
                  <c:v>420</c:v>
                </c:pt>
                <c:pt idx="33">
                  <c:v>478</c:v>
                </c:pt>
                <c:pt idx="34">
                  <c:v>425</c:v>
                </c:pt>
                <c:pt idx="35">
                  <c:v>448</c:v>
                </c:pt>
                <c:pt idx="36">
                  <c:v>486</c:v>
                </c:pt>
                <c:pt idx="37">
                  <c:v>561</c:v>
                </c:pt>
                <c:pt idx="38">
                  <c:v>529</c:v>
                </c:pt>
                <c:pt idx="39">
                  <c:v>514</c:v>
                </c:pt>
                <c:pt idx="40">
                  <c:v>523</c:v>
                </c:pt>
                <c:pt idx="41">
                  <c:v>572</c:v>
                </c:pt>
                <c:pt idx="42">
                  <c:v>800</c:v>
                </c:pt>
                <c:pt idx="43">
                  <c:v>725</c:v>
                </c:pt>
                <c:pt idx="44">
                  <c:v>818</c:v>
                </c:pt>
                <c:pt idx="45">
                  <c:v>723</c:v>
                </c:pt>
                <c:pt idx="46">
                  <c:v>797</c:v>
                </c:pt>
                <c:pt idx="47">
                  <c:v>1026</c:v>
                </c:pt>
                <c:pt idx="48">
                  <c:v>578</c:v>
                </c:pt>
                <c:pt idx="49">
                  <c:v>786</c:v>
                </c:pt>
                <c:pt idx="50">
                  <c:v>908.78099999999995</c:v>
                </c:pt>
                <c:pt idx="51">
                  <c:v>908.78099999999995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SAfr!$C$15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SAfr!$D$15:$BD$15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7</c:v>
                </c:pt>
                <c:pt idx="2">
                  <c:v>7</c:v>
                </c:pt>
                <c:pt idx="3">
                  <c:v>9</c:v>
                </c:pt>
                <c:pt idx="4">
                  <c:v>9</c:v>
                </c:pt>
                <c:pt idx="5">
                  <c:v>10</c:v>
                </c:pt>
                <c:pt idx="6">
                  <c:v>12</c:v>
                </c:pt>
                <c:pt idx="7">
                  <c:v>13</c:v>
                </c:pt>
                <c:pt idx="8">
                  <c:v>16</c:v>
                </c:pt>
                <c:pt idx="9">
                  <c:v>15</c:v>
                </c:pt>
                <c:pt idx="10">
                  <c:v>14</c:v>
                </c:pt>
                <c:pt idx="11">
                  <c:v>16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2</c:v>
                </c:pt>
                <c:pt idx="37">
                  <c:v>8</c:v>
                </c:pt>
                <c:pt idx="38">
                  <c:v>11</c:v>
                </c:pt>
                <c:pt idx="39">
                  <c:v>8</c:v>
                </c:pt>
                <c:pt idx="40">
                  <c:v>10</c:v>
                </c:pt>
                <c:pt idx="41">
                  <c:v>11</c:v>
                </c:pt>
                <c:pt idx="42">
                  <c:v>11</c:v>
                </c:pt>
                <c:pt idx="43">
                  <c:v>10</c:v>
                </c:pt>
                <c:pt idx="44">
                  <c:v>14</c:v>
                </c:pt>
                <c:pt idx="45">
                  <c:v>30</c:v>
                </c:pt>
                <c:pt idx="46">
                  <c:v>15</c:v>
                </c:pt>
                <c:pt idx="47">
                  <c:v>9</c:v>
                </c:pt>
                <c:pt idx="48">
                  <c:v>27</c:v>
                </c:pt>
                <c:pt idx="49">
                  <c:v>23</c:v>
                </c:pt>
                <c:pt idx="50">
                  <c:v>31.244</c:v>
                </c:pt>
                <c:pt idx="51">
                  <c:v>31.244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SAfr!$C$16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SAfr!$D$16:$BD$16</c:f>
              <c:numCache>
                <c:formatCode>_(* #,##0_);_(* \(#,##0\);_(* "-"??_);_(@_)</c:formatCode>
                <c:ptCount val="53"/>
                <c:pt idx="0">
                  <c:v>51</c:v>
                </c:pt>
                <c:pt idx="1">
                  <c:v>45</c:v>
                </c:pt>
                <c:pt idx="2">
                  <c:v>37</c:v>
                </c:pt>
                <c:pt idx="3">
                  <c:v>51</c:v>
                </c:pt>
                <c:pt idx="4">
                  <c:v>50</c:v>
                </c:pt>
                <c:pt idx="5">
                  <c:v>57</c:v>
                </c:pt>
                <c:pt idx="6">
                  <c:v>62</c:v>
                </c:pt>
                <c:pt idx="7">
                  <c:v>65</c:v>
                </c:pt>
                <c:pt idx="8">
                  <c:v>63</c:v>
                </c:pt>
                <c:pt idx="9">
                  <c:v>66</c:v>
                </c:pt>
                <c:pt idx="10">
                  <c:v>54</c:v>
                </c:pt>
                <c:pt idx="11">
                  <c:v>66</c:v>
                </c:pt>
                <c:pt idx="12">
                  <c:v>73</c:v>
                </c:pt>
                <c:pt idx="13">
                  <c:v>92</c:v>
                </c:pt>
                <c:pt idx="14">
                  <c:v>65</c:v>
                </c:pt>
                <c:pt idx="15">
                  <c:v>79</c:v>
                </c:pt>
                <c:pt idx="16">
                  <c:v>81</c:v>
                </c:pt>
                <c:pt idx="17">
                  <c:v>99</c:v>
                </c:pt>
                <c:pt idx="18">
                  <c:v>92</c:v>
                </c:pt>
                <c:pt idx="19">
                  <c:v>121</c:v>
                </c:pt>
                <c:pt idx="20">
                  <c:v>126</c:v>
                </c:pt>
                <c:pt idx="21">
                  <c:v>134</c:v>
                </c:pt>
                <c:pt idx="22">
                  <c:v>146</c:v>
                </c:pt>
                <c:pt idx="23">
                  <c:v>158</c:v>
                </c:pt>
                <c:pt idx="24">
                  <c:v>186</c:v>
                </c:pt>
                <c:pt idx="25">
                  <c:v>178</c:v>
                </c:pt>
                <c:pt idx="26">
                  <c:v>190</c:v>
                </c:pt>
                <c:pt idx="27">
                  <c:v>268</c:v>
                </c:pt>
                <c:pt idx="28">
                  <c:v>235</c:v>
                </c:pt>
                <c:pt idx="29">
                  <c:v>292</c:v>
                </c:pt>
                <c:pt idx="30">
                  <c:v>290</c:v>
                </c:pt>
                <c:pt idx="31">
                  <c:v>384</c:v>
                </c:pt>
                <c:pt idx="32">
                  <c:v>420</c:v>
                </c:pt>
                <c:pt idx="33">
                  <c:v>443</c:v>
                </c:pt>
                <c:pt idx="34">
                  <c:v>423</c:v>
                </c:pt>
                <c:pt idx="35">
                  <c:v>425</c:v>
                </c:pt>
                <c:pt idx="36">
                  <c:v>454</c:v>
                </c:pt>
                <c:pt idx="37">
                  <c:v>500</c:v>
                </c:pt>
                <c:pt idx="38">
                  <c:v>525</c:v>
                </c:pt>
                <c:pt idx="39">
                  <c:v>535</c:v>
                </c:pt>
                <c:pt idx="40">
                  <c:v>550</c:v>
                </c:pt>
                <c:pt idx="41">
                  <c:v>600</c:v>
                </c:pt>
                <c:pt idx="42">
                  <c:v>650</c:v>
                </c:pt>
                <c:pt idx="43">
                  <c:v>700</c:v>
                </c:pt>
                <c:pt idx="44">
                  <c:v>750</c:v>
                </c:pt>
                <c:pt idx="45">
                  <c:v>782</c:v>
                </c:pt>
                <c:pt idx="46">
                  <c:v>842</c:v>
                </c:pt>
                <c:pt idx="47">
                  <c:v>927</c:v>
                </c:pt>
                <c:pt idx="48">
                  <c:v>703</c:v>
                </c:pt>
                <c:pt idx="49">
                  <c:v>759</c:v>
                </c:pt>
                <c:pt idx="50">
                  <c:v>740</c:v>
                </c:pt>
                <c:pt idx="51">
                  <c:v>877.53699999999992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82672"/>
        <c:axId val="318383848"/>
      </c:lineChart>
      <c:catAx>
        <c:axId val="318382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3848"/>
        <c:crosses val="autoZero"/>
        <c:auto val="1"/>
        <c:lblAlgn val="ctr"/>
        <c:lblOffset val="100"/>
        <c:noMultiLvlLbl val="0"/>
      </c:catAx>
      <c:valAx>
        <c:axId val="31838384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267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349385338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2"/>
          <c:order val="1"/>
          <c:tx>
            <c:strRef>
              <c:f>SAfr!$C$17</c:f>
              <c:strCache>
                <c:ptCount val="1"/>
                <c:pt idx="0">
                  <c:v>Production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SAfr!$D$17:$BD$17</c:f>
              <c:numCache>
                <c:formatCode>_(* #,##0_);_(* \(#,##0\);_(* "-"??_);_(@_)</c:formatCode>
                <c:ptCount val="53"/>
                <c:pt idx="0">
                  <c:v>335</c:v>
                </c:pt>
                <c:pt idx="1">
                  <c:v>181</c:v>
                </c:pt>
                <c:pt idx="2">
                  <c:v>272</c:v>
                </c:pt>
                <c:pt idx="3">
                  <c:v>257</c:v>
                </c:pt>
                <c:pt idx="4">
                  <c:v>414</c:v>
                </c:pt>
                <c:pt idx="5">
                  <c:v>314</c:v>
                </c:pt>
                <c:pt idx="6">
                  <c:v>727</c:v>
                </c:pt>
                <c:pt idx="7">
                  <c:v>199</c:v>
                </c:pt>
                <c:pt idx="8">
                  <c:v>199</c:v>
                </c:pt>
                <c:pt idx="9">
                  <c:v>379</c:v>
                </c:pt>
                <c:pt idx="10">
                  <c:v>551</c:v>
                </c:pt>
                <c:pt idx="11">
                  <c:v>510</c:v>
                </c:pt>
                <c:pt idx="12">
                  <c:v>222</c:v>
                </c:pt>
                <c:pt idx="13">
                  <c:v>682</c:v>
                </c:pt>
                <c:pt idx="14">
                  <c:v>360</c:v>
                </c:pt>
                <c:pt idx="15">
                  <c:v>280</c:v>
                </c:pt>
                <c:pt idx="16">
                  <c:v>394</c:v>
                </c:pt>
                <c:pt idx="17">
                  <c:v>592</c:v>
                </c:pt>
                <c:pt idx="18">
                  <c:v>354</c:v>
                </c:pt>
                <c:pt idx="19">
                  <c:v>711</c:v>
                </c:pt>
                <c:pt idx="20">
                  <c:v>553</c:v>
                </c:pt>
                <c:pt idx="21">
                  <c:v>302</c:v>
                </c:pt>
                <c:pt idx="22">
                  <c:v>221</c:v>
                </c:pt>
                <c:pt idx="23">
                  <c:v>498</c:v>
                </c:pt>
                <c:pt idx="24">
                  <c:v>628</c:v>
                </c:pt>
                <c:pt idx="25">
                  <c:v>487</c:v>
                </c:pt>
                <c:pt idx="26">
                  <c:v>677</c:v>
                </c:pt>
                <c:pt idx="27">
                  <c:v>651</c:v>
                </c:pt>
                <c:pt idx="28">
                  <c:v>511</c:v>
                </c:pt>
                <c:pt idx="29">
                  <c:v>341</c:v>
                </c:pt>
                <c:pt idx="30">
                  <c:v>302</c:v>
                </c:pt>
                <c:pt idx="31">
                  <c:v>118</c:v>
                </c:pt>
                <c:pt idx="32">
                  <c:v>515</c:v>
                </c:pt>
                <c:pt idx="33">
                  <c:v>520</c:v>
                </c:pt>
                <c:pt idx="34">
                  <c:v>291</c:v>
                </c:pt>
                <c:pt idx="35">
                  <c:v>536</c:v>
                </c:pt>
                <c:pt idx="36">
                  <c:v>433</c:v>
                </c:pt>
                <c:pt idx="37">
                  <c:v>358</c:v>
                </c:pt>
                <c:pt idx="38">
                  <c:v>156</c:v>
                </c:pt>
                <c:pt idx="39">
                  <c:v>352</c:v>
                </c:pt>
                <c:pt idx="40">
                  <c:v>175</c:v>
                </c:pt>
                <c:pt idx="41">
                  <c:v>197</c:v>
                </c:pt>
                <c:pt idx="42">
                  <c:v>220</c:v>
                </c:pt>
                <c:pt idx="43">
                  <c:v>375</c:v>
                </c:pt>
                <c:pt idx="44">
                  <c:v>260</c:v>
                </c:pt>
                <c:pt idx="45">
                  <c:v>96</c:v>
                </c:pt>
                <c:pt idx="46">
                  <c:v>176</c:v>
                </c:pt>
                <c:pt idx="47">
                  <c:v>255</c:v>
                </c:pt>
                <c:pt idx="48">
                  <c:v>277</c:v>
                </c:pt>
                <c:pt idx="49">
                  <c:v>197</c:v>
                </c:pt>
                <c:pt idx="50">
                  <c:v>155</c:v>
                </c:pt>
                <c:pt idx="51">
                  <c:v>135</c:v>
                </c:pt>
                <c:pt idx="52">
                  <c:v>150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SAfr!$C$18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SAfr!$D$18:$BD$18</c:f>
              <c:numCache>
                <c:formatCode>_(* #,##0_);_(* \(#,##0\);_(* "-"??_);_(@_)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1</c:v>
                </c:pt>
                <c:pt idx="8">
                  <c:v>2</c:v>
                </c:pt>
                <c:pt idx="9">
                  <c:v>2</c:v>
                </c:pt>
                <c:pt idx="10">
                  <c:v>1</c:v>
                </c:pt>
                <c:pt idx="11">
                  <c:v>2</c:v>
                </c:pt>
                <c:pt idx="12">
                  <c:v>0</c:v>
                </c:pt>
                <c:pt idx="13">
                  <c:v>0</c:v>
                </c:pt>
                <c:pt idx="14">
                  <c:v>5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3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15</c:v>
                </c:pt>
                <c:pt idx="24">
                  <c:v>0</c:v>
                </c:pt>
                <c:pt idx="25">
                  <c:v>0</c:v>
                </c:pt>
                <c:pt idx="26">
                  <c:v>2</c:v>
                </c:pt>
                <c:pt idx="27">
                  <c:v>2</c:v>
                </c:pt>
                <c:pt idx="28">
                  <c:v>0</c:v>
                </c:pt>
                <c:pt idx="29">
                  <c:v>0</c:v>
                </c:pt>
                <c:pt idx="30">
                  <c:v>50</c:v>
                </c:pt>
                <c:pt idx="31">
                  <c:v>190</c:v>
                </c:pt>
                <c:pt idx="32">
                  <c:v>6</c:v>
                </c:pt>
                <c:pt idx="33">
                  <c:v>0</c:v>
                </c:pt>
                <c:pt idx="34">
                  <c:v>13</c:v>
                </c:pt>
                <c:pt idx="35">
                  <c:v>2</c:v>
                </c:pt>
                <c:pt idx="36">
                  <c:v>0</c:v>
                </c:pt>
                <c:pt idx="37">
                  <c:v>0</c:v>
                </c:pt>
                <c:pt idx="38">
                  <c:v>53</c:v>
                </c:pt>
                <c:pt idx="39">
                  <c:v>0</c:v>
                </c:pt>
                <c:pt idx="40">
                  <c:v>11</c:v>
                </c:pt>
                <c:pt idx="41">
                  <c:v>64</c:v>
                </c:pt>
                <c:pt idx="42">
                  <c:v>34</c:v>
                </c:pt>
                <c:pt idx="43">
                  <c:v>2</c:v>
                </c:pt>
                <c:pt idx="44">
                  <c:v>4</c:v>
                </c:pt>
                <c:pt idx="45">
                  <c:v>9</c:v>
                </c:pt>
                <c:pt idx="46">
                  <c:v>32</c:v>
                </c:pt>
                <c:pt idx="47">
                  <c:v>1</c:v>
                </c:pt>
                <c:pt idx="48">
                  <c:v>3</c:v>
                </c:pt>
                <c:pt idx="49">
                  <c:v>0</c:v>
                </c:pt>
                <c:pt idx="50">
                  <c:v>35.087000000000003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SAfr!$C$19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SAfr!$D$19:$BD$19</c:f>
              <c:numCache>
                <c:formatCode>_(* #,##0_);_(* \(#,##0\);_(* "-"??_);_(@_)</c:formatCode>
                <c:ptCount val="53"/>
                <c:pt idx="0">
                  <c:v>120</c:v>
                </c:pt>
                <c:pt idx="1">
                  <c:v>16</c:v>
                </c:pt>
                <c:pt idx="2">
                  <c:v>57</c:v>
                </c:pt>
                <c:pt idx="3">
                  <c:v>102</c:v>
                </c:pt>
                <c:pt idx="4">
                  <c:v>192</c:v>
                </c:pt>
                <c:pt idx="5">
                  <c:v>66</c:v>
                </c:pt>
                <c:pt idx="6">
                  <c:v>122</c:v>
                </c:pt>
                <c:pt idx="7">
                  <c:v>290</c:v>
                </c:pt>
                <c:pt idx="8">
                  <c:v>59</c:v>
                </c:pt>
                <c:pt idx="9">
                  <c:v>144</c:v>
                </c:pt>
                <c:pt idx="10">
                  <c:v>322</c:v>
                </c:pt>
                <c:pt idx="11">
                  <c:v>179</c:v>
                </c:pt>
                <c:pt idx="12">
                  <c:v>0</c:v>
                </c:pt>
                <c:pt idx="13">
                  <c:v>209</c:v>
                </c:pt>
                <c:pt idx="14">
                  <c:v>189</c:v>
                </c:pt>
                <c:pt idx="15">
                  <c:v>0</c:v>
                </c:pt>
                <c:pt idx="16">
                  <c:v>59</c:v>
                </c:pt>
                <c:pt idx="17">
                  <c:v>299</c:v>
                </c:pt>
                <c:pt idx="18">
                  <c:v>155</c:v>
                </c:pt>
                <c:pt idx="19">
                  <c:v>230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130</c:v>
                </c:pt>
                <c:pt idx="25">
                  <c:v>0</c:v>
                </c:pt>
                <c:pt idx="26">
                  <c:v>41</c:v>
                </c:pt>
                <c:pt idx="27">
                  <c:v>8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2</c:v>
                </c:pt>
                <c:pt idx="35">
                  <c:v>126</c:v>
                </c:pt>
                <c:pt idx="36">
                  <c:v>1</c:v>
                </c:pt>
                <c:pt idx="37">
                  <c:v>1</c:v>
                </c:pt>
                <c:pt idx="38">
                  <c:v>23</c:v>
                </c:pt>
                <c:pt idx="39">
                  <c:v>41</c:v>
                </c:pt>
                <c:pt idx="40">
                  <c:v>50</c:v>
                </c:pt>
                <c:pt idx="41">
                  <c:v>61</c:v>
                </c:pt>
                <c:pt idx="42">
                  <c:v>44</c:v>
                </c:pt>
                <c:pt idx="43">
                  <c:v>34</c:v>
                </c:pt>
                <c:pt idx="44">
                  <c:v>32</c:v>
                </c:pt>
                <c:pt idx="45">
                  <c:v>24</c:v>
                </c:pt>
                <c:pt idx="46">
                  <c:v>23</c:v>
                </c:pt>
                <c:pt idx="47">
                  <c:v>38</c:v>
                </c:pt>
                <c:pt idx="48">
                  <c:v>46</c:v>
                </c:pt>
                <c:pt idx="49">
                  <c:v>25</c:v>
                </c:pt>
                <c:pt idx="50">
                  <c:v>1.0920000000000001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SAfr!$C$20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SAfr!$D$20:$BD$20</c:f>
              <c:numCache>
                <c:formatCode>_(* #,##0_);_(* \(#,##0\);_(* "-"??_);_(@_)</c:formatCode>
                <c:ptCount val="53"/>
                <c:pt idx="0">
                  <c:v>216</c:v>
                </c:pt>
                <c:pt idx="1">
                  <c:v>167</c:v>
                </c:pt>
                <c:pt idx="2">
                  <c:v>179</c:v>
                </c:pt>
                <c:pt idx="3">
                  <c:v>182</c:v>
                </c:pt>
                <c:pt idx="4">
                  <c:v>179</c:v>
                </c:pt>
                <c:pt idx="5">
                  <c:v>255</c:v>
                </c:pt>
                <c:pt idx="6">
                  <c:v>446</c:v>
                </c:pt>
                <c:pt idx="7">
                  <c:v>84</c:v>
                </c:pt>
                <c:pt idx="8">
                  <c:v>160</c:v>
                </c:pt>
                <c:pt idx="9">
                  <c:v>200</c:v>
                </c:pt>
                <c:pt idx="10">
                  <c:v>226</c:v>
                </c:pt>
                <c:pt idx="11">
                  <c:v>343</c:v>
                </c:pt>
                <c:pt idx="12">
                  <c:v>238</c:v>
                </c:pt>
                <c:pt idx="13">
                  <c:v>296</c:v>
                </c:pt>
                <c:pt idx="14">
                  <c:v>309</c:v>
                </c:pt>
                <c:pt idx="15">
                  <c:v>282</c:v>
                </c:pt>
                <c:pt idx="16">
                  <c:v>305</c:v>
                </c:pt>
                <c:pt idx="17">
                  <c:v>262</c:v>
                </c:pt>
                <c:pt idx="18">
                  <c:v>258</c:v>
                </c:pt>
                <c:pt idx="19">
                  <c:v>402</c:v>
                </c:pt>
                <c:pt idx="20">
                  <c:v>498</c:v>
                </c:pt>
                <c:pt idx="21">
                  <c:v>412</c:v>
                </c:pt>
                <c:pt idx="22">
                  <c:v>297</c:v>
                </c:pt>
                <c:pt idx="23">
                  <c:v>465</c:v>
                </c:pt>
                <c:pt idx="24">
                  <c:v>500</c:v>
                </c:pt>
                <c:pt idx="25">
                  <c:v>510</c:v>
                </c:pt>
                <c:pt idx="26">
                  <c:v>540</c:v>
                </c:pt>
                <c:pt idx="27">
                  <c:v>600</c:v>
                </c:pt>
                <c:pt idx="28">
                  <c:v>620</c:v>
                </c:pt>
                <c:pt idx="29">
                  <c:v>430</c:v>
                </c:pt>
                <c:pt idx="30">
                  <c:v>352</c:v>
                </c:pt>
                <c:pt idx="31">
                  <c:v>308</c:v>
                </c:pt>
                <c:pt idx="32">
                  <c:v>521</c:v>
                </c:pt>
                <c:pt idx="33">
                  <c:v>520</c:v>
                </c:pt>
                <c:pt idx="34">
                  <c:v>302</c:v>
                </c:pt>
                <c:pt idx="35">
                  <c:v>412</c:v>
                </c:pt>
                <c:pt idx="36">
                  <c:v>432</c:v>
                </c:pt>
                <c:pt idx="37">
                  <c:v>300</c:v>
                </c:pt>
                <c:pt idx="38">
                  <c:v>225</c:v>
                </c:pt>
                <c:pt idx="39">
                  <c:v>225</c:v>
                </c:pt>
                <c:pt idx="40">
                  <c:v>225</c:v>
                </c:pt>
                <c:pt idx="41">
                  <c:v>205</c:v>
                </c:pt>
                <c:pt idx="42">
                  <c:v>190</c:v>
                </c:pt>
                <c:pt idx="43">
                  <c:v>210</c:v>
                </c:pt>
                <c:pt idx="44">
                  <c:v>215</c:v>
                </c:pt>
                <c:pt idx="45">
                  <c:v>205</c:v>
                </c:pt>
                <c:pt idx="46">
                  <c:v>200</c:v>
                </c:pt>
                <c:pt idx="47">
                  <c:v>200</c:v>
                </c:pt>
                <c:pt idx="48">
                  <c:v>205</c:v>
                </c:pt>
                <c:pt idx="49">
                  <c:v>190</c:v>
                </c:pt>
                <c:pt idx="50">
                  <c:v>188.99499999999998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85808"/>
        <c:axId val="31838620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SAfr!$C$1</c15:sqref>
                        </c15:formulaRef>
                      </c:ext>
                    </c:extLst>
                    <c:strCache>
                      <c:ptCount val="1"/>
                      <c:pt idx="0">
                        <c:v>Attribute</c:v>
                      </c:pt>
                    </c:strCache>
                  </c:strRef>
                </c:tx>
                <c:spPr>
                  <a:ln>
                    <a:solidFill>
                      <a:srgbClr val="C00000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SAfr!$D$1:$BD$1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SAfr!$D$1:$BD$1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318385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6200"/>
        <c:crosses val="autoZero"/>
        <c:auto val="1"/>
        <c:lblAlgn val="ctr"/>
        <c:lblOffset val="100"/>
        <c:noMultiLvlLbl val="0"/>
      </c:catAx>
      <c:valAx>
        <c:axId val="31838620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580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SAfr!$C$21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SAfr!$D$21:$BD$21</c:f>
              <c:numCache>
                <c:formatCode>_(* #,##0_);_(* \(#,##0\);_(* "-"??_);_(@_)</c:formatCode>
                <c:ptCount val="53"/>
                <c:pt idx="0">
                  <c:v>8513</c:v>
                </c:pt>
                <c:pt idx="1">
                  <c:v>9751</c:v>
                </c:pt>
                <c:pt idx="2">
                  <c:v>9939</c:v>
                </c:pt>
                <c:pt idx="3">
                  <c:v>10661</c:v>
                </c:pt>
                <c:pt idx="4">
                  <c:v>840.6</c:v>
                </c:pt>
                <c:pt idx="5">
                  <c:v>14102.76</c:v>
                </c:pt>
                <c:pt idx="6">
                  <c:v>16913.455999999998</c:v>
                </c:pt>
                <c:pt idx="7">
                  <c:v>13719.694</c:v>
                </c:pt>
                <c:pt idx="8">
                  <c:v>14787.864</c:v>
                </c:pt>
                <c:pt idx="9">
                  <c:v>12143.897000000001</c:v>
                </c:pt>
                <c:pt idx="10">
                  <c:v>16751.114000000001</c:v>
                </c:pt>
                <c:pt idx="11">
                  <c:v>16804.64</c:v>
                </c:pt>
                <c:pt idx="12">
                  <c:v>15453.687</c:v>
                </c:pt>
                <c:pt idx="13">
                  <c:v>16895.328000000001</c:v>
                </c:pt>
                <c:pt idx="14">
                  <c:v>16813.536</c:v>
                </c:pt>
                <c:pt idx="15">
                  <c:v>19220.608</c:v>
                </c:pt>
                <c:pt idx="16">
                  <c:v>19009.024000000001</c:v>
                </c:pt>
                <c:pt idx="17">
                  <c:v>18931.776000000002</c:v>
                </c:pt>
                <c:pt idx="18">
                  <c:v>18412</c:v>
                </c:pt>
                <c:pt idx="19">
                  <c:v>14062.204</c:v>
                </c:pt>
                <c:pt idx="20">
                  <c:v>19532.128000000001</c:v>
                </c:pt>
                <c:pt idx="21">
                  <c:v>19339.488000000001</c:v>
                </c:pt>
                <c:pt idx="22">
                  <c:v>13422.876</c:v>
                </c:pt>
                <c:pt idx="23">
                  <c:v>22356</c:v>
                </c:pt>
                <c:pt idx="24">
                  <c:v>18803.008000000002</c:v>
                </c:pt>
                <c:pt idx="25">
                  <c:v>18252</c:v>
                </c:pt>
                <c:pt idx="26">
                  <c:v>21021.008000000002</c:v>
                </c:pt>
                <c:pt idx="27">
                  <c:v>19811.008000000002</c:v>
                </c:pt>
                <c:pt idx="28">
                  <c:v>18587</c:v>
                </c:pt>
                <c:pt idx="29">
                  <c:v>18083.488000000001</c:v>
                </c:pt>
                <c:pt idx="30">
                  <c:v>20077.968000000001</c:v>
                </c:pt>
                <c:pt idx="31">
                  <c:v>12955.4</c:v>
                </c:pt>
                <c:pt idx="32">
                  <c:v>11244.4</c:v>
                </c:pt>
                <c:pt idx="33">
                  <c:v>15683.3</c:v>
                </c:pt>
                <c:pt idx="34">
                  <c:v>16713.650000000001</c:v>
                </c:pt>
                <c:pt idx="35">
                  <c:v>20950.896000000001</c:v>
                </c:pt>
                <c:pt idx="36">
                  <c:v>22154.776000000002</c:v>
                </c:pt>
                <c:pt idx="37">
                  <c:v>22930.324000000001</c:v>
                </c:pt>
                <c:pt idx="38">
                  <c:v>21223.1</c:v>
                </c:pt>
                <c:pt idx="39">
                  <c:v>23876.162</c:v>
                </c:pt>
                <c:pt idx="40">
                  <c:v>21156.536</c:v>
                </c:pt>
                <c:pt idx="41">
                  <c:v>23012.554</c:v>
                </c:pt>
                <c:pt idx="42">
                  <c:v>20418.932000000001</c:v>
                </c:pt>
                <c:pt idx="43">
                  <c:v>19094.759999999998</c:v>
                </c:pt>
                <c:pt idx="44">
                  <c:v>21265</c:v>
                </c:pt>
                <c:pt idx="45">
                  <c:v>20275.43</c:v>
                </c:pt>
                <c:pt idx="46">
                  <c:v>19724</c:v>
                </c:pt>
                <c:pt idx="47">
                  <c:v>19255.403999999999</c:v>
                </c:pt>
                <c:pt idx="48">
                  <c:v>18655.089</c:v>
                </c:pt>
                <c:pt idx="49">
                  <c:v>16015.605</c:v>
                </c:pt>
                <c:pt idx="50">
                  <c:v>16800</c:v>
                </c:pt>
                <c:pt idx="51">
                  <c:v>17278</c:v>
                </c:pt>
                <c:pt idx="52">
                  <c:v>18000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SAfr!$C$22</c:f>
              <c:strCache>
                <c:ptCount val="1"/>
                <c:pt idx="0">
                  <c:v>Total Imports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SAfr!$D$22:$BD$22</c:f>
              <c:numCache>
                <c:formatCode>_(* #,##0_);_(* \(#,##0\);_(* "-"??_);_(@_)</c:formatCode>
                <c:ptCount val="53"/>
                <c:pt idx="0">
                  <c:v>11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98</c:v>
                </c:pt>
                <c:pt idx="5">
                  <c:v>25</c:v>
                </c:pt>
                <c:pt idx="6">
                  <c:v>15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14</c:v>
                </c:pt>
                <c:pt idx="11">
                  <c:v>15</c:v>
                </c:pt>
                <c:pt idx="12">
                  <c:v>15</c:v>
                </c:pt>
                <c:pt idx="13">
                  <c:v>20</c:v>
                </c:pt>
                <c:pt idx="14">
                  <c:v>1</c:v>
                </c:pt>
                <c:pt idx="15">
                  <c:v>0</c:v>
                </c:pt>
                <c:pt idx="16">
                  <c:v>65</c:v>
                </c:pt>
                <c:pt idx="17">
                  <c:v>45</c:v>
                </c:pt>
                <c:pt idx="18">
                  <c:v>0</c:v>
                </c:pt>
                <c:pt idx="19">
                  <c:v>0</c:v>
                </c:pt>
                <c:pt idx="20">
                  <c:v>21</c:v>
                </c:pt>
                <c:pt idx="21">
                  <c:v>0</c:v>
                </c:pt>
                <c:pt idx="22">
                  <c:v>0</c:v>
                </c:pt>
                <c:pt idx="23">
                  <c:v>199</c:v>
                </c:pt>
                <c:pt idx="24">
                  <c:v>0</c:v>
                </c:pt>
                <c:pt idx="25">
                  <c:v>29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114</c:v>
                </c:pt>
                <c:pt idx="34">
                  <c:v>0</c:v>
                </c:pt>
                <c:pt idx="35">
                  <c:v>23</c:v>
                </c:pt>
                <c:pt idx="36">
                  <c:v>53</c:v>
                </c:pt>
                <c:pt idx="37">
                  <c:v>46</c:v>
                </c:pt>
                <c:pt idx="38">
                  <c:v>62</c:v>
                </c:pt>
                <c:pt idx="39">
                  <c:v>155</c:v>
                </c:pt>
                <c:pt idx="40">
                  <c:v>260</c:v>
                </c:pt>
                <c:pt idx="41">
                  <c:v>263</c:v>
                </c:pt>
                <c:pt idx="42">
                  <c:v>269</c:v>
                </c:pt>
                <c:pt idx="43">
                  <c:v>284</c:v>
                </c:pt>
                <c:pt idx="44">
                  <c:v>245</c:v>
                </c:pt>
                <c:pt idx="45">
                  <c:v>180</c:v>
                </c:pt>
                <c:pt idx="46">
                  <c:v>125</c:v>
                </c:pt>
                <c:pt idx="47">
                  <c:v>165</c:v>
                </c:pt>
                <c:pt idx="48">
                  <c:v>168</c:v>
                </c:pt>
                <c:pt idx="49">
                  <c:v>200</c:v>
                </c:pt>
                <c:pt idx="50">
                  <c:v>250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SAfr!$C$23</c:f>
              <c:strCache>
                <c:ptCount val="1"/>
                <c:pt idx="0">
                  <c:v>Total Exports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SAfr!$D$23:$BD$23</c:f>
              <c:numCache>
                <c:formatCode>_(* #,##0_);_(* \(#,##0\);_(* "-"??_);_(@_)</c:formatCode>
                <c:ptCount val="53"/>
                <c:pt idx="0">
                  <c:v>296</c:v>
                </c:pt>
                <c:pt idx="1">
                  <c:v>431</c:v>
                </c:pt>
                <c:pt idx="2">
                  <c:v>642</c:v>
                </c:pt>
                <c:pt idx="3">
                  <c:v>400</c:v>
                </c:pt>
                <c:pt idx="4">
                  <c:v>375</c:v>
                </c:pt>
                <c:pt idx="5">
                  <c:v>350</c:v>
                </c:pt>
                <c:pt idx="6">
                  <c:v>882</c:v>
                </c:pt>
                <c:pt idx="7">
                  <c:v>960</c:v>
                </c:pt>
                <c:pt idx="8">
                  <c:v>713</c:v>
                </c:pt>
                <c:pt idx="9">
                  <c:v>790</c:v>
                </c:pt>
                <c:pt idx="10">
                  <c:v>795</c:v>
                </c:pt>
                <c:pt idx="11">
                  <c:v>813</c:v>
                </c:pt>
                <c:pt idx="12">
                  <c:v>892</c:v>
                </c:pt>
                <c:pt idx="13">
                  <c:v>889</c:v>
                </c:pt>
                <c:pt idx="14">
                  <c:v>814</c:v>
                </c:pt>
                <c:pt idx="15">
                  <c:v>785</c:v>
                </c:pt>
                <c:pt idx="16">
                  <c:v>956</c:v>
                </c:pt>
                <c:pt idx="17">
                  <c:v>1149</c:v>
                </c:pt>
                <c:pt idx="18">
                  <c:v>811</c:v>
                </c:pt>
                <c:pt idx="19">
                  <c:v>966</c:v>
                </c:pt>
                <c:pt idx="20">
                  <c:v>628</c:v>
                </c:pt>
                <c:pt idx="21">
                  <c:v>839</c:v>
                </c:pt>
                <c:pt idx="22">
                  <c:v>978</c:v>
                </c:pt>
                <c:pt idx="23">
                  <c:v>360</c:v>
                </c:pt>
                <c:pt idx="24">
                  <c:v>776</c:v>
                </c:pt>
                <c:pt idx="25">
                  <c:v>1128</c:v>
                </c:pt>
                <c:pt idx="26">
                  <c:v>875</c:v>
                </c:pt>
                <c:pt idx="27">
                  <c:v>925</c:v>
                </c:pt>
                <c:pt idx="28">
                  <c:v>870</c:v>
                </c:pt>
                <c:pt idx="29">
                  <c:v>927</c:v>
                </c:pt>
                <c:pt idx="30">
                  <c:v>757</c:v>
                </c:pt>
                <c:pt idx="31">
                  <c:v>969</c:v>
                </c:pt>
                <c:pt idx="32">
                  <c:v>123</c:v>
                </c:pt>
                <c:pt idx="33">
                  <c:v>27</c:v>
                </c:pt>
                <c:pt idx="34">
                  <c:v>369</c:v>
                </c:pt>
                <c:pt idx="35">
                  <c:v>399</c:v>
                </c:pt>
                <c:pt idx="36">
                  <c:v>1056</c:v>
                </c:pt>
                <c:pt idx="37">
                  <c:v>1160</c:v>
                </c:pt>
                <c:pt idx="38">
                  <c:v>1355</c:v>
                </c:pt>
                <c:pt idx="39">
                  <c:v>1410</c:v>
                </c:pt>
                <c:pt idx="40">
                  <c:v>1580</c:v>
                </c:pt>
                <c:pt idx="41">
                  <c:v>1235</c:v>
                </c:pt>
                <c:pt idx="42">
                  <c:v>1296</c:v>
                </c:pt>
                <c:pt idx="43">
                  <c:v>1025</c:v>
                </c:pt>
                <c:pt idx="44">
                  <c:v>1010</c:v>
                </c:pt>
                <c:pt idx="45">
                  <c:v>1230</c:v>
                </c:pt>
                <c:pt idx="46">
                  <c:v>1267</c:v>
                </c:pt>
                <c:pt idx="47">
                  <c:v>1154</c:v>
                </c:pt>
                <c:pt idx="48">
                  <c:v>1185</c:v>
                </c:pt>
                <c:pt idx="49">
                  <c:v>830</c:v>
                </c:pt>
                <c:pt idx="50">
                  <c:v>800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SAfr!$C$24</c:f>
              <c:strCache>
                <c:ptCount val="1"/>
                <c:pt idx="0">
                  <c:v>Human Dom.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SAfr!$D$24:$BD$24</c:f>
              <c:numCache>
                <c:formatCode>_(* #,##0_);_(* \(#,##0\);_(* "-"??_);_(@_)</c:formatCode>
                <c:ptCount val="53"/>
                <c:pt idx="0">
                  <c:v>8228</c:v>
                </c:pt>
                <c:pt idx="1">
                  <c:v>9320</c:v>
                </c:pt>
                <c:pt idx="2">
                  <c:v>9297</c:v>
                </c:pt>
                <c:pt idx="3">
                  <c:v>10261</c:v>
                </c:pt>
                <c:pt idx="4">
                  <c:v>563.6</c:v>
                </c:pt>
                <c:pt idx="5">
                  <c:v>13777.76</c:v>
                </c:pt>
                <c:pt idx="6">
                  <c:v>16046.455999999998</c:v>
                </c:pt>
                <c:pt idx="7">
                  <c:v>12759.694</c:v>
                </c:pt>
                <c:pt idx="8">
                  <c:v>14075.864</c:v>
                </c:pt>
                <c:pt idx="9">
                  <c:v>11354.897000000001</c:v>
                </c:pt>
                <c:pt idx="10">
                  <c:v>15970.114000000001</c:v>
                </c:pt>
                <c:pt idx="11">
                  <c:v>16006.64</c:v>
                </c:pt>
                <c:pt idx="12">
                  <c:v>14576.687</c:v>
                </c:pt>
                <c:pt idx="13">
                  <c:v>16026.328000000001</c:v>
                </c:pt>
                <c:pt idx="14">
                  <c:v>16000.536</c:v>
                </c:pt>
                <c:pt idx="15">
                  <c:v>18435.608</c:v>
                </c:pt>
                <c:pt idx="16">
                  <c:v>18118.024000000001</c:v>
                </c:pt>
                <c:pt idx="17">
                  <c:v>17827.776000000002</c:v>
                </c:pt>
                <c:pt idx="18">
                  <c:v>17601</c:v>
                </c:pt>
                <c:pt idx="19">
                  <c:v>13096.204</c:v>
                </c:pt>
                <c:pt idx="20">
                  <c:v>18925.128000000001</c:v>
                </c:pt>
                <c:pt idx="21">
                  <c:v>18500.488000000001</c:v>
                </c:pt>
                <c:pt idx="22">
                  <c:v>12444.876</c:v>
                </c:pt>
                <c:pt idx="23">
                  <c:v>22195</c:v>
                </c:pt>
                <c:pt idx="24">
                  <c:v>18027.008000000002</c:v>
                </c:pt>
                <c:pt idx="25">
                  <c:v>17153</c:v>
                </c:pt>
                <c:pt idx="26">
                  <c:v>20146.008000000002</c:v>
                </c:pt>
                <c:pt idx="27">
                  <c:v>18886.008000000002</c:v>
                </c:pt>
                <c:pt idx="28">
                  <c:v>17717</c:v>
                </c:pt>
                <c:pt idx="29">
                  <c:v>17156.488000000001</c:v>
                </c:pt>
                <c:pt idx="30">
                  <c:v>19320.968000000001</c:v>
                </c:pt>
                <c:pt idx="31">
                  <c:v>11986.4</c:v>
                </c:pt>
                <c:pt idx="32">
                  <c:v>11121.4</c:v>
                </c:pt>
                <c:pt idx="33">
                  <c:v>15770.3</c:v>
                </c:pt>
                <c:pt idx="34">
                  <c:v>16344.650000000001</c:v>
                </c:pt>
                <c:pt idx="35">
                  <c:v>20574.896000000001</c:v>
                </c:pt>
                <c:pt idx="36">
                  <c:v>21151.776000000002</c:v>
                </c:pt>
                <c:pt idx="37">
                  <c:v>21816.324000000001</c:v>
                </c:pt>
                <c:pt idx="38">
                  <c:v>19930.099999999999</c:v>
                </c:pt>
                <c:pt idx="39">
                  <c:v>22621.162</c:v>
                </c:pt>
                <c:pt idx="40">
                  <c:v>19836.536</c:v>
                </c:pt>
                <c:pt idx="41">
                  <c:v>22040.554</c:v>
                </c:pt>
                <c:pt idx="42">
                  <c:v>19391.932000000001</c:v>
                </c:pt>
                <c:pt idx="43">
                  <c:v>18353.759999999998</c:v>
                </c:pt>
                <c:pt idx="44">
                  <c:v>20500</c:v>
                </c:pt>
                <c:pt idx="45">
                  <c:v>19225.43</c:v>
                </c:pt>
                <c:pt idx="46">
                  <c:v>18582</c:v>
                </c:pt>
                <c:pt idx="47">
                  <c:v>18266.403999999999</c:v>
                </c:pt>
                <c:pt idx="48">
                  <c:v>17638.089</c:v>
                </c:pt>
                <c:pt idx="49">
                  <c:v>15385.605</c:v>
                </c:pt>
                <c:pt idx="50">
                  <c:v>16250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387768"/>
        <c:axId val="322473920"/>
      </c:lineChart>
      <c:catAx>
        <c:axId val="3183877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3920"/>
        <c:crosses val="autoZero"/>
        <c:auto val="1"/>
        <c:lblAlgn val="ctr"/>
        <c:lblOffset val="100"/>
        <c:noMultiLvlLbl val="0"/>
      </c:catAx>
      <c:valAx>
        <c:axId val="32247392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1838776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4225511249617945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SAfr!$C$25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SAfr!$D$25:$BD$25</c:f>
              <c:numCache>
                <c:formatCode>_(* #,##0_);_(* \(#,##0\);_(* "-"??_);_(@_)</c:formatCode>
                <c:ptCount val="53"/>
                <c:pt idx="0">
                  <c:v>769</c:v>
                </c:pt>
                <c:pt idx="1">
                  <c:v>871</c:v>
                </c:pt>
                <c:pt idx="2">
                  <c:v>705</c:v>
                </c:pt>
                <c:pt idx="3">
                  <c:v>880</c:v>
                </c:pt>
                <c:pt idx="4">
                  <c:v>1060</c:v>
                </c:pt>
                <c:pt idx="5">
                  <c:v>656</c:v>
                </c:pt>
                <c:pt idx="6">
                  <c:v>548</c:v>
                </c:pt>
                <c:pt idx="7">
                  <c:v>1077</c:v>
                </c:pt>
                <c:pt idx="8">
                  <c:v>1247</c:v>
                </c:pt>
                <c:pt idx="9">
                  <c:v>1316</c:v>
                </c:pt>
                <c:pt idx="10">
                  <c:v>1396</c:v>
                </c:pt>
                <c:pt idx="11">
                  <c:v>1670</c:v>
                </c:pt>
                <c:pt idx="12">
                  <c:v>1746</c:v>
                </c:pt>
                <c:pt idx="13">
                  <c:v>1871</c:v>
                </c:pt>
                <c:pt idx="14">
                  <c:v>1596</c:v>
                </c:pt>
                <c:pt idx="15">
                  <c:v>1792</c:v>
                </c:pt>
                <c:pt idx="16">
                  <c:v>2239</c:v>
                </c:pt>
                <c:pt idx="17">
                  <c:v>1860</c:v>
                </c:pt>
                <c:pt idx="18">
                  <c:v>1690</c:v>
                </c:pt>
                <c:pt idx="19">
                  <c:v>2086</c:v>
                </c:pt>
                <c:pt idx="20">
                  <c:v>1470</c:v>
                </c:pt>
                <c:pt idx="21">
                  <c:v>2339</c:v>
                </c:pt>
                <c:pt idx="22">
                  <c:v>2420</c:v>
                </c:pt>
                <c:pt idx="23">
                  <c:v>1809</c:v>
                </c:pt>
                <c:pt idx="24">
                  <c:v>2224</c:v>
                </c:pt>
                <c:pt idx="25">
                  <c:v>1680</c:v>
                </c:pt>
                <c:pt idx="26">
                  <c:v>2321</c:v>
                </c:pt>
                <c:pt idx="27">
                  <c:v>3135</c:v>
                </c:pt>
                <c:pt idx="28">
                  <c:v>3535</c:v>
                </c:pt>
                <c:pt idx="29">
                  <c:v>2026</c:v>
                </c:pt>
                <c:pt idx="30">
                  <c:v>1702</c:v>
                </c:pt>
                <c:pt idx="31">
                  <c:v>2132</c:v>
                </c:pt>
                <c:pt idx="32">
                  <c:v>1318</c:v>
                </c:pt>
                <c:pt idx="33">
                  <c:v>1975</c:v>
                </c:pt>
                <c:pt idx="34">
                  <c:v>1832</c:v>
                </c:pt>
                <c:pt idx="35">
                  <c:v>1950</c:v>
                </c:pt>
                <c:pt idx="36">
                  <c:v>2712</c:v>
                </c:pt>
                <c:pt idx="37">
                  <c:v>2283</c:v>
                </c:pt>
                <c:pt idx="38">
                  <c:v>1884</c:v>
                </c:pt>
                <c:pt idx="39">
                  <c:v>1725</c:v>
                </c:pt>
                <c:pt idx="40">
                  <c:v>2349</c:v>
                </c:pt>
                <c:pt idx="41">
                  <c:v>2490</c:v>
                </c:pt>
                <c:pt idx="42">
                  <c:v>2320</c:v>
                </c:pt>
                <c:pt idx="43">
                  <c:v>1540</c:v>
                </c:pt>
                <c:pt idx="44">
                  <c:v>1680</c:v>
                </c:pt>
                <c:pt idx="45">
                  <c:v>1886</c:v>
                </c:pt>
                <c:pt idx="46">
                  <c:v>2105</c:v>
                </c:pt>
                <c:pt idx="47">
                  <c:v>1905</c:v>
                </c:pt>
                <c:pt idx="48">
                  <c:v>2130</c:v>
                </c:pt>
                <c:pt idx="49">
                  <c:v>1960</c:v>
                </c:pt>
                <c:pt idx="50">
                  <c:v>1465</c:v>
                </c:pt>
                <c:pt idx="51">
                  <c:v>200.5</c:v>
                </c:pt>
                <c:pt idx="52">
                  <c:v>1915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SAfr!$C$26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SAfr!$D$26:$BD$26</c:f>
              <c:numCache>
                <c:formatCode>_(* #,##0_);_(* \(#,##0\);_(* "-"??_);_(@_)</c:formatCode>
                <c:ptCount val="53"/>
                <c:pt idx="0">
                  <c:v>73</c:v>
                </c:pt>
                <c:pt idx="1">
                  <c:v>84</c:v>
                </c:pt>
                <c:pt idx="2">
                  <c:v>241</c:v>
                </c:pt>
                <c:pt idx="3">
                  <c:v>152</c:v>
                </c:pt>
                <c:pt idx="4">
                  <c:v>139</c:v>
                </c:pt>
                <c:pt idx="5">
                  <c:v>162</c:v>
                </c:pt>
                <c:pt idx="6">
                  <c:v>807</c:v>
                </c:pt>
                <c:pt idx="7">
                  <c:v>229</c:v>
                </c:pt>
                <c:pt idx="8">
                  <c:v>2</c:v>
                </c:pt>
                <c:pt idx="9">
                  <c:v>14</c:v>
                </c:pt>
                <c:pt idx="10">
                  <c:v>161</c:v>
                </c:pt>
                <c:pt idx="11">
                  <c:v>13</c:v>
                </c:pt>
                <c:pt idx="12">
                  <c:v>9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255</c:v>
                </c:pt>
                <c:pt idx="21">
                  <c:v>131</c:v>
                </c:pt>
                <c:pt idx="22">
                  <c:v>59</c:v>
                </c:pt>
                <c:pt idx="23">
                  <c:v>282</c:v>
                </c:pt>
                <c:pt idx="24">
                  <c:v>118</c:v>
                </c:pt>
                <c:pt idx="25">
                  <c:v>306</c:v>
                </c:pt>
                <c:pt idx="26">
                  <c:v>32</c:v>
                </c:pt>
                <c:pt idx="27">
                  <c:v>0</c:v>
                </c:pt>
                <c:pt idx="28">
                  <c:v>0</c:v>
                </c:pt>
                <c:pt idx="29">
                  <c:v>500</c:v>
                </c:pt>
                <c:pt idx="30">
                  <c:v>642</c:v>
                </c:pt>
                <c:pt idx="31">
                  <c:v>250</c:v>
                </c:pt>
                <c:pt idx="32">
                  <c:v>1050</c:v>
                </c:pt>
                <c:pt idx="33">
                  <c:v>333</c:v>
                </c:pt>
                <c:pt idx="34">
                  <c:v>914</c:v>
                </c:pt>
                <c:pt idx="35">
                  <c:v>881</c:v>
                </c:pt>
                <c:pt idx="36">
                  <c:v>797</c:v>
                </c:pt>
                <c:pt idx="37">
                  <c:v>584</c:v>
                </c:pt>
                <c:pt idx="38">
                  <c:v>585</c:v>
                </c:pt>
                <c:pt idx="39">
                  <c:v>909</c:v>
                </c:pt>
                <c:pt idx="40">
                  <c:v>438</c:v>
                </c:pt>
                <c:pt idx="41">
                  <c:v>561</c:v>
                </c:pt>
                <c:pt idx="42">
                  <c:v>871</c:v>
                </c:pt>
                <c:pt idx="43">
                  <c:v>1278</c:v>
                </c:pt>
                <c:pt idx="44">
                  <c:v>1396</c:v>
                </c:pt>
                <c:pt idx="45">
                  <c:v>1211</c:v>
                </c:pt>
                <c:pt idx="46">
                  <c:v>866</c:v>
                </c:pt>
                <c:pt idx="47">
                  <c:v>1484</c:v>
                </c:pt>
                <c:pt idx="48">
                  <c:v>1402</c:v>
                </c:pt>
                <c:pt idx="49">
                  <c:v>1396</c:v>
                </c:pt>
                <c:pt idx="50">
                  <c:v>1600</c:v>
                </c:pt>
                <c:pt idx="51">
                  <c:v>1849.5809999999999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SAfr!$C$27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SAfr!$D$27:$BD$27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6</c:v>
                </c:pt>
                <c:pt idx="10">
                  <c:v>4</c:v>
                </c:pt>
                <c:pt idx="11">
                  <c:v>2</c:v>
                </c:pt>
                <c:pt idx="12">
                  <c:v>365</c:v>
                </c:pt>
                <c:pt idx="13">
                  <c:v>422</c:v>
                </c:pt>
                <c:pt idx="14">
                  <c:v>43</c:v>
                </c:pt>
                <c:pt idx="15">
                  <c:v>31</c:v>
                </c:pt>
                <c:pt idx="16">
                  <c:v>242</c:v>
                </c:pt>
                <c:pt idx="17">
                  <c:v>142</c:v>
                </c:pt>
                <c:pt idx="18">
                  <c:v>126</c:v>
                </c:pt>
                <c:pt idx="19">
                  <c:v>141</c:v>
                </c:pt>
                <c:pt idx="20">
                  <c:v>13</c:v>
                </c:pt>
                <c:pt idx="21">
                  <c:v>6</c:v>
                </c:pt>
                <c:pt idx="22">
                  <c:v>157</c:v>
                </c:pt>
                <c:pt idx="23">
                  <c:v>104</c:v>
                </c:pt>
                <c:pt idx="24">
                  <c:v>110</c:v>
                </c:pt>
                <c:pt idx="25">
                  <c:v>78</c:v>
                </c:pt>
                <c:pt idx="26">
                  <c:v>54</c:v>
                </c:pt>
                <c:pt idx="27">
                  <c:v>270</c:v>
                </c:pt>
                <c:pt idx="28">
                  <c:v>1157</c:v>
                </c:pt>
                <c:pt idx="29">
                  <c:v>300</c:v>
                </c:pt>
                <c:pt idx="30">
                  <c:v>114</c:v>
                </c:pt>
                <c:pt idx="31">
                  <c:v>125</c:v>
                </c:pt>
                <c:pt idx="32">
                  <c:v>0</c:v>
                </c:pt>
                <c:pt idx="33">
                  <c:v>110</c:v>
                </c:pt>
                <c:pt idx="34">
                  <c:v>140</c:v>
                </c:pt>
                <c:pt idx="35">
                  <c:v>160</c:v>
                </c:pt>
                <c:pt idx="36">
                  <c:v>125</c:v>
                </c:pt>
                <c:pt idx="37">
                  <c:v>200</c:v>
                </c:pt>
                <c:pt idx="38">
                  <c:v>160</c:v>
                </c:pt>
                <c:pt idx="39">
                  <c:v>232</c:v>
                </c:pt>
                <c:pt idx="40">
                  <c:v>200</c:v>
                </c:pt>
                <c:pt idx="41">
                  <c:v>379</c:v>
                </c:pt>
                <c:pt idx="42">
                  <c:v>310</c:v>
                </c:pt>
                <c:pt idx="43">
                  <c:v>379</c:v>
                </c:pt>
                <c:pt idx="44">
                  <c:v>324</c:v>
                </c:pt>
                <c:pt idx="45">
                  <c:v>278</c:v>
                </c:pt>
                <c:pt idx="46">
                  <c:v>317</c:v>
                </c:pt>
                <c:pt idx="47">
                  <c:v>343</c:v>
                </c:pt>
                <c:pt idx="48">
                  <c:v>376</c:v>
                </c:pt>
                <c:pt idx="49">
                  <c:v>373</c:v>
                </c:pt>
                <c:pt idx="50">
                  <c:v>350</c:v>
                </c:pt>
                <c:pt idx="51">
                  <c:v>21.401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SAfr!$C$28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SAfr!$D$1:$BD$1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SAfr!$D$28:$BD$28</c:f>
              <c:numCache>
                <c:formatCode>_(* #,##0_);_(* \(#,##0\);_(* "-"??_);_(@_)</c:formatCode>
                <c:ptCount val="53"/>
                <c:pt idx="0">
                  <c:v>842</c:v>
                </c:pt>
                <c:pt idx="1">
                  <c:v>955</c:v>
                </c:pt>
                <c:pt idx="2">
                  <c:v>946</c:v>
                </c:pt>
                <c:pt idx="3">
                  <c:v>932</c:v>
                </c:pt>
                <c:pt idx="4">
                  <c:v>982</c:v>
                </c:pt>
                <c:pt idx="5">
                  <c:v>857</c:v>
                </c:pt>
                <c:pt idx="6">
                  <c:v>1279</c:v>
                </c:pt>
                <c:pt idx="7">
                  <c:v>1452</c:v>
                </c:pt>
                <c:pt idx="8">
                  <c:v>1238</c:v>
                </c:pt>
                <c:pt idx="9">
                  <c:v>1294</c:v>
                </c:pt>
                <c:pt idx="10">
                  <c:v>1283</c:v>
                </c:pt>
                <c:pt idx="11">
                  <c:v>1433</c:v>
                </c:pt>
                <c:pt idx="12">
                  <c:v>1461</c:v>
                </c:pt>
                <c:pt idx="13">
                  <c:v>1559</c:v>
                </c:pt>
                <c:pt idx="14">
                  <c:v>1638</c:v>
                </c:pt>
                <c:pt idx="15">
                  <c:v>1744</c:v>
                </c:pt>
                <c:pt idx="16">
                  <c:v>1698</c:v>
                </c:pt>
                <c:pt idx="17">
                  <c:v>1702</c:v>
                </c:pt>
                <c:pt idx="18">
                  <c:v>1934</c:v>
                </c:pt>
                <c:pt idx="19">
                  <c:v>1807</c:v>
                </c:pt>
                <c:pt idx="20">
                  <c:v>1993</c:v>
                </c:pt>
                <c:pt idx="21">
                  <c:v>1997</c:v>
                </c:pt>
                <c:pt idx="22">
                  <c:v>2045</c:v>
                </c:pt>
                <c:pt idx="23">
                  <c:v>2384</c:v>
                </c:pt>
                <c:pt idx="24">
                  <c:v>2179</c:v>
                </c:pt>
                <c:pt idx="25">
                  <c:v>2200</c:v>
                </c:pt>
                <c:pt idx="26">
                  <c:v>2254</c:v>
                </c:pt>
                <c:pt idx="27">
                  <c:v>2732</c:v>
                </c:pt>
                <c:pt idx="28">
                  <c:v>2486</c:v>
                </c:pt>
                <c:pt idx="29">
                  <c:v>2339</c:v>
                </c:pt>
                <c:pt idx="30">
                  <c:v>2295</c:v>
                </c:pt>
                <c:pt idx="31">
                  <c:v>2177</c:v>
                </c:pt>
                <c:pt idx="32">
                  <c:v>2198</c:v>
                </c:pt>
                <c:pt idx="33">
                  <c:v>2468</c:v>
                </c:pt>
                <c:pt idx="34">
                  <c:v>2506</c:v>
                </c:pt>
                <c:pt idx="35">
                  <c:v>2521</c:v>
                </c:pt>
                <c:pt idx="36">
                  <c:v>2834</c:v>
                </c:pt>
                <c:pt idx="37">
                  <c:v>2667</c:v>
                </c:pt>
                <c:pt idx="38">
                  <c:v>2609</c:v>
                </c:pt>
                <c:pt idx="39">
                  <c:v>2650</c:v>
                </c:pt>
                <c:pt idx="40">
                  <c:v>2650</c:v>
                </c:pt>
                <c:pt idx="41">
                  <c:v>2570</c:v>
                </c:pt>
                <c:pt idx="42">
                  <c:v>2570</c:v>
                </c:pt>
                <c:pt idx="43">
                  <c:v>2740</c:v>
                </c:pt>
                <c:pt idx="44">
                  <c:v>2770</c:v>
                </c:pt>
                <c:pt idx="45">
                  <c:v>2810</c:v>
                </c:pt>
                <c:pt idx="46">
                  <c:v>2810</c:v>
                </c:pt>
                <c:pt idx="47">
                  <c:v>2860</c:v>
                </c:pt>
                <c:pt idx="48">
                  <c:v>3000</c:v>
                </c:pt>
                <c:pt idx="49">
                  <c:v>3000</c:v>
                </c:pt>
                <c:pt idx="50">
                  <c:v>3000</c:v>
                </c:pt>
                <c:pt idx="51">
                  <c:v>2028.68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64512"/>
        <c:axId val="322465688"/>
      </c:lineChart>
      <c:catAx>
        <c:axId val="322464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5688"/>
        <c:crosses val="autoZero"/>
        <c:auto val="1"/>
        <c:lblAlgn val="ctr"/>
        <c:lblOffset val="100"/>
        <c:noMultiLvlLbl val="0"/>
      </c:catAx>
      <c:valAx>
        <c:axId val="32246568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451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63"/>
          <c:w val="0.845245908485693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Thai!$C$2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Thai!$D$2:$BD$2</c:f>
              <c:numCache>
                <c:formatCode>_(* #,##0_);_(* \(#,##0\);_(* "-"??_);_(@_)</c:formatCode>
                <c:ptCount val="53"/>
                <c:pt idx="0">
                  <c:v>544</c:v>
                </c:pt>
                <c:pt idx="1">
                  <c:v>598</c:v>
                </c:pt>
                <c:pt idx="2">
                  <c:v>665</c:v>
                </c:pt>
                <c:pt idx="3">
                  <c:v>858</c:v>
                </c:pt>
                <c:pt idx="4">
                  <c:v>935</c:v>
                </c:pt>
                <c:pt idx="5">
                  <c:v>1021</c:v>
                </c:pt>
                <c:pt idx="6">
                  <c:v>1122</c:v>
                </c:pt>
                <c:pt idx="7">
                  <c:v>1315</c:v>
                </c:pt>
                <c:pt idx="8">
                  <c:v>1507</c:v>
                </c:pt>
                <c:pt idx="9">
                  <c:v>1700</c:v>
                </c:pt>
                <c:pt idx="10">
                  <c:v>1938</c:v>
                </c:pt>
                <c:pt idx="11">
                  <c:v>2300</c:v>
                </c:pt>
                <c:pt idx="12">
                  <c:v>1315</c:v>
                </c:pt>
                <c:pt idx="13">
                  <c:v>2350</c:v>
                </c:pt>
                <c:pt idx="14">
                  <c:v>2500</c:v>
                </c:pt>
                <c:pt idx="15">
                  <c:v>2863</c:v>
                </c:pt>
                <c:pt idx="16">
                  <c:v>2675</c:v>
                </c:pt>
                <c:pt idx="17">
                  <c:v>1677</c:v>
                </c:pt>
                <c:pt idx="18">
                  <c:v>2791</c:v>
                </c:pt>
                <c:pt idx="19">
                  <c:v>3300</c:v>
                </c:pt>
                <c:pt idx="20">
                  <c:v>3200</c:v>
                </c:pt>
                <c:pt idx="21">
                  <c:v>4350</c:v>
                </c:pt>
                <c:pt idx="22">
                  <c:v>3450</c:v>
                </c:pt>
                <c:pt idx="23">
                  <c:v>3950</c:v>
                </c:pt>
                <c:pt idx="24">
                  <c:v>4350</c:v>
                </c:pt>
                <c:pt idx="25">
                  <c:v>5350</c:v>
                </c:pt>
                <c:pt idx="26">
                  <c:v>4309</c:v>
                </c:pt>
                <c:pt idx="27">
                  <c:v>2736</c:v>
                </c:pt>
                <c:pt idx="28">
                  <c:v>4200</c:v>
                </c:pt>
                <c:pt idx="29">
                  <c:v>4100</c:v>
                </c:pt>
                <c:pt idx="30">
                  <c:v>3800</c:v>
                </c:pt>
                <c:pt idx="31">
                  <c:v>3600</c:v>
                </c:pt>
                <c:pt idx="32">
                  <c:v>3400</c:v>
                </c:pt>
                <c:pt idx="33">
                  <c:v>2900</c:v>
                </c:pt>
                <c:pt idx="34">
                  <c:v>3800</c:v>
                </c:pt>
                <c:pt idx="35">
                  <c:v>3700</c:v>
                </c:pt>
                <c:pt idx="36">
                  <c:v>3900</c:v>
                </c:pt>
                <c:pt idx="37">
                  <c:v>3700</c:v>
                </c:pt>
                <c:pt idx="38">
                  <c:v>4300</c:v>
                </c:pt>
                <c:pt idx="39">
                  <c:v>3900</c:v>
                </c:pt>
                <c:pt idx="40">
                  <c:v>4700</c:v>
                </c:pt>
                <c:pt idx="41">
                  <c:v>4500</c:v>
                </c:pt>
                <c:pt idx="42">
                  <c:v>4250</c:v>
                </c:pt>
                <c:pt idx="43">
                  <c:v>4100</c:v>
                </c:pt>
                <c:pt idx="44">
                  <c:v>4210</c:v>
                </c:pt>
                <c:pt idx="45">
                  <c:v>4000</c:v>
                </c:pt>
                <c:pt idx="46">
                  <c:v>3800</c:v>
                </c:pt>
                <c:pt idx="47">
                  <c:v>3850</c:v>
                </c:pt>
                <c:pt idx="48">
                  <c:v>4500</c:v>
                </c:pt>
                <c:pt idx="49">
                  <c:v>4100</c:v>
                </c:pt>
                <c:pt idx="50">
                  <c:v>4972.9520000000002</c:v>
                </c:pt>
                <c:pt idx="51">
                  <c:v>4947.53</c:v>
                </c:pt>
                <c:pt idx="52">
                  <c:v>5062.8280000000004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Thai!$C$3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Thai!$D$3:$BD$3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350</c:v>
                </c:pt>
                <c:pt idx="32">
                  <c:v>80</c:v>
                </c:pt>
                <c:pt idx="33">
                  <c:v>8</c:v>
                </c:pt>
                <c:pt idx="34">
                  <c:v>220</c:v>
                </c:pt>
                <c:pt idx="35">
                  <c:v>260</c:v>
                </c:pt>
                <c:pt idx="36">
                  <c:v>230</c:v>
                </c:pt>
                <c:pt idx="37">
                  <c:v>250</c:v>
                </c:pt>
                <c:pt idx="38">
                  <c:v>150</c:v>
                </c:pt>
                <c:pt idx="39">
                  <c:v>390</c:v>
                </c:pt>
                <c:pt idx="40">
                  <c:v>122</c:v>
                </c:pt>
                <c:pt idx="41">
                  <c:v>5</c:v>
                </c:pt>
                <c:pt idx="42">
                  <c:v>126</c:v>
                </c:pt>
                <c:pt idx="43">
                  <c:v>26</c:v>
                </c:pt>
                <c:pt idx="44">
                  <c:v>126</c:v>
                </c:pt>
                <c:pt idx="45">
                  <c:v>121</c:v>
                </c:pt>
                <c:pt idx="46">
                  <c:v>100</c:v>
                </c:pt>
                <c:pt idx="47">
                  <c:v>250</c:v>
                </c:pt>
                <c:pt idx="48">
                  <c:v>900</c:v>
                </c:pt>
                <c:pt idx="49">
                  <c:v>500</c:v>
                </c:pt>
                <c:pt idx="50">
                  <c:v>204.02099999999999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Thai!$C$4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Thai!$D$4:$BD$4</c:f>
              <c:numCache>
                <c:formatCode>_(* #,##0_);_(* \(#,##0\);_(* "-"??_);_(@_)</c:formatCode>
                <c:ptCount val="53"/>
                <c:pt idx="0">
                  <c:v>519</c:v>
                </c:pt>
                <c:pt idx="1">
                  <c:v>589</c:v>
                </c:pt>
                <c:pt idx="2">
                  <c:v>722</c:v>
                </c:pt>
                <c:pt idx="3">
                  <c:v>923</c:v>
                </c:pt>
                <c:pt idx="4">
                  <c:v>896</c:v>
                </c:pt>
                <c:pt idx="5">
                  <c:v>1132</c:v>
                </c:pt>
                <c:pt idx="6">
                  <c:v>1180</c:v>
                </c:pt>
                <c:pt idx="7">
                  <c:v>1214</c:v>
                </c:pt>
                <c:pt idx="8">
                  <c:v>1289</c:v>
                </c:pt>
                <c:pt idx="9">
                  <c:v>1502</c:v>
                </c:pt>
                <c:pt idx="10">
                  <c:v>1663</c:v>
                </c:pt>
                <c:pt idx="11">
                  <c:v>2111</c:v>
                </c:pt>
                <c:pt idx="12">
                  <c:v>1039</c:v>
                </c:pt>
                <c:pt idx="13">
                  <c:v>2131</c:v>
                </c:pt>
                <c:pt idx="14">
                  <c:v>1979</c:v>
                </c:pt>
                <c:pt idx="15">
                  <c:v>2386</c:v>
                </c:pt>
                <c:pt idx="16">
                  <c:v>2116</c:v>
                </c:pt>
                <c:pt idx="17">
                  <c:v>1217</c:v>
                </c:pt>
                <c:pt idx="18">
                  <c:v>2078</c:v>
                </c:pt>
                <c:pt idx="19">
                  <c:v>2150</c:v>
                </c:pt>
                <c:pt idx="20">
                  <c:v>2142</c:v>
                </c:pt>
                <c:pt idx="21">
                  <c:v>3260</c:v>
                </c:pt>
                <c:pt idx="22">
                  <c:v>2136</c:v>
                </c:pt>
                <c:pt idx="23">
                  <c:v>2846</c:v>
                </c:pt>
                <c:pt idx="24">
                  <c:v>3180</c:v>
                </c:pt>
                <c:pt idx="25">
                  <c:v>3674</c:v>
                </c:pt>
                <c:pt idx="26">
                  <c:v>2916</c:v>
                </c:pt>
                <c:pt idx="27">
                  <c:v>802</c:v>
                </c:pt>
                <c:pt idx="28">
                  <c:v>1560</c:v>
                </c:pt>
                <c:pt idx="29">
                  <c:v>1179</c:v>
                </c:pt>
                <c:pt idx="30">
                  <c:v>1193</c:v>
                </c:pt>
                <c:pt idx="31">
                  <c:v>586</c:v>
                </c:pt>
                <c:pt idx="32">
                  <c:v>147</c:v>
                </c:pt>
                <c:pt idx="33">
                  <c:v>95</c:v>
                </c:pt>
                <c:pt idx="34">
                  <c:v>160</c:v>
                </c:pt>
                <c:pt idx="35">
                  <c:v>85</c:v>
                </c:pt>
                <c:pt idx="36">
                  <c:v>20</c:v>
                </c:pt>
                <c:pt idx="37">
                  <c:v>80</c:v>
                </c:pt>
                <c:pt idx="38">
                  <c:v>100</c:v>
                </c:pt>
                <c:pt idx="39">
                  <c:v>75</c:v>
                </c:pt>
                <c:pt idx="40">
                  <c:v>288</c:v>
                </c:pt>
                <c:pt idx="41">
                  <c:v>285</c:v>
                </c:pt>
                <c:pt idx="42">
                  <c:v>284</c:v>
                </c:pt>
                <c:pt idx="43">
                  <c:v>658</c:v>
                </c:pt>
                <c:pt idx="44">
                  <c:v>459</c:v>
                </c:pt>
                <c:pt idx="45">
                  <c:v>117</c:v>
                </c:pt>
                <c:pt idx="46">
                  <c:v>349</c:v>
                </c:pt>
                <c:pt idx="47">
                  <c:v>488</c:v>
                </c:pt>
                <c:pt idx="48">
                  <c:v>647</c:v>
                </c:pt>
                <c:pt idx="49">
                  <c:v>1250</c:v>
                </c:pt>
                <c:pt idx="50">
                  <c:v>390.08100000000002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Thai!$C$5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Thai!$D$5:$BD$5</c:f>
              <c:numCache>
                <c:formatCode>_(* #,##0_);_(* \(#,##0\);_(* "-"??_);_(@_)</c:formatCode>
                <c:ptCount val="53"/>
                <c:pt idx="0">
                  <c:v>10</c:v>
                </c:pt>
                <c:pt idx="1">
                  <c:v>15</c:v>
                </c:pt>
                <c:pt idx="2">
                  <c:v>15</c:v>
                </c:pt>
                <c:pt idx="3">
                  <c:v>20</c:v>
                </c:pt>
                <c:pt idx="4">
                  <c:v>25</c:v>
                </c:pt>
                <c:pt idx="5">
                  <c:v>29</c:v>
                </c:pt>
                <c:pt idx="6">
                  <c:v>35</c:v>
                </c:pt>
                <c:pt idx="7">
                  <c:v>55</c:v>
                </c:pt>
                <c:pt idx="8">
                  <c:v>104</c:v>
                </c:pt>
                <c:pt idx="9">
                  <c:v>176</c:v>
                </c:pt>
                <c:pt idx="10">
                  <c:v>220</c:v>
                </c:pt>
                <c:pt idx="11">
                  <c:v>280</c:v>
                </c:pt>
                <c:pt idx="12">
                  <c:v>295</c:v>
                </c:pt>
                <c:pt idx="13">
                  <c:v>341</c:v>
                </c:pt>
                <c:pt idx="14">
                  <c:v>500</c:v>
                </c:pt>
                <c:pt idx="15">
                  <c:v>369</c:v>
                </c:pt>
                <c:pt idx="16">
                  <c:v>653</c:v>
                </c:pt>
                <c:pt idx="17">
                  <c:v>477</c:v>
                </c:pt>
                <c:pt idx="18">
                  <c:v>691</c:v>
                </c:pt>
                <c:pt idx="19">
                  <c:v>1050</c:v>
                </c:pt>
                <c:pt idx="20">
                  <c:v>1108</c:v>
                </c:pt>
                <c:pt idx="21">
                  <c:v>1050</c:v>
                </c:pt>
                <c:pt idx="22">
                  <c:v>1160</c:v>
                </c:pt>
                <c:pt idx="23">
                  <c:v>1174</c:v>
                </c:pt>
                <c:pt idx="24">
                  <c:v>1290</c:v>
                </c:pt>
                <c:pt idx="25">
                  <c:v>1270</c:v>
                </c:pt>
                <c:pt idx="26">
                  <c:v>1630</c:v>
                </c:pt>
                <c:pt idx="27">
                  <c:v>2000</c:v>
                </c:pt>
                <c:pt idx="28">
                  <c:v>2650</c:v>
                </c:pt>
                <c:pt idx="29">
                  <c:v>2700</c:v>
                </c:pt>
                <c:pt idx="30">
                  <c:v>2740</c:v>
                </c:pt>
                <c:pt idx="31">
                  <c:v>3418</c:v>
                </c:pt>
                <c:pt idx="32">
                  <c:v>3133</c:v>
                </c:pt>
                <c:pt idx="33">
                  <c:v>3023</c:v>
                </c:pt>
                <c:pt idx="34">
                  <c:v>3684</c:v>
                </c:pt>
                <c:pt idx="35">
                  <c:v>3975</c:v>
                </c:pt>
                <c:pt idx="36">
                  <c:v>4185</c:v>
                </c:pt>
                <c:pt idx="37">
                  <c:v>3970</c:v>
                </c:pt>
                <c:pt idx="38">
                  <c:v>4175</c:v>
                </c:pt>
                <c:pt idx="39">
                  <c:v>4275</c:v>
                </c:pt>
                <c:pt idx="40">
                  <c:v>4375</c:v>
                </c:pt>
                <c:pt idx="41">
                  <c:v>4375</c:v>
                </c:pt>
                <c:pt idx="42">
                  <c:v>4100</c:v>
                </c:pt>
                <c:pt idx="43">
                  <c:v>3550</c:v>
                </c:pt>
                <c:pt idx="44">
                  <c:v>3700</c:v>
                </c:pt>
                <c:pt idx="45">
                  <c:v>4000</c:v>
                </c:pt>
                <c:pt idx="46">
                  <c:v>3600</c:v>
                </c:pt>
                <c:pt idx="47">
                  <c:v>3800</c:v>
                </c:pt>
                <c:pt idx="48">
                  <c:v>3800</c:v>
                </c:pt>
                <c:pt idx="49">
                  <c:v>3900</c:v>
                </c:pt>
                <c:pt idx="50">
                  <c:v>4786.8919999999998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64120"/>
        <c:axId val="322470392"/>
      </c:lineChart>
      <c:catAx>
        <c:axId val="3224641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0392"/>
        <c:crosses val="autoZero"/>
        <c:auto val="1"/>
        <c:lblAlgn val="ctr"/>
        <c:lblOffset val="100"/>
        <c:noMultiLvlLbl val="0"/>
      </c:catAx>
      <c:valAx>
        <c:axId val="32247039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41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9.7826741446119678E-2"/>
          <c:y val="0.8955600625679363"/>
          <c:w val="0.22186267659018788"/>
          <c:h val="0.10443993743206341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Thai!$C$6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Thai!$D$6:$BD$6</c:f>
              <c:numCache>
                <c:formatCode>_(* #,##0_);_(* \(#,##0\);_(* "-"??_);_(@_)</c:formatCode>
                <c:ptCount val="53"/>
                <c:pt idx="0">
                  <c:v>65</c:v>
                </c:pt>
                <c:pt idx="1">
                  <c:v>58</c:v>
                </c:pt>
                <c:pt idx="2">
                  <c:v>61</c:v>
                </c:pt>
                <c:pt idx="3">
                  <c:v>61</c:v>
                </c:pt>
                <c:pt idx="4">
                  <c:v>74</c:v>
                </c:pt>
                <c:pt idx="5">
                  <c:v>90</c:v>
                </c:pt>
                <c:pt idx="6">
                  <c:v>135</c:v>
                </c:pt>
                <c:pt idx="7">
                  <c:v>124</c:v>
                </c:pt>
                <c:pt idx="8">
                  <c:v>200</c:v>
                </c:pt>
                <c:pt idx="9">
                  <c:v>195</c:v>
                </c:pt>
                <c:pt idx="10">
                  <c:v>85</c:v>
                </c:pt>
                <c:pt idx="11">
                  <c:v>145</c:v>
                </c:pt>
                <c:pt idx="12">
                  <c:v>95</c:v>
                </c:pt>
                <c:pt idx="13">
                  <c:v>43</c:v>
                </c:pt>
                <c:pt idx="14">
                  <c:v>86</c:v>
                </c:pt>
                <c:pt idx="15">
                  <c:v>44</c:v>
                </c:pt>
                <c:pt idx="16">
                  <c:v>41</c:v>
                </c:pt>
                <c:pt idx="17">
                  <c:v>139</c:v>
                </c:pt>
                <c:pt idx="18">
                  <c:v>114</c:v>
                </c:pt>
                <c:pt idx="19">
                  <c:v>219</c:v>
                </c:pt>
                <c:pt idx="20">
                  <c:v>295</c:v>
                </c:pt>
                <c:pt idx="21">
                  <c:v>270</c:v>
                </c:pt>
                <c:pt idx="22">
                  <c:v>187</c:v>
                </c:pt>
                <c:pt idx="23">
                  <c:v>183</c:v>
                </c:pt>
                <c:pt idx="24">
                  <c:v>121</c:v>
                </c:pt>
                <c:pt idx="25">
                  <c:v>156</c:v>
                </c:pt>
                <c:pt idx="26">
                  <c:v>88</c:v>
                </c:pt>
                <c:pt idx="27">
                  <c:v>114</c:v>
                </c:pt>
                <c:pt idx="28">
                  <c:v>162</c:v>
                </c:pt>
                <c:pt idx="29">
                  <c:v>131</c:v>
                </c:pt>
                <c:pt idx="30">
                  <c:v>149</c:v>
                </c:pt>
                <c:pt idx="31">
                  <c:v>197</c:v>
                </c:pt>
                <c:pt idx="32">
                  <c:v>142</c:v>
                </c:pt>
                <c:pt idx="33">
                  <c:v>102</c:v>
                </c:pt>
                <c:pt idx="34">
                  <c:v>119</c:v>
                </c:pt>
                <c:pt idx="35">
                  <c:v>124</c:v>
                </c:pt>
                <c:pt idx="36">
                  <c:v>115</c:v>
                </c:pt>
                <c:pt idx="37">
                  <c:v>79</c:v>
                </c:pt>
                <c:pt idx="38">
                  <c:v>62</c:v>
                </c:pt>
                <c:pt idx="39">
                  <c:v>53</c:v>
                </c:pt>
                <c:pt idx="40">
                  <c:v>56</c:v>
                </c:pt>
                <c:pt idx="41">
                  <c:v>93</c:v>
                </c:pt>
                <c:pt idx="42">
                  <c:v>22</c:v>
                </c:pt>
                <c:pt idx="43">
                  <c:v>21</c:v>
                </c:pt>
                <c:pt idx="44">
                  <c:v>22</c:v>
                </c:pt>
                <c:pt idx="45">
                  <c:v>22</c:v>
                </c:pt>
                <c:pt idx="46">
                  <c:v>16</c:v>
                </c:pt>
                <c:pt idx="47">
                  <c:v>15</c:v>
                </c:pt>
                <c:pt idx="48">
                  <c:v>3</c:v>
                </c:pt>
                <c:pt idx="49">
                  <c:v>4</c:v>
                </c:pt>
                <c:pt idx="50">
                  <c:v>2.2679999999999998</c:v>
                </c:pt>
                <c:pt idx="51">
                  <c:v>2.363</c:v>
                </c:pt>
                <c:pt idx="52">
                  <c:v>2.4260000000000002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Thai!$C$7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Thai!$D$7:$BD$7</c:f>
              <c:numCache>
                <c:formatCode>_(* #,##0_);_(* \(#,##0\);_(* "-"??_);_(@_)</c:formatCode>
                <c:ptCount val="53"/>
                <c:pt idx="0">
                  <c:v>28</c:v>
                </c:pt>
                <c:pt idx="1">
                  <c:v>42</c:v>
                </c:pt>
                <c:pt idx="2">
                  <c:v>42</c:v>
                </c:pt>
                <c:pt idx="3">
                  <c:v>44</c:v>
                </c:pt>
                <c:pt idx="4">
                  <c:v>84</c:v>
                </c:pt>
                <c:pt idx="5">
                  <c:v>105</c:v>
                </c:pt>
                <c:pt idx="6">
                  <c:v>105</c:v>
                </c:pt>
                <c:pt idx="7">
                  <c:v>129</c:v>
                </c:pt>
                <c:pt idx="8">
                  <c:v>78</c:v>
                </c:pt>
                <c:pt idx="9">
                  <c:v>135</c:v>
                </c:pt>
                <c:pt idx="10">
                  <c:v>212</c:v>
                </c:pt>
                <c:pt idx="11">
                  <c:v>230</c:v>
                </c:pt>
                <c:pt idx="12">
                  <c:v>299</c:v>
                </c:pt>
                <c:pt idx="13">
                  <c:v>389</c:v>
                </c:pt>
                <c:pt idx="14">
                  <c:v>262</c:v>
                </c:pt>
                <c:pt idx="15">
                  <c:v>389</c:v>
                </c:pt>
                <c:pt idx="16">
                  <c:v>409</c:v>
                </c:pt>
                <c:pt idx="17">
                  <c:v>329</c:v>
                </c:pt>
                <c:pt idx="18">
                  <c:v>457</c:v>
                </c:pt>
                <c:pt idx="19">
                  <c:v>376</c:v>
                </c:pt>
                <c:pt idx="20">
                  <c:v>402</c:v>
                </c:pt>
                <c:pt idx="21">
                  <c:v>243</c:v>
                </c:pt>
                <c:pt idx="22">
                  <c:v>397</c:v>
                </c:pt>
                <c:pt idx="23">
                  <c:v>558</c:v>
                </c:pt>
                <c:pt idx="24">
                  <c:v>614</c:v>
                </c:pt>
                <c:pt idx="25">
                  <c:v>703</c:v>
                </c:pt>
                <c:pt idx="26">
                  <c:v>1290</c:v>
                </c:pt>
                <c:pt idx="27">
                  <c:v>872</c:v>
                </c:pt>
                <c:pt idx="28">
                  <c:v>1252</c:v>
                </c:pt>
                <c:pt idx="29">
                  <c:v>1207</c:v>
                </c:pt>
                <c:pt idx="30">
                  <c:v>1624</c:v>
                </c:pt>
                <c:pt idx="31">
                  <c:v>1641</c:v>
                </c:pt>
                <c:pt idx="32">
                  <c:v>1522</c:v>
                </c:pt>
                <c:pt idx="33">
                  <c:v>1613</c:v>
                </c:pt>
                <c:pt idx="34">
                  <c:v>1440</c:v>
                </c:pt>
                <c:pt idx="35">
                  <c:v>1545</c:v>
                </c:pt>
                <c:pt idx="36">
                  <c:v>1414</c:v>
                </c:pt>
                <c:pt idx="37">
                  <c:v>1236</c:v>
                </c:pt>
                <c:pt idx="38">
                  <c:v>1207</c:v>
                </c:pt>
                <c:pt idx="39">
                  <c:v>1696</c:v>
                </c:pt>
                <c:pt idx="40">
                  <c:v>1573</c:v>
                </c:pt>
                <c:pt idx="41">
                  <c:v>1882</c:v>
                </c:pt>
                <c:pt idx="42">
                  <c:v>1945</c:v>
                </c:pt>
                <c:pt idx="43">
                  <c:v>1678</c:v>
                </c:pt>
                <c:pt idx="44">
                  <c:v>2282</c:v>
                </c:pt>
                <c:pt idx="45">
                  <c:v>1892</c:v>
                </c:pt>
                <c:pt idx="46">
                  <c:v>1905</c:v>
                </c:pt>
                <c:pt idx="47">
                  <c:v>1928</c:v>
                </c:pt>
                <c:pt idx="48">
                  <c:v>1602</c:v>
                </c:pt>
                <c:pt idx="49">
                  <c:v>1806</c:v>
                </c:pt>
                <c:pt idx="50">
                  <c:v>319.23899999999998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Thai!$C$8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Thai!$D$8:$BD$8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8</c:v>
                </c:pt>
                <c:pt idx="8">
                  <c:v>31</c:v>
                </c:pt>
                <c:pt idx="9">
                  <c:v>4</c:v>
                </c:pt>
                <c:pt idx="10">
                  <c:v>2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6</c:v>
                </c:pt>
                <c:pt idx="18">
                  <c:v>5</c:v>
                </c:pt>
                <c:pt idx="19">
                  <c:v>29</c:v>
                </c:pt>
                <c:pt idx="20">
                  <c:v>47</c:v>
                </c:pt>
                <c:pt idx="21">
                  <c:v>83</c:v>
                </c:pt>
                <c:pt idx="22">
                  <c:v>62</c:v>
                </c:pt>
                <c:pt idx="23">
                  <c:v>57</c:v>
                </c:pt>
                <c:pt idx="24">
                  <c:v>54</c:v>
                </c:pt>
                <c:pt idx="25">
                  <c:v>32</c:v>
                </c:pt>
                <c:pt idx="26">
                  <c:v>35</c:v>
                </c:pt>
                <c:pt idx="27">
                  <c:v>62</c:v>
                </c:pt>
                <c:pt idx="28">
                  <c:v>38</c:v>
                </c:pt>
                <c:pt idx="29">
                  <c:v>20</c:v>
                </c:pt>
                <c:pt idx="30">
                  <c:v>25</c:v>
                </c:pt>
                <c:pt idx="31">
                  <c:v>29</c:v>
                </c:pt>
                <c:pt idx="32">
                  <c:v>30</c:v>
                </c:pt>
                <c:pt idx="33">
                  <c:v>28</c:v>
                </c:pt>
                <c:pt idx="34">
                  <c:v>2</c:v>
                </c:pt>
                <c:pt idx="35">
                  <c:v>0</c:v>
                </c:pt>
                <c:pt idx="36">
                  <c:v>0</c:v>
                </c:pt>
                <c:pt idx="37">
                  <c:v>5</c:v>
                </c:pt>
                <c:pt idx="38">
                  <c:v>9</c:v>
                </c:pt>
                <c:pt idx="39">
                  <c:v>0</c:v>
                </c:pt>
                <c:pt idx="40">
                  <c:v>0</c:v>
                </c:pt>
                <c:pt idx="41">
                  <c:v>1</c:v>
                </c:pt>
                <c:pt idx="42">
                  <c:v>1</c:v>
                </c:pt>
                <c:pt idx="43">
                  <c:v>2</c:v>
                </c:pt>
                <c:pt idx="44">
                  <c:v>2</c:v>
                </c:pt>
                <c:pt idx="45">
                  <c:v>5</c:v>
                </c:pt>
                <c:pt idx="46">
                  <c:v>2</c:v>
                </c:pt>
                <c:pt idx="47">
                  <c:v>4</c:v>
                </c:pt>
                <c:pt idx="48">
                  <c:v>8</c:v>
                </c:pt>
                <c:pt idx="49">
                  <c:v>6</c:v>
                </c:pt>
                <c:pt idx="50">
                  <c:v>0.42899999999999999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Thai!$C$9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Thai!$D$9:$BD$9</c:f>
              <c:numCache>
                <c:formatCode>_(* #,##0_);_(* \(#,##0\);_(* "-"??_);_(@_)</c:formatCode>
                <c:ptCount val="53"/>
                <c:pt idx="0">
                  <c:v>85</c:v>
                </c:pt>
                <c:pt idx="1">
                  <c:v>95</c:v>
                </c:pt>
                <c:pt idx="2">
                  <c:v>100</c:v>
                </c:pt>
                <c:pt idx="3">
                  <c:v>100</c:v>
                </c:pt>
                <c:pt idx="4">
                  <c:v>125</c:v>
                </c:pt>
                <c:pt idx="5">
                  <c:v>185</c:v>
                </c:pt>
                <c:pt idx="6">
                  <c:v>225</c:v>
                </c:pt>
                <c:pt idx="7">
                  <c:v>235</c:v>
                </c:pt>
                <c:pt idx="8">
                  <c:v>262</c:v>
                </c:pt>
                <c:pt idx="9">
                  <c:v>318</c:v>
                </c:pt>
                <c:pt idx="10">
                  <c:v>330</c:v>
                </c:pt>
                <c:pt idx="11">
                  <c:v>340</c:v>
                </c:pt>
                <c:pt idx="12">
                  <c:v>410</c:v>
                </c:pt>
                <c:pt idx="13">
                  <c:v>408</c:v>
                </c:pt>
                <c:pt idx="14">
                  <c:v>398</c:v>
                </c:pt>
                <c:pt idx="15">
                  <c:v>421</c:v>
                </c:pt>
                <c:pt idx="16">
                  <c:v>495</c:v>
                </c:pt>
                <c:pt idx="17">
                  <c:v>454</c:v>
                </c:pt>
                <c:pt idx="18">
                  <c:v>542</c:v>
                </c:pt>
                <c:pt idx="19">
                  <c:v>564</c:v>
                </c:pt>
                <c:pt idx="20">
                  <c:v>620</c:v>
                </c:pt>
                <c:pt idx="21">
                  <c:v>490</c:v>
                </c:pt>
                <c:pt idx="22">
                  <c:v>525</c:v>
                </c:pt>
                <c:pt idx="23">
                  <c:v>581</c:v>
                </c:pt>
                <c:pt idx="24">
                  <c:v>597</c:v>
                </c:pt>
                <c:pt idx="25">
                  <c:v>946</c:v>
                </c:pt>
                <c:pt idx="26">
                  <c:v>1134</c:v>
                </c:pt>
                <c:pt idx="27">
                  <c:v>1157</c:v>
                </c:pt>
                <c:pt idx="28">
                  <c:v>1286</c:v>
                </c:pt>
                <c:pt idx="29">
                  <c:v>1355</c:v>
                </c:pt>
                <c:pt idx="30">
                  <c:v>1506</c:v>
                </c:pt>
                <c:pt idx="31">
                  <c:v>1699</c:v>
                </c:pt>
                <c:pt idx="32">
                  <c:v>1608</c:v>
                </c:pt>
                <c:pt idx="33">
                  <c:v>1653</c:v>
                </c:pt>
                <c:pt idx="34">
                  <c:v>1620</c:v>
                </c:pt>
                <c:pt idx="35">
                  <c:v>1575</c:v>
                </c:pt>
                <c:pt idx="36">
                  <c:v>1596</c:v>
                </c:pt>
                <c:pt idx="37">
                  <c:v>1376</c:v>
                </c:pt>
                <c:pt idx="38">
                  <c:v>1335</c:v>
                </c:pt>
                <c:pt idx="39">
                  <c:v>1606</c:v>
                </c:pt>
                <c:pt idx="40">
                  <c:v>1685</c:v>
                </c:pt>
                <c:pt idx="41">
                  <c:v>1825</c:v>
                </c:pt>
                <c:pt idx="42">
                  <c:v>1975</c:v>
                </c:pt>
                <c:pt idx="43">
                  <c:v>1875</c:v>
                </c:pt>
                <c:pt idx="44">
                  <c:v>2125</c:v>
                </c:pt>
                <c:pt idx="45">
                  <c:v>2075</c:v>
                </c:pt>
                <c:pt idx="46">
                  <c:v>1975</c:v>
                </c:pt>
                <c:pt idx="47">
                  <c:v>1975</c:v>
                </c:pt>
                <c:pt idx="48">
                  <c:v>1625</c:v>
                </c:pt>
                <c:pt idx="49">
                  <c:v>1800</c:v>
                </c:pt>
                <c:pt idx="50">
                  <c:v>321.07799999999997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64904"/>
        <c:axId val="322468824"/>
      </c:lineChart>
      <c:catAx>
        <c:axId val="322464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8824"/>
        <c:crosses val="autoZero"/>
        <c:auto val="1"/>
        <c:lblAlgn val="ctr"/>
        <c:lblOffset val="100"/>
        <c:noMultiLvlLbl val="0"/>
      </c:catAx>
      <c:valAx>
        <c:axId val="32246882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490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92222095877489"/>
          <c:h val="0.1078069407990667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Thai!$C$10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Thai!$D$10:$BD$10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31</c:v>
                </c:pt>
                <c:pt idx="5">
                  <c:v>19</c:v>
                </c:pt>
                <c:pt idx="6">
                  <c:v>38</c:v>
                </c:pt>
                <c:pt idx="7">
                  <c:v>53</c:v>
                </c:pt>
                <c:pt idx="8">
                  <c:v>45</c:v>
                </c:pt>
                <c:pt idx="9">
                  <c:v>48</c:v>
                </c:pt>
                <c:pt idx="10">
                  <c:v>50</c:v>
                </c:pt>
                <c:pt idx="11">
                  <c:v>54</c:v>
                </c:pt>
                <c:pt idx="12">
                  <c:v>72</c:v>
                </c:pt>
                <c:pt idx="13">
                  <c:v>104</c:v>
                </c:pt>
                <c:pt idx="14">
                  <c:v>110</c:v>
                </c:pt>
                <c:pt idx="15">
                  <c:v>114</c:v>
                </c:pt>
                <c:pt idx="16">
                  <c:v>114</c:v>
                </c:pt>
                <c:pt idx="17">
                  <c:v>96</c:v>
                </c:pt>
                <c:pt idx="18">
                  <c:v>159</c:v>
                </c:pt>
                <c:pt idx="19">
                  <c:v>102</c:v>
                </c:pt>
                <c:pt idx="20">
                  <c:v>100</c:v>
                </c:pt>
                <c:pt idx="21">
                  <c:v>132</c:v>
                </c:pt>
                <c:pt idx="22">
                  <c:v>113</c:v>
                </c:pt>
                <c:pt idx="23">
                  <c:v>179</c:v>
                </c:pt>
                <c:pt idx="24">
                  <c:v>246</c:v>
                </c:pt>
                <c:pt idx="25">
                  <c:v>309</c:v>
                </c:pt>
                <c:pt idx="26">
                  <c:v>356</c:v>
                </c:pt>
                <c:pt idx="27">
                  <c:v>338</c:v>
                </c:pt>
                <c:pt idx="28">
                  <c:v>517</c:v>
                </c:pt>
                <c:pt idx="29">
                  <c:v>672</c:v>
                </c:pt>
                <c:pt idx="30">
                  <c:v>530</c:v>
                </c:pt>
                <c:pt idx="31">
                  <c:v>435</c:v>
                </c:pt>
                <c:pt idx="32">
                  <c:v>480</c:v>
                </c:pt>
                <c:pt idx="33">
                  <c:v>480</c:v>
                </c:pt>
                <c:pt idx="34">
                  <c:v>450</c:v>
                </c:pt>
                <c:pt idx="35">
                  <c:v>368</c:v>
                </c:pt>
                <c:pt idx="36">
                  <c:v>360</c:v>
                </c:pt>
                <c:pt idx="37">
                  <c:v>338</c:v>
                </c:pt>
                <c:pt idx="38">
                  <c:v>335</c:v>
                </c:pt>
                <c:pt idx="39">
                  <c:v>330</c:v>
                </c:pt>
                <c:pt idx="40">
                  <c:v>312</c:v>
                </c:pt>
                <c:pt idx="41">
                  <c:v>270</c:v>
                </c:pt>
                <c:pt idx="42">
                  <c:v>250</c:v>
                </c:pt>
                <c:pt idx="43">
                  <c:v>220</c:v>
                </c:pt>
                <c:pt idx="44">
                  <c:v>217</c:v>
                </c:pt>
                <c:pt idx="45">
                  <c:v>226</c:v>
                </c:pt>
                <c:pt idx="46">
                  <c:v>210</c:v>
                </c:pt>
                <c:pt idx="47">
                  <c:v>210</c:v>
                </c:pt>
                <c:pt idx="48">
                  <c:v>180</c:v>
                </c:pt>
                <c:pt idx="49">
                  <c:v>170</c:v>
                </c:pt>
                <c:pt idx="50">
                  <c:v>176.15199999999999</c:v>
                </c:pt>
                <c:pt idx="51">
                  <c:v>180</c:v>
                </c:pt>
                <c:pt idx="52">
                  <c:v>190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Thai!$C$11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Thai!$D$11:$BD$11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4</c:v>
                </c:pt>
                <c:pt idx="17">
                  <c:v>11</c:v>
                </c:pt>
                <c:pt idx="18">
                  <c:v>0</c:v>
                </c:pt>
                <c:pt idx="19">
                  <c:v>10</c:v>
                </c:pt>
                <c:pt idx="20">
                  <c:v>6</c:v>
                </c:pt>
                <c:pt idx="21">
                  <c:v>3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31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57</c:v>
                </c:pt>
                <c:pt idx="32">
                  <c:v>123</c:v>
                </c:pt>
                <c:pt idx="33">
                  <c:v>124</c:v>
                </c:pt>
                <c:pt idx="34">
                  <c:v>115</c:v>
                </c:pt>
                <c:pt idx="35">
                  <c:v>426</c:v>
                </c:pt>
                <c:pt idx="36">
                  <c:v>550</c:v>
                </c:pt>
                <c:pt idx="37">
                  <c:v>600</c:v>
                </c:pt>
                <c:pt idx="38">
                  <c:v>950</c:v>
                </c:pt>
                <c:pt idx="39">
                  <c:v>1192</c:v>
                </c:pt>
                <c:pt idx="40">
                  <c:v>1286</c:v>
                </c:pt>
                <c:pt idx="41">
                  <c:v>1550</c:v>
                </c:pt>
                <c:pt idx="42">
                  <c:v>1779</c:v>
                </c:pt>
                <c:pt idx="43">
                  <c:v>1407</c:v>
                </c:pt>
                <c:pt idx="44">
                  <c:v>1517</c:v>
                </c:pt>
                <c:pt idx="45">
                  <c:v>1473</c:v>
                </c:pt>
                <c:pt idx="46">
                  <c:v>1532</c:v>
                </c:pt>
                <c:pt idx="47">
                  <c:v>1753</c:v>
                </c:pt>
                <c:pt idx="48">
                  <c:v>1510</c:v>
                </c:pt>
                <c:pt idx="49">
                  <c:v>1660</c:v>
                </c:pt>
                <c:pt idx="50">
                  <c:v>1994.3779999999999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Thai!$C$12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Thai!$D$12:$BD$12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6</c:v>
                </c:pt>
                <c:pt idx="6">
                  <c:v>6</c:v>
                </c:pt>
                <c:pt idx="7">
                  <c:v>3</c:v>
                </c:pt>
                <c:pt idx="8">
                  <c:v>5</c:v>
                </c:pt>
                <c:pt idx="9">
                  <c:v>6</c:v>
                </c:pt>
                <c:pt idx="10">
                  <c:v>6</c:v>
                </c:pt>
                <c:pt idx="11">
                  <c:v>7</c:v>
                </c:pt>
                <c:pt idx="12">
                  <c:v>14</c:v>
                </c:pt>
                <c:pt idx="13">
                  <c:v>7</c:v>
                </c:pt>
                <c:pt idx="14">
                  <c:v>24</c:v>
                </c:pt>
                <c:pt idx="15">
                  <c:v>8</c:v>
                </c:pt>
                <c:pt idx="16">
                  <c:v>12</c:v>
                </c:pt>
                <c:pt idx="17">
                  <c:v>7</c:v>
                </c:pt>
                <c:pt idx="18">
                  <c:v>10</c:v>
                </c:pt>
                <c:pt idx="19">
                  <c:v>6</c:v>
                </c:pt>
                <c:pt idx="20">
                  <c:v>3</c:v>
                </c:pt>
                <c:pt idx="21">
                  <c:v>2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2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</c:v>
                </c:pt>
                <c:pt idx="39">
                  <c:v>1</c:v>
                </c:pt>
                <c:pt idx="40">
                  <c:v>0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2</c:v>
                </c:pt>
                <c:pt idx="48">
                  <c:v>1</c:v>
                </c:pt>
                <c:pt idx="49">
                  <c:v>1</c:v>
                </c:pt>
                <c:pt idx="50">
                  <c:v>1.252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Thai!$C$13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Thai!$D$13:$BD$13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17</c:v>
                </c:pt>
                <c:pt idx="5">
                  <c:v>23</c:v>
                </c:pt>
                <c:pt idx="6">
                  <c:v>29</c:v>
                </c:pt>
                <c:pt idx="7">
                  <c:v>40</c:v>
                </c:pt>
                <c:pt idx="8">
                  <c:v>39</c:v>
                </c:pt>
                <c:pt idx="9">
                  <c:v>44</c:v>
                </c:pt>
                <c:pt idx="10">
                  <c:v>48</c:v>
                </c:pt>
                <c:pt idx="11">
                  <c:v>57</c:v>
                </c:pt>
                <c:pt idx="12">
                  <c:v>58</c:v>
                </c:pt>
                <c:pt idx="13">
                  <c:v>87</c:v>
                </c:pt>
                <c:pt idx="14">
                  <c:v>86</c:v>
                </c:pt>
                <c:pt idx="15">
                  <c:v>95</c:v>
                </c:pt>
                <c:pt idx="16">
                  <c:v>97</c:v>
                </c:pt>
                <c:pt idx="17">
                  <c:v>130</c:v>
                </c:pt>
                <c:pt idx="18">
                  <c:v>122</c:v>
                </c:pt>
                <c:pt idx="19">
                  <c:v>112</c:v>
                </c:pt>
                <c:pt idx="20">
                  <c:v>123</c:v>
                </c:pt>
                <c:pt idx="21">
                  <c:v>117</c:v>
                </c:pt>
                <c:pt idx="22">
                  <c:v>125</c:v>
                </c:pt>
                <c:pt idx="23">
                  <c:v>160</c:v>
                </c:pt>
                <c:pt idx="24">
                  <c:v>227</c:v>
                </c:pt>
                <c:pt idx="25">
                  <c:v>300</c:v>
                </c:pt>
                <c:pt idx="26">
                  <c:v>373</c:v>
                </c:pt>
                <c:pt idx="27">
                  <c:v>399</c:v>
                </c:pt>
                <c:pt idx="28">
                  <c:v>517</c:v>
                </c:pt>
                <c:pt idx="29">
                  <c:v>598</c:v>
                </c:pt>
                <c:pt idx="30">
                  <c:v>554</c:v>
                </c:pt>
                <c:pt idx="31">
                  <c:v>528</c:v>
                </c:pt>
                <c:pt idx="32">
                  <c:v>595</c:v>
                </c:pt>
                <c:pt idx="33">
                  <c:v>595</c:v>
                </c:pt>
                <c:pt idx="34">
                  <c:v>596</c:v>
                </c:pt>
                <c:pt idx="35">
                  <c:v>794</c:v>
                </c:pt>
                <c:pt idx="36">
                  <c:v>910</c:v>
                </c:pt>
                <c:pt idx="37">
                  <c:v>938</c:v>
                </c:pt>
                <c:pt idx="38">
                  <c:v>1284</c:v>
                </c:pt>
                <c:pt idx="39">
                  <c:v>1484</c:v>
                </c:pt>
                <c:pt idx="40">
                  <c:v>1571</c:v>
                </c:pt>
                <c:pt idx="41">
                  <c:v>1793</c:v>
                </c:pt>
                <c:pt idx="42">
                  <c:v>2018</c:v>
                </c:pt>
                <c:pt idx="43">
                  <c:v>1637</c:v>
                </c:pt>
                <c:pt idx="44">
                  <c:v>1762</c:v>
                </c:pt>
                <c:pt idx="45">
                  <c:v>1693</c:v>
                </c:pt>
                <c:pt idx="46">
                  <c:v>1742</c:v>
                </c:pt>
                <c:pt idx="47">
                  <c:v>1882</c:v>
                </c:pt>
                <c:pt idx="48">
                  <c:v>1735</c:v>
                </c:pt>
                <c:pt idx="49">
                  <c:v>1880</c:v>
                </c:pt>
                <c:pt idx="50">
                  <c:v>2169.2779999999998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65296"/>
        <c:axId val="322462160"/>
      </c:lineChart>
      <c:catAx>
        <c:axId val="322465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2160"/>
        <c:crosses val="autoZero"/>
        <c:auto val="1"/>
        <c:lblAlgn val="ctr"/>
        <c:lblOffset val="100"/>
        <c:noMultiLvlLbl val="0"/>
      </c:catAx>
      <c:valAx>
        <c:axId val="32246216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529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10929055664615035"/>
          <c:h val="0.107807002848048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Thai!$C$14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Thai!$D$14:$BD$14</c:f>
              <c:numCache>
                <c:formatCode>_(* #,##0_);_(* \(#,##0\);_(* "-"??_);_(@_)</c:formatCode>
                <c:ptCount val="53"/>
                <c:pt idx="0">
                  <c:v>6275</c:v>
                </c:pt>
                <c:pt idx="1">
                  <c:v>6525</c:v>
                </c:pt>
                <c:pt idx="2">
                  <c:v>7255</c:v>
                </c:pt>
                <c:pt idx="3">
                  <c:v>7646</c:v>
                </c:pt>
                <c:pt idx="4">
                  <c:v>7499</c:v>
                </c:pt>
                <c:pt idx="5">
                  <c:v>7245</c:v>
                </c:pt>
                <c:pt idx="6">
                  <c:v>7885</c:v>
                </c:pt>
                <c:pt idx="7">
                  <c:v>6353</c:v>
                </c:pt>
                <c:pt idx="8">
                  <c:v>6890</c:v>
                </c:pt>
                <c:pt idx="9">
                  <c:v>8851</c:v>
                </c:pt>
                <c:pt idx="10">
                  <c:v>8956</c:v>
                </c:pt>
                <c:pt idx="11">
                  <c:v>9071</c:v>
                </c:pt>
                <c:pt idx="12">
                  <c:v>8192</c:v>
                </c:pt>
                <c:pt idx="13">
                  <c:v>9834</c:v>
                </c:pt>
                <c:pt idx="14">
                  <c:v>8835</c:v>
                </c:pt>
                <c:pt idx="15">
                  <c:v>10098</c:v>
                </c:pt>
                <c:pt idx="16">
                  <c:v>9944</c:v>
                </c:pt>
                <c:pt idx="17">
                  <c:v>9188</c:v>
                </c:pt>
                <c:pt idx="18">
                  <c:v>11530</c:v>
                </c:pt>
                <c:pt idx="19">
                  <c:v>10400</c:v>
                </c:pt>
                <c:pt idx="20">
                  <c:v>11463</c:v>
                </c:pt>
                <c:pt idx="21">
                  <c:v>11732</c:v>
                </c:pt>
                <c:pt idx="22">
                  <c:v>11139</c:v>
                </c:pt>
                <c:pt idx="23">
                  <c:v>12902</c:v>
                </c:pt>
                <c:pt idx="24">
                  <c:v>13137</c:v>
                </c:pt>
                <c:pt idx="25">
                  <c:v>13374</c:v>
                </c:pt>
                <c:pt idx="26">
                  <c:v>12453</c:v>
                </c:pt>
                <c:pt idx="27">
                  <c:v>12162</c:v>
                </c:pt>
                <c:pt idx="28">
                  <c:v>14034</c:v>
                </c:pt>
                <c:pt idx="29">
                  <c:v>13597</c:v>
                </c:pt>
                <c:pt idx="30">
                  <c:v>11347</c:v>
                </c:pt>
                <c:pt idx="31">
                  <c:v>13464</c:v>
                </c:pt>
                <c:pt idx="32">
                  <c:v>13145</c:v>
                </c:pt>
                <c:pt idx="33">
                  <c:v>12672</c:v>
                </c:pt>
                <c:pt idx="34">
                  <c:v>14124</c:v>
                </c:pt>
                <c:pt idx="35">
                  <c:v>14388</c:v>
                </c:pt>
                <c:pt idx="36">
                  <c:v>13662</c:v>
                </c:pt>
                <c:pt idx="37">
                  <c:v>15510</c:v>
                </c:pt>
                <c:pt idx="38">
                  <c:v>15589</c:v>
                </c:pt>
                <c:pt idx="39">
                  <c:v>16500</c:v>
                </c:pt>
                <c:pt idx="40">
                  <c:v>17057</c:v>
                </c:pt>
                <c:pt idx="41">
                  <c:v>17499</c:v>
                </c:pt>
                <c:pt idx="42">
                  <c:v>17198</c:v>
                </c:pt>
                <c:pt idx="43">
                  <c:v>18011</c:v>
                </c:pt>
                <c:pt idx="44">
                  <c:v>17360</c:v>
                </c:pt>
                <c:pt idx="45">
                  <c:v>18200</c:v>
                </c:pt>
                <c:pt idx="46">
                  <c:v>18250</c:v>
                </c:pt>
                <c:pt idx="47">
                  <c:v>19800</c:v>
                </c:pt>
                <c:pt idx="48">
                  <c:v>19850</c:v>
                </c:pt>
                <c:pt idx="49">
                  <c:v>20260</c:v>
                </c:pt>
                <c:pt idx="50">
                  <c:v>36128.373</c:v>
                </c:pt>
                <c:pt idx="51">
                  <c:v>37468.902999999998</c:v>
                </c:pt>
                <c:pt idx="52">
                  <c:v>36062.6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Thai!$C$15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Thai!$D$15:$BD$15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15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2</c:v>
                </c:pt>
                <c:pt idx="46">
                  <c:v>3</c:v>
                </c:pt>
                <c:pt idx="47">
                  <c:v>8</c:v>
                </c:pt>
                <c:pt idx="48">
                  <c:v>300</c:v>
                </c:pt>
                <c:pt idx="49">
                  <c:v>300</c:v>
                </c:pt>
                <c:pt idx="50">
                  <c:v>10.63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Thai!$C$16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Thai!$D$16:$BD$16</c:f>
              <c:numCache>
                <c:formatCode>_(* #,##0_);_(* \(#,##0\);_(* "-"??_);_(@_)</c:formatCode>
                <c:ptCount val="53"/>
                <c:pt idx="0">
                  <c:v>1576</c:v>
                </c:pt>
                <c:pt idx="1">
                  <c:v>1271</c:v>
                </c:pt>
                <c:pt idx="2">
                  <c:v>1418</c:v>
                </c:pt>
                <c:pt idx="3">
                  <c:v>1896</c:v>
                </c:pt>
                <c:pt idx="4">
                  <c:v>1895</c:v>
                </c:pt>
                <c:pt idx="5">
                  <c:v>1508</c:v>
                </c:pt>
                <c:pt idx="6">
                  <c:v>1483</c:v>
                </c:pt>
                <c:pt idx="7">
                  <c:v>1068</c:v>
                </c:pt>
                <c:pt idx="8">
                  <c:v>1023</c:v>
                </c:pt>
                <c:pt idx="9">
                  <c:v>1064</c:v>
                </c:pt>
                <c:pt idx="10">
                  <c:v>1576</c:v>
                </c:pt>
                <c:pt idx="11">
                  <c:v>2112</c:v>
                </c:pt>
                <c:pt idx="12">
                  <c:v>849</c:v>
                </c:pt>
                <c:pt idx="13">
                  <c:v>1046</c:v>
                </c:pt>
                <c:pt idx="14">
                  <c:v>933</c:v>
                </c:pt>
                <c:pt idx="15">
                  <c:v>1870</c:v>
                </c:pt>
                <c:pt idx="16">
                  <c:v>2915</c:v>
                </c:pt>
                <c:pt idx="17">
                  <c:v>1573</c:v>
                </c:pt>
                <c:pt idx="18">
                  <c:v>2696</c:v>
                </c:pt>
                <c:pt idx="19">
                  <c:v>2681</c:v>
                </c:pt>
                <c:pt idx="20">
                  <c:v>3049</c:v>
                </c:pt>
                <c:pt idx="21">
                  <c:v>3620</c:v>
                </c:pt>
                <c:pt idx="22">
                  <c:v>3694</c:v>
                </c:pt>
                <c:pt idx="23">
                  <c:v>4528</c:v>
                </c:pt>
                <c:pt idx="24">
                  <c:v>3993</c:v>
                </c:pt>
                <c:pt idx="25">
                  <c:v>4334</c:v>
                </c:pt>
                <c:pt idx="26">
                  <c:v>4344</c:v>
                </c:pt>
                <c:pt idx="27">
                  <c:v>4791</c:v>
                </c:pt>
                <c:pt idx="28">
                  <c:v>6036</c:v>
                </c:pt>
                <c:pt idx="29">
                  <c:v>3938</c:v>
                </c:pt>
                <c:pt idx="30">
                  <c:v>3988</c:v>
                </c:pt>
                <c:pt idx="31">
                  <c:v>4876</c:v>
                </c:pt>
                <c:pt idx="32">
                  <c:v>4971</c:v>
                </c:pt>
                <c:pt idx="33">
                  <c:v>4720</c:v>
                </c:pt>
                <c:pt idx="34">
                  <c:v>5943</c:v>
                </c:pt>
                <c:pt idx="35">
                  <c:v>5281</c:v>
                </c:pt>
                <c:pt idx="36">
                  <c:v>5216</c:v>
                </c:pt>
                <c:pt idx="37">
                  <c:v>6367</c:v>
                </c:pt>
                <c:pt idx="38">
                  <c:v>6679</c:v>
                </c:pt>
                <c:pt idx="39">
                  <c:v>6549</c:v>
                </c:pt>
                <c:pt idx="40">
                  <c:v>7521</c:v>
                </c:pt>
                <c:pt idx="41">
                  <c:v>7245</c:v>
                </c:pt>
                <c:pt idx="42">
                  <c:v>7552</c:v>
                </c:pt>
                <c:pt idx="43">
                  <c:v>10137</c:v>
                </c:pt>
                <c:pt idx="44">
                  <c:v>7274</c:v>
                </c:pt>
                <c:pt idx="45">
                  <c:v>7376</c:v>
                </c:pt>
                <c:pt idx="46">
                  <c:v>9557</c:v>
                </c:pt>
                <c:pt idx="47">
                  <c:v>10011</c:v>
                </c:pt>
                <c:pt idx="48">
                  <c:v>8570</c:v>
                </c:pt>
                <c:pt idx="49">
                  <c:v>9047</c:v>
                </c:pt>
                <c:pt idx="50">
                  <c:v>10671.194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Thai!$C$17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Thai!$D$17:$BD$17</c:f>
              <c:numCache>
                <c:formatCode>_(* #,##0_);_(* \(#,##0\);_(* "-"??_);_(@_)</c:formatCode>
                <c:ptCount val="53"/>
                <c:pt idx="0">
                  <c:v>4699</c:v>
                </c:pt>
                <c:pt idx="1">
                  <c:v>5254</c:v>
                </c:pt>
                <c:pt idx="2">
                  <c:v>5837</c:v>
                </c:pt>
                <c:pt idx="3">
                  <c:v>5750</c:v>
                </c:pt>
                <c:pt idx="4">
                  <c:v>5604</c:v>
                </c:pt>
                <c:pt idx="5">
                  <c:v>5737</c:v>
                </c:pt>
                <c:pt idx="6">
                  <c:v>6336</c:v>
                </c:pt>
                <c:pt idx="7">
                  <c:v>4942</c:v>
                </c:pt>
                <c:pt idx="8">
                  <c:v>5173</c:v>
                </c:pt>
                <c:pt idx="9">
                  <c:v>7963</c:v>
                </c:pt>
                <c:pt idx="10">
                  <c:v>7669</c:v>
                </c:pt>
                <c:pt idx="11">
                  <c:v>7013</c:v>
                </c:pt>
                <c:pt idx="12">
                  <c:v>7802</c:v>
                </c:pt>
                <c:pt idx="13">
                  <c:v>8228</c:v>
                </c:pt>
                <c:pt idx="14">
                  <c:v>7425</c:v>
                </c:pt>
                <c:pt idx="15">
                  <c:v>8266</c:v>
                </c:pt>
                <c:pt idx="16">
                  <c:v>7616</c:v>
                </c:pt>
                <c:pt idx="17">
                  <c:v>7518</c:v>
                </c:pt>
                <c:pt idx="18">
                  <c:v>8131</c:v>
                </c:pt>
                <c:pt idx="19">
                  <c:v>8129</c:v>
                </c:pt>
                <c:pt idx="20">
                  <c:v>7955</c:v>
                </c:pt>
                <c:pt idx="21">
                  <c:v>8082</c:v>
                </c:pt>
                <c:pt idx="22">
                  <c:v>8118</c:v>
                </c:pt>
                <c:pt idx="23">
                  <c:v>8273</c:v>
                </c:pt>
                <c:pt idx="24">
                  <c:v>8495</c:v>
                </c:pt>
                <c:pt idx="25">
                  <c:v>8624</c:v>
                </c:pt>
                <c:pt idx="26">
                  <c:v>8343</c:v>
                </c:pt>
                <c:pt idx="27">
                  <c:v>8500</c:v>
                </c:pt>
                <c:pt idx="28">
                  <c:v>8250</c:v>
                </c:pt>
                <c:pt idx="29">
                  <c:v>8567</c:v>
                </c:pt>
                <c:pt idx="30">
                  <c:v>8400</c:v>
                </c:pt>
                <c:pt idx="31">
                  <c:v>8400</c:v>
                </c:pt>
                <c:pt idx="32">
                  <c:v>8500</c:v>
                </c:pt>
                <c:pt idx="33">
                  <c:v>8500</c:v>
                </c:pt>
                <c:pt idx="34">
                  <c:v>8250</c:v>
                </c:pt>
                <c:pt idx="35">
                  <c:v>8443</c:v>
                </c:pt>
                <c:pt idx="36">
                  <c:v>8590</c:v>
                </c:pt>
                <c:pt idx="37">
                  <c:v>8800</c:v>
                </c:pt>
                <c:pt idx="38">
                  <c:v>8900</c:v>
                </c:pt>
                <c:pt idx="39">
                  <c:v>9050</c:v>
                </c:pt>
                <c:pt idx="40">
                  <c:v>9250</c:v>
                </c:pt>
                <c:pt idx="41">
                  <c:v>9400</c:v>
                </c:pt>
                <c:pt idx="42">
                  <c:v>9460</c:v>
                </c:pt>
                <c:pt idx="43">
                  <c:v>9470</c:v>
                </c:pt>
                <c:pt idx="44">
                  <c:v>9480</c:v>
                </c:pt>
                <c:pt idx="45">
                  <c:v>9544</c:v>
                </c:pt>
                <c:pt idx="46">
                  <c:v>9780</c:v>
                </c:pt>
                <c:pt idx="47">
                  <c:v>9600</c:v>
                </c:pt>
                <c:pt idx="48">
                  <c:v>9500</c:v>
                </c:pt>
                <c:pt idx="49">
                  <c:v>10200</c:v>
                </c:pt>
                <c:pt idx="50">
                  <c:v>25467.808999999997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69608"/>
        <c:axId val="322472352"/>
      </c:lineChart>
      <c:catAx>
        <c:axId val="322469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2352"/>
        <c:crosses val="autoZero"/>
        <c:auto val="1"/>
        <c:lblAlgn val="ctr"/>
        <c:lblOffset val="100"/>
        <c:noMultiLvlLbl val="0"/>
      </c:catAx>
      <c:valAx>
        <c:axId val="32247235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960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349385338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Thai!$C$18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Thai!$D$18:$BD$18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8</c:v>
                </c:pt>
                <c:pt idx="4">
                  <c:v>20</c:v>
                </c:pt>
                <c:pt idx="5">
                  <c:v>73</c:v>
                </c:pt>
                <c:pt idx="6">
                  <c:v>114</c:v>
                </c:pt>
                <c:pt idx="7">
                  <c:v>70</c:v>
                </c:pt>
                <c:pt idx="8">
                  <c:v>65</c:v>
                </c:pt>
                <c:pt idx="9">
                  <c:v>75</c:v>
                </c:pt>
                <c:pt idx="10">
                  <c:v>100</c:v>
                </c:pt>
                <c:pt idx="11">
                  <c:v>135</c:v>
                </c:pt>
                <c:pt idx="12">
                  <c:v>120</c:v>
                </c:pt>
                <c:pt idx="13">
                  <c:v>170</c:v>
                </c:pt>
                <c:pt idx="14">
                  <c:v>280</c:v>
                </c:pt>
                <c:pt idx="15">
                  <c:v>300</c:v>
                </c:pt>
                <c:pt idx="16">
                  <c:v>250</c:v>
                </c:pt>
                <c:pt idx="17">
                  <c:v>200</c:v>
                </c:pt>
                <c:pt idx="18">
                  <c:v>230</c:v>
                </c:pt>
                <c:pt idx="19">
                  <c:v>260</c:v>
                </c:pt>
                <c:pt idx="20">
                  <c:v>350</c:v>
                </c:pt>
                <c:pt idx="21">
                  <c:v>330</c:v>
                </c:pt>
                <c:pt idx="22">
                  <c:v>236</c:v>
                </c:pt>
                <c:pt idx="23">
                  <c:v>327</c:v>
                </c:pt>
                <c:pt idx="24">
                  <c:v>374</c:v>
                </c:pt>
                <c:pt idx="25">
                  <c:v>320</c:v>
                </c:pt>
                <c:pt idx="26">
                  <c:v>280</c:v>
                </c:pt>
                <c:pt idx="27">
                  <c:v>192</c:v>
                </c:pt>
                <c:pt idx="28">
                  <c:v>215</c:v>
                </c:pt>
                <c:pt idx="29">
                  <c:v>230</c:v>
                </c:pt>
                <c:pt idx="30">
                  <c:v>237</c:v>
                </c:pt>
                <c:pt idx="31">
                  <c:v>250</c:v>
                </c:pt>
                <c:pt idx="32">
                  <c:v>250</c:v>
                </c:pt>
                <c:pt idx="33">
                  <c:v>208</c:v>
                </c:pt>
                <c:pt idx="34">
                  <c:v>228</c:v>
                </c:pt>
                <c:pt idx="35">
                  <c:v>194</c:v>
                </c:pt>
                <c:pt idx="36">
                  <c:v>225</c:v>
                </c:pt>
                <c:pt idx="37">
                  <c:v>156</c:v>
                </c:pt>
                <c:pt idx="38">
                  <c:v>146</c:v>
                </c:pt>
                <c:pt idx="39">
                  <c:v>142</c:v>
                </c:pt>
                <c:pt idx="40">
                  <c:v>148</c:v>
                </c:pt>
                <c:pt idx="41">
                  <c:v>144</c:v>
                </c:pt>
                <c:pt idx="42">
                  <c:v>132</c:v>
                </c:pt>
                <c:pt idx="43">
                  <c:v>96</c:v>
                </c:pt>
                <c:pt idx="44">
                  <c:v>93</c:v>
                </c:pt>
                <c:pt idx="45">
                  <c:v>95</c:v>
                </c:pt>
                <c:pt idx="46">
                  <c:v>53</c:v>
                </c:pt>
                <c:pt idx="47">
                  <c:v>57</c:v>
                </c:pt>
                <c:pt idx="48">
                  <c:v>55</c:v>
                </c:pt>
                <c:pt idx="49">
                  <c:v>54</c:v>
                </c:pt>
                <c:pt idx="50">
                  <c:v>52.25</c:v>
                </c:pt>
                <c:pt idx="51">
                  <c:v>55</c:v>
                </c:pt>
                <c:pt idx="52">
                  <c:v>57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Thai!$C$19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Thai!$D$19:$BD$19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13</c:v>
                </c:pt>
                <c:pt idx="5">
                  <c:v>54</c:v>
                </c:pt>
                <c:pt idx="6">
                  <c:v>103</c:v>
                </c:pt>
                <c:pt idx="7">
                  <c:v>94</c:v>
                </c:pt>
                <c:pt idx="8">
                  <c:v>54</c:v>
                </c:pt>
                <c:pt idx="9">
                  <c:v>57</c:v>
                </c:pt>
                <c:pt idx="10">
                  <c:v>80</c:v>
                </c:pt>
                <c:pt idx="11">
                  <c:v>131</c:v>
                </c:pt>
                <c:pt idx="12">
                  <c:v>97</c:v>
                </c:pt>
                <c:pt idx="13">
                  <c:v>188</c:v>
                </c:pt>
                <c:pt idx="14">
                  <c:v>207</c:v>
                </c:pt>
                <c:pt idx="15">
                  <c:v>170</c:v>
                </c:pt>
                <c:pt idx="16">
                  <c:v>165</c:v>
                </c:pt>
                <c:pt idx="17">
                  <c:v>104</c:v>
                </c:pt>
                <c:pt idx="18">
                  <c:v>174</c:v>
                </c:pt>
                <c:pt idx="19">
                  <c:v>189</c:v>
                </c:pt>
                <c:pt idx="20">
                  <c:v>255</c:v>
                </c:pt>
                <c:pt idx="21">
                  <c:v>252</c:v>
                </c:pt>
                <c:pt idx="22">
                  <c:v>190</c:v>
                </c:pt>
                <c:pt idx="23">
                  <c:v>290</c:v>
                </c:pt>
                <c:pt idx="24">
                  <c:v>342</c:v>
                </c:pt>
                <c:pt idx="25">
                  <c:v>268</c:v>
                </c:pt>
                <c:pt idx="26">
                  <c:v>142</c:v>
                </c:pt>
                <c:pt idx="27">
                  <c:v>25</c:v>
                </c:pt>
                <c:pt idx="28">
                  <c:v>36</c:v>
                </c:pt>
                <c:pt idx="29">
                  <c:v>1</c:v>
                </c:pt>
                <c:pt idx="30">
                  <c:v>97</c:v>
                </c:pt>
                <c:pt idx="31">
                  <c:v>4</c:v>
                </c:pt>
                <c:pt idx="32">
                  <c:v>6</c:v>
                </c:pt>
                <c:pt idx="33">
                  <c:v>3</c:v>
                </c:pt>
                <c:pt idx="34">
                  <c:v>1</c:v>
                </c:pt>
                <c:pt idx="35">
                  <c:v>0</c:v>
                </c:pt>
                <c:pt idx="36">
                  <c:v>4</c:v>
                </c:pt>
                <c:pt idx="37">
                  <c:v>2</c:v>
                </c:pt>
                <c:pt idx="38">
                  <c:v>7</c:v>
                </c:pt>
                <c:pt idx="39">
                  <c:v>0</c:v>
                </c:pt>
                <c:pt idx="40">
                  <c:v>11</c:v>
                </c:pt>
                <c:pt idx="41">
                  <c:v>16</c:v>
                </c:pt>
                <c:pt idx="42">
                  <c:v>31</c:v>
                </c:pt>
                <c:pt idx="43">
                  <c:v>21</c:v>
                </c:pt>
                <c:pt idx="44">
                  <c:v>4</c:v>
                </c:pt>
                <c:pt idx="45">
                  <c:v>13</c:v>
                </c:pt>
                <c:pt idx="46">
                  <c:v>16</c:v>
                </c:pt>
                <c:pt idx="47">
                  <c:v>24</c:v>
                </c:pt>
                <c:pt idx="48">
                  <c:v>9</c:v>
                </c:pt>
                <c:pt idx="49">
                  <c:v>21</c:v>
                </c:pt>
                <c:pt idx="50">
                  <c:v>2.7080000000000002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Thai!$C$20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Thai!$D$20:$BD$20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5</c:v>
                </c:pt>
                <c:pt idx="4">
                  <c:v>1</c:v>
                </c:pt>
                <c:pt idx="5">
                  <c:v>2</c:v>
                </c:pt>
                <c:pt idx="6">
                  <c:v>4</c:v>
                </c:pt>
                <c:pt idx="7">
                  <c:v>3</c:v>
                </c:pt>
                <c:pt idx="8">
                  <c:v>7</c:v>
                </c:pt>
                <c:pt idx="9">
                  <c:v>10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10</c:v>
                </c:pt>
                <c:pt idx="14">
                  <c:v>40</c:v>
                </c:pt>
                <c:pt idx="15">
                  <c:v>81</c:v>
                </c:pt>
                <c:pt idx="16">
                  <c:v>91</c:v>
                </c:pt>
                <c:pt idx="17">
                  <c:v>95</c:v>
                </c:pt>
                <c:pt idx="18">
                  <c:v>97</c:v>
                </c:pt>
                <c:pt idx="19">
                  <c:v>104</c:v>
                </c:pt>
                <c:pt idx="20">
                  <c:v>90</c:v>
                </c:pt>
                <c:pt idx="21">
                  <c:v>77</c:v>
                </c:pt>
                <c:pt idx="22">
                  <c:v>22</c:v>
                </c:pt>
                <c:pt idx="23">
                  <c:v>29</c:v>
                </c:pt>
                <c:pt idx="24">
                  <c:v>27</c:v>
                </c:pt>
                <c:pt idx="25">
                  <c:v>45</c:v>
                </c:pt>
                <c:pt idx="26">
                  <c:v>160</c:v>
                </c:pt>
                <c:pt idx="27">
                  <c:v>190</c:v>
                </c:pt>
                <c:pt idx="28">
                  <c:v>183</c:v>
                </c:pt>
                <c:pt idx="29">
                  <c:v>210</c:v>
                </c:pt>
                <c:pt idx="30">
                  <c:v>146</c:v>
                </c:pt>
                <c:pt idx="31">
                  <c:v>246</c:v>
                </c:pt>
                <c:pt idx="32">
                  <c:v>255</c:v>
                </c:pt>
                <c:pt idx="33">
                  <c:v>217</c:v>
                </c:pt>
                <c:pt idx="34">
                  <c:v>253</c:v>
                </c:pt>
                <c:pt idx="35">
                  <c:v>199</c:v>
                </c:pt>
                <c:pt idx="36">
                  <c:v>238</c:v>
                </c:pt>
                <c:pt idx="37">
                  <c:v>167</c:v>
                </c:pt>
                <c:pt idx="38">
                  <c:v>140</c:v>
                </c:pt>
                <c:pt idx="39">
                  <c:v>143</c:v>
                </c:pt>
                <c:pt idx="40">
                  <c:v>130</c:v>
                </c:pt>
                <c:pt idx="41">
                  <c:v>129</c:v>
                </c:pt>
                <c:pt idx="42">
                  <c:v>100</c:v>
                </c:pt>
                <c:pt idx="43">
                  <c:v>80</c:v>
                </c:pt>
                <c:pt idx="44">
                  <c:v>70</c:v>
                </c:pt>
                <c:pt idx="45">
                  <c:v>90</c:v>
                </c:pt>
                <c:pt idx="46">
                  <c:v>50</c:v>
                </c:pt>
                <c:pt idx="47">
                  <c:v>35</c:v>
                </c:pt>
                <c:pt idx="48">
                  <c:v>46</c:v>
                </c:pt>
                <c:pt idx="49">
                  <c:v>33</c:v>
                </c:pt>
                <c:pt idx="50">
                  <c:v>49.542000000000002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71568"/>
        <c:axId val="322466472"/>
      </c:lineChart>
      <c:catAx>
        <c:axId val="322471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6472"/>
        <c:crosses val="autoZero"/>
        <c:auto val="1"/>
        <c:lblAlgn val="ctr"/>
        <c:lblOffset val="100"/>
        <c:noMultiLvlLbl val="0"/>
      </c:catAx>
      <c:valAx>
        <c:axId val="32246647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156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386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Thai!$C$21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Thai!$D$21:$BD$21</c:f>
              <c:numCache>
                <c:formatCode>_(* #,##0_);_(* \(#,##0\);_(* "-"??_);_(@_)</c:formatCode>
                <c:ptCount val="53"/>
                <c:pt idx="0">
                  <c:v>2000</c:v>
                </c:pt>
                <c:pt idx="1">
                  <c:v>1980</c:v>
                </c:pt>
                <c:pt idx="2">
                  <c:v>1695</c:v>
                </c:pt>
                <c:pt idx="3">
                  <c:v>2387</c:v>
                </c:pt>
                <c:pt idx="4">
                  <c:v>3913</c:v>
                </c:pt>
                <c:pt idx="5">
                  <c:v>3045</c:v>
                </c:pt>
                <c:pt idx="6">
                  <c:v>2535</c:v>
                </c:pt>
                <c:pt idx="7">
                  <c:v>2379</c:v>
                </c:pt>
                <c:pt idx="8">
                  <c:v>4399</c:v>
                </c:pt>
                <c:pt idx="9">
                  <c:v>5102</c:v>
                </c:pt>
                <c:pt idx="10">
                  <c:v>5686</c:v>
                </c:pt>
                <c:pt idx="11">
                  <c:v>5926</c:v>
                </c:pt>
                <c:pt idx="12">
                  <c:v>9513</c:v>
                </c:pt>
                <c:pt idx="13">
                  <c:v>13338.8</c:v>
                </c:pt>
                <c:pt idx="14">
                  <c:v>14592.3</c:v>
                </c:pt>
                <c:pt idx="15">
                  <c:v>19909.743999999999</c:v>
                </c:pt>
                <c:pt idx="16">
                  <c:v>26094.448</c:v>
                </c:pt>
                <c:pt idx="17">
                  <c:v>18941.216</c:v>
                </c:pt>
                <c:pt idx="18">
                  <c:v>20560.527999999998</c:v>
                </c:pt>
                <c:pt idx="19">
                  <c:v>12826.662</c:v>
                </c:pt>
                <c:pt idx="20">
                  <c:v>19853.664000000001</c:v>
                </c:pt>
                <c:pt idx="21">
                  <c:v>30200</c:v>
                </c:pt>
                <c:pt idx="22">
                  <c:v>24407.407999999999</c:v>
                </c:pt>
                <c:pt idx="23">
                  <c:v>23869.488000000001</c:v>
                </c:pt>
                <c:pt idx="24">
                  <c:v>25055.024000000001</c:v>
                </c:pt>
                <c:pt idx="25">
                  <c:v>24093.168000000001</c:v>
                </c:pt>
                <c:pt idx="26">
                  <c:v>24449.936000000002</c:v>
                </c:pt>
                <c:pt idx="27">
                  <c:v>27191.184000000001</c:v>
                </c:pt>
                <c:pt idx="28">
                  <c:v>36668</c:v>
                </c:pt>
                <c:pt idx="29">
                  <c:v>33561</c:v>
                </c:pt>
                <c:pt idx="30">
                  <c:v>40661</c:v>
                </c:pt>
                <c:pt idx="31">
                  <c:v>47480</c:v>
                </c:pt>
                <c:pt idx="32">
                  <c:v>39827</c:v>
                </c:pt>
                <c:pt idx="33">
                  <c:v>37823</c:v>
                </c:pt>
                <c:pt idx="34">
                  <c:v>50597</c:v>
                </c:pt>
                <c:pt idx="35">
                  <c:v>57974</c:v>
                </c:pt>
                <c:pt idx="36">
                  <c:v>56394</c:v>
                </c:pt>
                <c:pt idx="37">
                  <c:v>46873</c:v>
                </c:pt>
                <c:pt idx="38">
                  <c:v>50332</c:v>
                </c:pt>
                <c:pt idx="39">
                  <c:v>54052.125</c:v>
                </c:pt>
                <c:pt idx="40">
                  <c:v>49562.885999999999</c:v>
                </c:pt>
                <c:pt idx="41">
                  <c:v>60012.976999999999</c:v>
                </c:pt>
                <c:pt idx="42">
                  <c:v>74258.520999999993</c:v>
                </c:pt>
                <c:pt idx="43">
                  <c:v>64995.741000000002</c:v>
                </c:pt>
                <c:pt idx="44">
                  <c:v>49586.36</c:v>
                </c:pt>
                <c:pt idx="45">
                  <c:v>47658.097000000002</c:v>
                </c:pt>
                <c:pt idx="46">
                  <c:v>64365.482000000004</c:v>
                </c:pt>
                <c:pt idx="47">
                  <c:v>73501.611000000004</c:v>
                </c:pt>
                <c:pt idx="48">
                  <c:v>66816.445999999996</c:v>
                </c:pt>
                <c:pt idx="49">
                  <c:v>68807.8</c:v>
                </c:pt>
                <c:pt idx="50">
                  <c:v>95950.415999999997</c:v>
                </c:pt>
                <c:pt idx="51">
                  <c:v>98400</c:v>
                </c:pt>
                <c:pt idx="52">
                  <c:v>100096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Thai!$C$22</c:f>
              <c:strCache>
                <c:ptCount val="1"/>
                <c:pt idx="0">
                  <c:v>Total Imports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Thai!$D$22:$BD$22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79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Thai!$C$23</c:f>
              <c:strCache>
                <c:ptCount val="1"/>
                <c:pt idx="0">
                  <c:v>Total Exports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Thai!$D$23:$BD$23</c:f>
              <c:numCache>
                <c:formatCode>_(* #,##0_);_(* \(#,##0\);_(* "-"??_);_(@_)</c:formatCode>
                <c:ptCount val="53"/>
                <c:pt idx="0">
                  <c:v>2</c:v>
                </c:pt>
                <c:pt idx="1">
                  <c:v>40</c:v>
                </c:pt>
                <c:pt idx="2">
                  <c:v>81</c:v>
                </c:pt>
                <c:pt idx="3">
                  <c:v>133</c:v>
                </c:pt>
                <c:pt idx="4">
                  <c:v>52</c:v>
                </c:pt>
                <c:pt idx="5">
                  <c:v>55</c:v>
                </c:pt>
                <c:pt idx="6">
                  <c:v>15</c:v>
                </c:pt>
                <c:pt idx="7">
                  <c:v>0</c:v>
                </c:pt>
                <c:pt idx="8">
                  <c:v>16</c:v>
                </c:pt>
                <c:pt idx="9">
                  <c:v>57</c:v>
                </c:pt>
                <c:pt idx="10">
                  <c:v>175</c:v>
                </c:pt>
                <c:pt idx="11">
                  <c:v>219</c:v>
                </c:pt>
                <c:pt idx="12">
                  <c:v>235</c:v>
                </c:pt>
                <c:pt idx="13">
                  <c:v>429</c:v>
                </c:pt>
                <c:pt idx="14">
                  <c:v>486</c:v>
                </c:pt>
                <c:pt idx="15">
                  <c:v>1050</c:v>
                </c:pt>
                <c:pt idx="16">
                  <c:v>1530</c:v>
                </c:pt>
                <c:pt idx="17">
                  <c:v>1133</c:v>
                </c:pt>
                <c:pt idx="18">
                  <c:v>1443</c:v>
                </c:pt>
                <c:pt idx="19">
                  <c:v>569</c:v>
                </c:pt>
                <c:pt idx="20">
                  <c:v>1001</c:v>
                </c:pt>
                <c:pt idx="21">
                  <c:v>2291</c:v>
                </c:pt>
                <c:pt idx="22">
                  <c:v>1393</c:v>
                </c:pt>
                <c:pt idx="23">
                  <c:v>1375</c:v>
                </c:pt>
                <c:pt idx="24">
                  <c:v>1830</c:v>
                </c:pt>
                <c:pt idx="25">
                  <c:v>2060</c:v>
                </c:pt>
                <c:pt idx="26">
                  <c:v>1960</c:v>
                </c:pt>
                <c:pt idx="27">
                  <c:v>1892</c:v>
                </c:pt>
                <c:pt idx="28">
                  <c:v>3004</c:v>
                </c:pt>
                <c:pt idx="29">
                  <c:v>2611</c:v>
                </c:pt>
                <c:pt idx="30">
                  <c:v>2741</c:v>
                </c:pt>
                <c:pt idx="31">
                  <c:v>3657</c:v>
                </c:pt>
                <c:pt idx="32">
                  <c:v>2332</c:v>
                </c:pt>
                <c:pt idx="33">
                  <c:v>2718</c:v>
                </c:pt>
                <c:pt idx="34">
                  <c:v>3809</c:v>
                </c:pt>
                <c:pt idx="35">
                  <c:v>4537</c:v>
                </c:pt>
                <c:pt idx="36">
                  <c:v>4194</c:v>
                </c:pt>
                <c:pt idx="37">
                  <c:v>2839</c:v>
                </c:pt>
                <c:pt idx="38">
                  <c:v>3352</c:v>
                </c:pt>
                <c:pt idx="39">
                  <c:v>4147</c:v>
                </c:pt>
                <c:pt idx="40">
                  <c:v>3394</c:v>
                </c:pt>
                <c:pt idx="41">
                  <c:v>4157</c:v>
                </c:pt>
                <c:pt idx="42">
                  <c:v>5280</c:v>
                </c:pt>
                <c:pt idx="43">
                  <c:v>4860</c:v>
                </c:pt>
                <c:pt idx="44">
                  <c:v>3115</c:v>
                </c:pt>
                <c:pt idx="45">
                  <c:v>2242</c:v>
                </c:pt>
                <c:pt idx="46">
                  <c:v>4705</c:v>
                </c:pt>
                <c:pt idx="47">
                  <c:v>4914</c:v>
                </c:pt>
                <c:pt idx="48">
                  <c:v>5295</c:v>
                </c:pt>
                <c:pt idx="49">
                  <c:v>5900</c:v>
                </c:pt>
                <c:pt idx="50">
                  <c:v>4700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Thai!$C$24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Thai!$D$24:$BD$24</c:f>
              <c:numCache>
                <c:formatCode>_(* #,##0_);_(* \(#,##0\);_(* "-"??_);_(@_)</c:formatCode>
                <c:ptCount val="53"/>
                <c:pt idx="0">
                  <c:v>1998</c:v>
                </c:pt>
                <c:pt idx="1">
                  <c:v>1940</c:v>
                </c:pt>
                <c:pt idx="2">
                  <c:v>1614</c:v>
                </c:pt>
                <c:pt idx="3">
                  <c:v>2254</c:v>
                </c:pt>
                <c:pt idx="4">
                  <c:v>3861</c:v>
                </c:pt>
                <c:pt idx="5">
                  <c:v>2990</c:v>
                </c:pt>
                <c:pt idx="6">
                  <c:v>2520</c:v>
                </c:pt>
                <c:pt idx="7">
                  <c:v>2379</c:v>
                </c:pt>
                <c:pt idx="8">
                  <c:v>4383</c:v>
                </c:pt>
                <c:pt idx="9">
                  <c:v>5045</c:v>
                </c:pt>
                <c:pt idx="10">
                  <c:v>5511</c:v>
                </c:pt>
                <c:pt idx="11">
                  <c:v>5707</c:v>
                </c:pt>
                <c:pt idx="12">
                  <c:v>9278</c:v>
                </c:pt>
                <c:pt idx="13">
                  <c:v>12909.8</c:v>
                </c:pt>
                <c:pt idx="14">
                  <c:v>14106.3</c:v>
                </c:pt>
                <c:pt idx="15">
                  <c:v>18859.743999999999</c:v>
                </c:pt>
                <c:pt idx="16">
                  <c:v>24564.448</c:v>
                </c:pt>
                <c:pt idx="17">
                  <c:v>17808.216</c:v>
                </c:pt>
                <c:pt idx="18">
                  <c:v>19117.527999999998</c:v>
                </c:pt>
                <c:pt idx="19">
                  <c:v>12336.662</c:v>
                </c:pt>
                <c:pt idx="20">
                  <c:v>18852.664000000001</c:v>
                </c:pt>
                <c:pt idx="21">
                  <c:v>27909</c:v>
                </c:pt>
                <c:pt idx="22">
                  <c:v>23014.407999999999</c:v>
                </c:pt>
                <c:pt idx="23">
                  <c:v>22494.488000000001</c:v>
                </c:pt>
                <c:pt idx="24">
                  <c:v>23225.024000000001</c:v>
                </c:pt>
                <c:pt idx="25">
                  <c:v>22033.168000000001</c:v>
                </c:pt>
                <c:pt idx="26">
                  <c:v>22489.936000000002</c:v>
                </c:pt>
                <c:pt idx="27">
                  <c:v>25299.184000000001</c:v>
                </c:pt>
                <c:pt idx="28">
                  <c:v>33664</c:v>
                </c:pt>
                <c:pt idx="29">
                  <c:v>30950</c:v>
                </c:pt>
                <c:pt idx="30">
                  <c:v>37920</c:v>
                </c:pt>
                <c:pt idx="31">
                  <c:v>43823</c:v>
                </c:pt>
                <c:pt idx="32">
                  <c:v>37495</c:v>
                </c:pt>
                <c:pt idx="33">
                  <c:v>35105</c:v>
                </c:pt>
                <c:pt idx="34">
                  <c:v>46788</c:v>
                </c:pt>
                <c:pt idx="35">
                  <c:v>53437</c:v>
                </c:pt>
                <c:pt idx="36">
                  <c:v>52200</c:v>
                </c:pt>
                <c:pt idx="37">
                  <c:v>44034</c:v>
                </c:pt>
                <c:pt idx="38">
                  <c:v>46980</c:v>
                </c:pt>
                <c:pt idx="39">
                  <c:v>49905.125</c:v>
                </c:pt>
                <c:pt idx="40">
                  <c:v>46168.885999999999</c:v>
                </c:pt>
                <c:pt idx="41">
                  <c:v>55855.976999999999</c:v>
                </c:pt>
                <c:pt idx="42">
                  <c:v>68978.520999999993</c:v>
                </c:pt>
                <c:pt idx="43">
                  <c:v>60135.741000000002</c:v>
                </c:pt>
                <c:pt idx="44">
                  <c:v>46471.360000000001</c:v>
                </c:pt>
                <c:pt idx="45">
                  <c:v>45416.097000000002</c:v>
                </c:pt>
                <c:pt idx="46">
                  <c:v>59660.482000000004</c:v>
                </c:pt>
                <c:pt idx="47">
                  <c:v>68587.611000000004</c:v>
                </c:pt>
                <c:pt idx="48">
                  <c:v>61521.445999999996</c:v>
                </c:pt>
                <c:pt idx="49">
                  <c:v>62907.8</c:v>
                </c:pt>
                <c:pt idx="50">
                  <c:v>91250.415999999997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73136"/>
        <c:axId val="322462944"/>
      </c:lineChart>
      <c:catAx>
        <c:axId val="322473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2944"/>
        <c:crosses val="autoZero"/>
        <c:auto val="1"/>
        <c:lblAlgn val="ctr"/>
        <c:lblOffset val="100"/>
        <c:noMultiLvlLbl val="0"/>
      </c:catAx>
      <c:valAx>
        <c:axId val="32246294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313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4225511249617945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Thai!$C$25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Thai!$D$25:$BD$25</c:f>
              <c:numCache>
                <c:formatCode>_(* #,##0_);_(* \(#,##0\);_(* "-"??_);_(@_)</c:formatCode>
                <c:ptCount val="53"/>
                <c:pt idx="0">
                  <c:v>32</c:v>
                </c:pt>
                <c:pt idx="1">
                  <c:v>35</c:v>
                </c:pt>
                <c:pt idx="2">
                  <c:v>32</c:v>
                </c:pt>
                <c:pt idx="3">
                  <c:v>37</c:v>
                </c:pt>
                <c:pt idx="4">
                  <c:v>38</c:v>
                </c:pt>
                <c:pt idx="5">
                  <c:v>47</c:v>
                </c:pt>
                <c:pt idx="6">
                  <c:v>59</c:v>
                </c:pt>
                <c:pt idx="7">
                  <c:v>66</c:v>
                </c:pt>
                <c:pt idx="8">
                  <c:v>63</c:v>
                </c:pt>
                <c:pt idx="9">
                  <c:v>71</c:v>
                </c:pt>
                <c:pt idx="10">
                  <c:v>66</c:v>
                </c:pt>
                <c:pt idx="11">
                  <c:v>80</c:v>
                </c:pt>
                <c:pt idx="12">
                  <c:v>74</c:v>
                </c:pt>
                <c:pt idx="13">
                  <c:v>93</c:v>
                </c:pt>
                <c:pt idx="14">
                  <c:v>68</c:v>
                </c:pt>
                <c:pt idx="15">
                  <c:v>95</c:v>
                </c:pt>
                <c:pt idx="16">
                  <c:v>116</c:v>
                </c:pt>
                <c:pt idx="17">
                  <c:v>150</c:v>
                </c:pt>
                <c:pt idx="18">
                  <c:v>170</c:v>
                </c:pt>
                <c:pt idx="19">
                  <c:v>248</c:v>
                </c:pt>
                <c:pt idx="20">
                  <c:v>160</c:v>
                </c:pt>
                <c:pt idx="21">
                  <c:v>201</c:v>
                </c:pt>
                <c:pt idx="22">
                  <c:v>154</c:v>
                </c:pt>
                <c:pt idx="23">
                  <c:v>200</c:v>
                </c:pt>
                <c:pt idx="24">
                  <c:v>190</c:v>
                </c:pt>
                <c:pt idx="25">
                  <c:v>166</c:v>
                </c:pt>
                <c:pt idx="26">
                  <c:v>136</c:v>
                </c:pt>
                <c:pt idx="27">
                  <c:v>268</c:v>
                </c:pt>
                <c:pt idx="28">
                  <c:v>259</c:v>
                </c:pt>
                <c:pt idx="29">
                  <c:v>354</c:v>
                </c:pt>
                <c:pt idx="30">
                  <c:v>436</c:v>
                </c:pt>
                <c:pt idx="31">
                  <c:v>533</c:v>
                </c:pt>
                <c:pt idx="32">
                  <c:v>630</c:v>
                </c:pt>
                <c:pt idx="33">
                  <c:v>745</c:v>
                </c:pt>
                <c:pt idx="34">
                  <c:v>696</c:v>
                </c:pt>
                <c:pt idx="35">
                  <c:v>794</c:v>
                </c:pt>
                <c:pt idx="36">
                  <c:v>696</c:v>
                </c:pt>
                <c:pt idx="37">
                  <c:v>659</c:v>
                </c:pt>
                <c:pt idx="38">
                  <c:v>830</c:v>
                </c:pt>
                <c:pt idx="39">
                  <c:v>809</c:v>
                </c:pt>
                <c:pt idx="40">
                  <c:v>941</c:v>
                </c:pt>
                <c:pt idx="41">
                  <c:v>967</c:v>
                </c:pt>
                <c:pt idx="42">
                  <c:v>895</c:v>
                </c:pt>
                <c:pt idx="43">
                  <c:v>1139</c:v>
                </c:pt>
                <c:pt idx="44">
                  <c:v>1081</c:v>
                </c:pt>
                <c:pt idx="45">
                  <c:v>1176</c:v>
                </c:pt>
                <c:pt idx="46">
                  <c:v>1189</c:v>
                </c:pt>
                <c:pt idx="47">
                  <c:v>1072</c:v>
                </c:pt>
                <c:pt idx="48">
                  <c:v>1128</c:v>
                </c:pt>
                <c:pt idx="49">
                  <c:v>1600</c:v>
                </c:pt>
                <c:pt idx="50">
                  <c:v>1426.21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Thai!$C$26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Thai!$D$26:$BD$26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3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5</c:v>
                </c:pt>
                <c:pt idx="27">
                  <c:v>4</c:v>
                </c:pt>
                <c:pt idx="28">
                  <c:v>5</c:v>
                </c:pt>
                <c:pt idx="29">
                  <c:v>8</c:v>
                </c:pt>
                <c:pt idx="30">
                  <c:v>30</c:v>
                </c:pt>
                <c:pt idx="31">
                  <c:v>31</c:v>
                </c:pt>
                <c:pt idx="32">
                  <c:v>47</c:v>
                </c:pt>
                <c:pt idx="33">
                  <c:v>38</c:v>
                </c:pt>
                <c:pt idx="34">
                  <c:v>45</c:v>
                </c:pt>
                <c:pt idx="35">
                  <c:v>61</c:v>
                </c:pt>
                <c:pt idx="36">
                  <c:v>65</c:v>
                </c:pt>
                <c:pt idx="37">
                  <c:v>70</c:v>
                </c:pt>
                <c:pt idx="38">
                  <c:v>68</c:v>
                </c:pt>
                <c:pt idx="39">
                  <c:v>80</c:v>
                </c:pt>
                <c:pt idx="40">
                  <c:v>68</c:v>
                </c:pt>
                <c:pt idx="41">
                  <c:v>78</c:v>
                </c:pt>
                <c:pt idx="42">
                  <c:v>78</c:v>
                </c:pt>
                <c:pt idx="43">
                  <c:v>81</c:v>
                </c:pt>
                <c:pt idx="44">
                  <c:v>83</c:v>
                </c:pt>
                <c:pt idx="45">
                  <c:v>93</c:v>
                </c:pt>
                <c:pt idx="46">
                  <c:v>112</c:v>
                </c:pt>
                <c:pt idx="47">
                  <c:v>140</c:v>
                </c:pt>
                <c:pt idx="48">
                  <c:v>147</c:v>
                </c:pt>
                <c:pt idx="49">
                  <c:v>154</c:v>
                </c:pt>
                <c:pt idx="50">
                  <c:v>1.0999999999999999E-2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Thai!$C$27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Thai!$D$1:$BD$1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Thai!$D$27:$BD$27</c:f>
              <c:numCache>
                <c:formatCode>_(* #,##0_);_(* \(#,##0\);_(* "-"??_);_(@_)</c:formatCode>
                <c:ptCount val="53"/>
                <c:pt idx="0">
                  <c:v>32</c:v>
                </c:pt>
                <c:pt idx="1">
                  <c:v>35</c:v>
                </c:pt>
                <c:pt idx="2">
                  <c:v>32</c:v>
                </c:pt>
                <c:pt idx="3">
                  <c:v>35</c:v>
                </c:pt>
                <c:pt idx="4">
                  <c:v>37</c:v>
                </c:pt>
                <c:pt idx="5">
                  <c:v>45</c:v>
                </c:pt>
                <c:pt idx="6">
                  <c:v>54</c:v>
                </c:pt>
                <c:pt idx="7">
                  <c:v>61</c:v>
                </c:pt>
                <c:pt idx="8">
                  <c:v>63</c:v>
                </c:pt>
                <c:pt idx="9">
                  <c:v>65</c:v>
                </c:pt>
                <c:pt idx="10">
                  <c:v>64</c:v>
                </c:pt>
                <c:pt idx="11">
                  <c:v>79</c:v>
                </c:pt>
                <c:pt idx="12">
                  <c:v>83</c:v>
                </c:pt>
                <c:pt idx="13">
                  <c:v>83</c:v>
                </c:pt>
                <c:pt idx="14">
                  <c:v>81</c:v>
                </c:pt>
                <c:pt idx="15">
                  <c:v>85</c:v>
                </c:pt>
                <c:pt idx="16">
                  <c:v>105</c:v>
                </c:pt>
                <c:pt idx="17">
                  <c:v>145</c:v>
                </c:pt>
                <c:pt idx="18">
                  <c:v>175</c:v>
                </c:pt>
                <c:pt idx="19">
                  <c:v>180</c:v>
                </c:pt>
                <c:pt idx="20">
                  <c:v>190</c:v>
                </c:pt>
                <c:pt idx="21">
                  <c:v>205</c:v>
                </c:pt>
                <c:pt idx="22">
                  <c:v>195</c:v>
                </c:pt>
                <c:pt idx="23">
                  <c:v>195</c:v>
                </c:pt>
                <c:pt idx="24">
                  <c:v>168</c:v>
                </c:pt>
                <c:pt idx="25">
                  <c:v>180</c:v>
                </c:pt>
                <c:pt idx="26">
                  <c:v>126</c:v>
                </c:pt>
                <c:pt idx="27">
                  <c:v>239</c:v>
                </c:pt>
                <c:pt idx="28">
                  <c:v>259</c:v>
                </c:pt>
                <c:pt idx="29">
                  <c:v>361</c:v>
                </c:pt>
                <c:pt idx="30">
                  <c:v>406</c:v>
                </c:pt>
                <c:pt idx="31">
                  <c:v>507</c:v>
                </c:pt>
                <c:pt idx="32">
                  <c:v>573</c:v>
                </c:pt>
                <c:pt idx="33">
                  <c:v>657</c:v>
                </c:pt>
                <c:pt idx="34">
                  <c:v>701</c:v>
                </c:pt>
                <c:pt idx="35">
                  <c:v>583</c:v>
                </c:pt>
                <c:pt idx="36">
                  <c:v>631</c:v>
                </c:pt>
                <c:pt idx="37">
                  <c:v>639</c:v>
                </c:pt>
                <c:pt idx="38">
                  <c:v>712</c:v>
                </c:pt>
                <c:pt idx="39">
                  <c:v>729</c:v>
                </c:pt>
                <c:pt idx="40">
                  <c:v>789</c:v>
                </c:pt>
                <c:pt idx="41">
                  <c:v>820</c:v>
                </c:pt>
                <c:pt idx="42">
                  <c:v>810</c:v>
                </c:pt>
                <c:pt idx="43">
                  <c:v>950</c:v>
                </c:pt>
                <c:pt idx="44">
                  <c:v>1000</c:v>
                </c:pt>
                <c:pt idx="45">
                  <c:v>1050</c:v>
                </c:pt>
                <c:pt idx="46">
                  <c:v>1100</c:v>
                </c:pt>
                <c:pt idx="47">
                  <c:v>970</c:v>
                </c:pt>
                <c:pt idx="48">
                  <c:v>1020</c:v>
                </c:pt>
                <c:pt idx="49">
                  <c:v>1150</c:v>
                </c:pt>
                <c:pt idx="50">
                  <c:v>1426.1990000000001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68432"/>
        <c:axId val="322472744"/>
      </c:lineChart>
      <c:catAx>
        <c:axId val="3224684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2744"/>
        <c:crosses val="autoZero"/>
        <c:auto val="1"/>
        <c:lblAlgn val="ctr"/>
        <c:lblOffset val="100"/>
        <c:noMultiLvlLbl val="0"/>
      </c:catAx>
      <c:valAx>
        <c:axId val="32247274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843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87472220951122803"/>
          <c:h val="8.1943582809724302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63"/>
          <c:w val="0.845245908485693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Turk!$C$2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Turk!$D$2:$BD$2</c:f>
              <c:numCache>
                <c:formatCode>_(* #,##0_);_(* \(#,##0\);_(* "-"??_);_(@_)</c:formatCode>
                <c:ptCount val="53"/>
                <c:pt idx="0">
                  <c:v>750</c:v>
                </c:pt>
                <c:pt idx="1">
                  <c:v>1000</c:v>
                </c:pt>
                <c:pt idx="2">
                  <c:v>800</c:v>
                </c:pt>
                <c:pt idx="3">
                  <c:v>990</c:v>
                </c:pt>
                <c:pt idx="4">
                  <c:v>1000</c:v>
                </c:pt>
                <c:pt idx="5">
                  <c:v>800</c:v>
                </c:pt>
                <c:pt idx="6">
                  <c:v>1000</c:v>
                </c:pt>
                <c:pt idx="7">
                  <c:v>1080</c:v>
                </c:pt>
                <c:pt idx="8">
                  <c:v>1000</c:v>
                </c:pt>
                <c:pt idx="9">
                  <c:v>1000</c:v>
                </c:pt>
                <c:pt idx="10">
                  <c:v>1040</c:v>
                </c:pt>
                <c:pt idx="11">
                  <c:v>1135</c:v>
                </c:pt>
                <c:pt idx="12">
                  <c:v>1030</c:v>
                </c:pt>
                <c:pt idx="13">
                  <c:v>1040</c:v>
                </c:pt>
                <c:pt idx="14">
                  <c:v>1200</c:v>
                </c:pt>
                <c:pt idx="15">
                  <c:v>1200</c:v>
                </c:pt>
                <c:pt idx="16">
                  <c:v>1310</c:v>
                </c:pt>
                <c:pt idx="17">
                  <c:v>1265</c:v>
                </c:pt>
                <c:pt idx="18">
                  <c:v>1300</c:v>
                </c:pt>
                <c:pt idx="19">
                  <c:v>1350</c:v>
                </c:pt>
                <c:pt idx="20">
                  <c:v>1240</c:v>
                </c:pt>
                <c:pt idx="21">
                  <c:v>1200</c:v>
                </c:pt>
                <c:pt idx="22">
                  <c:v>1360</c:v>
                </c:pt>
                <c:pt idx="23">
                  <c:v>1480</c:v>
                </c:pt>
                <c:pt idx="24">
                  <c:v>1500</c:v>
                </c:pt>
                <c:pt idx="25">
                  <c:v>1800</c:v>
                </c:pt>
                <c:pt idx="26">
                  <c:v>2300</c:v>
                </c:pt>
                <c:pt idx="27">
                  <c:v>2400</c:v>
                </c:pt>
                <c:pt idx="28">
                  <c:v>2200</c:v>
                </c:pt>
                <c:pt idx="29">
                  <c:v>1900</c:v>
                </c:pt>
                <c:pt idx="30">
                  <c:v>2100</c:v>
                </c:pt>
                <c:pt idx="31">
                  <c:v>2200</c:v>
                </c:pt>
                <c:pt idx="32">
                  <c:v>2225</c:v>
                </c:pt>
                <c:pt idx="33">
                  <c:v>2500</c:v>
                </c:pt>
                <c:pt idx="34">
                  <c:v>1700</c:v>
                </c:pt>
                <c:pt idx="35">
                  <c:v>1800</c:v>
                </c:pt>
                <c:pt idx="36">
                  <c:v>2000</c:v>
                </c:pt>
                <c:pt idx="37">
                  <c:v>2100</c:v>
                </c:pt>
                <c:pt idx="38">
                  <c:v>2300</c:v>
                </c:pt>
                <c:pt idx="39">
                  <c:v>2000</c:v>
                </c:pt>
                <c:pt idx="40">
                  <c:v>2100</c:v>
                </c:pt>
                <c:pt idx="41">
                  <c:v>2000</c:v>
                </c:pt>
                <c:pt idx="42">
                  <c:v>2100</c:v>
                </c:pt>
                <c:pt idx="43">
                  <c:v>2500</c:v>
                </c:pt>
                <c:pt idx="44">
                  <c:v>3000</c:v>
                </c:pt>
                <c:pt idx="45">
                  <c:v>3700</c:v>
                </c:pt>
                <c:pt idx="46">
                  <c:v>2800</c:v>
                </c:pt>
                <c:pt idx="47">
                  <c:v>2900</c:v>
                </c:pt>
                <c:pt idx="48">
                  <c:v>4150</c:v>
                </c:pt>
                <c:pt idx="49">
                  <c:v>4000</c:v>
                </c:pt>
                <c:pt idx="50">
                  <c:v>4200</c:v>
                </c:pt>
                <c:pt idx="51">
                  <c:v>4600</c:v>
                </c:pt>
                <c:pt idx="52">
                  <c:v>5900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Turk!$C$3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Turk!$D$3:$BD$3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10</c:v>
                </c:pt>
                <c:pt idx="2">
                  <c:v>0</c:v>
                </c:pt>
                <c:pt idx="3">
                  <c:v>35</c:v>
                </c:pt>
                <c:pt idx="4">
                  <c:v>0</c:v>
                </c:pt>
                <c:pt idx="5">
                  <c:v>7</c:v>
                </c:pt>
                <c:pt idx="6">
                  <c:v>0</c:v>
                </c:pt>
                <c:pt idx="7">
                  <c:v>1</c:v>
                </c:pt>
                <c:pt idx="8">
                  <c:v>6</c:v>
                </c:pt>
                <c:pt idx="9">
                  <c:v>0</c:v>
                </c:pt>
                <c:pt idx="10">
                  <c:v>5</c:v>
                </c:pt>
                <c:pt idx="11">
                  <c:v>5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51</c:v>
                </c:pt>
                <c:pt idx="22">
                  <c:v>45</c:v>
                </c:pt>
                <c:pt idx="23">
                  <c:v>130</c:v>
                </c:pt>
                <c:pt idx="24">
                  <c:v>175</c:v>
                </c:pt>
                <c:pt idx="25">
                  <c:v>200</c:v>
                </c:pt>
                <c:pt idx="26">
                  <c:v>56</c:v>
                </c:pt>
                <c:pt idx="27">
                  <c:v>200</c:v>
                </c:pt>
                <c:pt idx="28">
                  <c:v>325</c:v>
                </c:pt>
                <c:pt idx="29">
                  <c:v>798</c:v>
                </c:pt>
                <c:pt idx="30">
                  <c:v>115</c:v>
                </c:pt>
                <c:pt idx="31">
                  <c:v>85</c:v>
                </c:pt>
                <c:pt idx="32">
                  <c:v>160</c:v>
                </c:pt>
                <c:pt idx="33">
                  <c:v>10</c:v>
                </c:pt>
                <c:pt idx="34">
                  <c:v>466</c:v>
                </c:pt>
                <c:pt idx="35">
                  <c:v>748</c:v>
                </c:pt>
                <c:pt idx="36">
                  <c:v>882</c:v>
                </c:pt>
                <c:pt idx="37">
                  <c:v>664</c:v>
                </c:pt>
                <c:pt idx="38">
                  <c:v>800</c:v>
                </c:pt>
                <c:pt idx="39">
                  <c:v>1250</c:v>
                </c:pt>
                <c:pt idx="40">
                  <c:v>608</c:v>
                </c:pt>
                <c:pt idx="41">
                  <c:v>1192</c:v>
                </c:pt>
                <c:pt idx="42">
                  <c:v>1474</c:v>
                </c:pt>
                <c:pt idx="43">
                  <c:v>1025</c:v>
                </c:pt>
                <c:pt idx="44">
                  <c:v>181</c:v>
                </c:pt>
                <c:pt idx="45">
                  <c:v>67</c:v>
                </c:pt>
                <c:pt idx="46">
                  <c:v>1034</c:v>
                </c:pt>
                <c:pt idx="47">
                  <c:v>1102</c:v>
                </c:pt>
                <c:pt idx="48">
                  <c:v>499</c:v>
                </c:pt>
                <c:pt idx="49">
                  <c:v>558</c:v>
                </c:pt>
                <c:pt idx="50">
                  <c:v>381.29300000000001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Turk!$C$4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Turk!$D$4:$BD$4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7</c:v>
                </c:pt>
                <c:pt idx="26">
                  <c:v>6</c:v>
                </c:pt>
                <c:pt idx="27">
                  <c:v>20</c:v>
                </c:pt>
                <c:pt idx="28">
                  <c:v>5</c:v>
                </c:pt>
                <c:pt idx="29">
                  <c:v>13</c:v>
                </c:pt>
                <c:pt idx="30">
                  <c:v>8</c:v>
                </c:pt>
                <c:pt idx="31">
                  <c:v>8</c:v>
                </c:pt>
                <c:pt idx="32">
                  <c:v>8</c:v>
                </c:pt>
                <c:pt idx="33">
                  <c:v>88</c:v>
                </c:pt>
                <c:pt idx="34">
                  <c:v>36</c:v>
                </c:pt>
                <c:pt idx="35">
                  <c:v>10</c:v>
                </c:pt>
                <c:pt idx="36">
                  <c:v>3</c:v>
                </c:pt>
                <c:pt idx="37">
                  <c:v>1</c:v>
                </c:pt>
                <c:pt idx="38">
                  <c:v>5</c:v>
                </c:pt>
                <c:pt idx="39">
                  <c:v>3</c:v>
                </c:pt>
                <c:pt idx="40">
                  <c:v>7</c:v>
                </c:pt>
                <c:pt idx="41">
                  <c:v>8</c:v>
                </c:pt>
                <c:pt idx="42">
                  <c:v>9</c:v>
                </c:pt>
                <c:pt idx="43">
                  <c:v>12</c:v>
                </c:pt>
                <c:pt idx="44">
                  <c:v>9</c:v>
                </c:pt>
                <c:pt idx="45">
                  <c:v>312</c:v>
                </c:pt>
                <c:pt idx="46">
                  <c:v>11</c:v>
                </c:pt>
                <c:pt idx="47">
                  <c:v>12</c:v>
                </c:pt>
                <c:pt idx="48">
                  <c:v>66</c:v>
                </c:pt>
                <c:pt idx="49">
                  <c:v>272</c:v>
                </c:pt>
                <c:pt idx="50">
                  <c:v>13.945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Turk!$C$5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Turk!$D$5:$BD$5</c:f>
              <c:numCache>
                <c:formatCode>_(* #,##0_);_(* \(#,##0\);_(* "-"??_);_(@_)</c:formatCode>
                <c:ptCount val="53"/>
                <c:pt idx="0">
                  <c:v>760</c:v>
                </c:pt>
                <c:pt idx="1">
                  <c:v>1005</c:v>
                </c:pt>
                <c:pt idx="2">
                  <c:v>795</c:v>
                </c:pt>
                <c:pt idx="3">
                  <c:v>1020</c:v>
                </c:pt>
                <c:pt idx="4">
                  <c:v>980</c:v>
                </c:pt>
                <c:pt idx="5">
                  <c:v>837</c:v>
                </c:pt>
                <c:pt idx="6">
                  <c:v>1000</c:v>
                </c:pt>
                <c:pt idx="7">
                  <c:v>1001</c:v>
                </c:pt>
                <c:pt idx="8">
                  <c:v>1036</c:v>
                </c:pt>
                <c:pt idx="9">
                  <c:v>1040</c:v>
                </c:pt>
                <c:pt idx="10">
                  <c:v>1065</c:v>
                </c:pt>
                <c:pt idx="11">
                  <c:v>1100</c:v>
                </c:pt>
                <c:pt idx="12">
                  <c:v>1075</c:v>
                </c:pt>
                <c:pt idx="13">
                  <c:v>1045</c:v>
                </c:pt>
                <c:pt idx="14">
                  <c:v>1180</c:v>
                </c:pt>
                <c:pt idx="15">
                  <c:v>1190</c:v>
                </c:pt>
                <c:pt idx="16">
                  <c:v>1240</c:v>
                </c:pt>
                <c:pt idx="17">
                  <c:v>1265</c:v>
                </c:pt>
                <c:pt idx="18">
                  <c:v>1300</c:v>
                </c:pt>
                <c:pt idx="19">
                  <c:v>1298</c:v>
                </c:pt>
                <c:pt idx="20">
                  <c:v>1290</c:v>
                </c:pt>
                <c:pt idx="21">
                  <c:v>1301</c:v>
                </c:pt>
                <c:pt idx="22">
                  <c:v>1305</c:v>
                </c:pt>
                <c:pt idx="23">
                  <c:v>1560</c:v>
                </c:pt>
                <c:pt idx="24">
                  <c:v>1675</c:v>
                </c:pt>
                <c:pt idx="25">
                  <c:v>2043</c:v>
                </c:pt>
                <c:pt idx="26">
                  <c:v>2300</c:v>
                </c:pt>
                <c:pt idx="27">
                  <c:v>2580</c:v>
                </c:pt>
                <c:pt idx="28">
                  <c:v>2520</c:v>
                </c:pt>
                <c:pt idx="29">
                  <c:v>2685</c:v>
                </c:pt>
                <c:pt idx="30">
                  <c:v>2357</c:v>
                </c:pt>
                <c:pt idx="31">
                  <c:v>2277</c:v>
                </c:pt>
                <c:pt idx="32">
                  <c:v>2327</c:v>
                </c:pt>
                <c:pt idx="33">
                  <c:v>2322</c:v>
                </c:pt>
                <c:pt idx="34">
                  <c:v>2170</c:v>
                </c:pt>
                <c:pt idx="35">
                  <c:v>2528</c:v>
                </c:pt>
                <c:pt idx="36">
                  <c:v>2789</c:v>
                </c:pt>
                <c:pt idx="37">
                  <c:v>2839</c:v>
                </c:pt>
                <c:pt idx="38">
                  <c:v>3150</c:v>
                </c:pt>
                <c:pt idx="39">
                  <c:v>3150</c:v>
                </c:pt>
                <c:pt idx="40">
                  <c:v>2730</c:v>
                </c:pt>
                <c:pt idx="41">
                  <c:v>3100</c:v>
                </c:pt>
                <c:pt idx="42">
                  <c:v>3200</c:v>
                </c:pt>
                <c:pt idx="43">
                  <c:v>3400</c:v>
                </c:pt>
                <c:pt idx="44">
                  <c:v>3500</c:v>
                </c:pt>
                <c:pt idx="45">
                  <c:v>3500</c:v>
                </c:pt>
                <c:pt idx="46">
                  <c:v>3700</c:v>
                </c:pt>
                <c:pt idx="47">
                  <c:v>3900</c:v>
                </c:pt>
                <c:pt idx="48">
                  <c:v>4300</c:v>
                </c:pt>
                <c:pt idx="49">
                  <c:v>4300</c:v>
                </c:pt>
                <c:pt idx="50">
                  <c:v>4567.348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73528"/>
        <c:axId val="322467256"/>
      </c:lineChart>
      <c:catAx>
        <c:axId val="322473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7256"/>
        <c:crosses val="autoZero"/>
        <c:auto val="1"/>
        <c:lblAlgn val="ctr"/>
        <c:lblOffset val="100"/>
        <c:noMultiLvlLbl val="0"/>
      </c:catAx>
      <c:valAx>
        <c:axId val="3224672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352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0174830886264973"/>
          <c:y val="0.91239481428457869"/>
          <c:w val="0.84343111211020161"/>
          <c:h val="6.4036162146398401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Turk!$C$6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Turk!$D$1:$BC$1</c:f>
              <c:numCache>
                <c:formatCode>General</c:formatCode>
                <c:ptCount val="52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</c:numCache>
            </c:numRef>
          </c:cat>
          <c:val>
            <c:numRef>
              <c:f>Turk!$D$6:$BD$6</c:f>
              <c:numCache>
                <c:formatCode>_(* #,##0_);_(* \(#,##0\);_(* "-"??_);_(@_)</c:formatCode>
                <c:ptCount val="53"/>
                <c:pt idx="0">
                  <c:v>775</c:v>
                </c:pt>
                <c:pt idx="1">
                  <c:v>950</c:v>
                </c:pt>
                <c:pt idx="2">
                  <c:v>1080</c:v>
                </c:pt>
                <c:pt idx="3">
                  <c:v>1185</c:v>
                </c:pt>
                <c:pt idx="4">
                  <c:v>1495</c:v>
                </c:pt>
                <c:pt idx="5">
                  <c:v>1495</c:v>
                </c:pt>
                <c:pt idx="6">
                  <c:v>1755</c:v>
                </c:pt>
                <c:pt idx="7">
                  <c:v>1820</c:v>
                </c:pt>
                <c:pt idx="8">
                  <c:v>2000</c:v>
                </c:pt>
                <c:pt idx="9">
                  <c:v>1835</c:v>
                </c:pt>
                <c:pt idx="10">
                  <c:v>1835</c:v>
                </c:pt>
                <c:pt idx="11">
                  <c:v>2400</c:v>
                </c:pt>
                <c:pt idx="12">
                  <c:v>2495</c:v>
                </c:pt>
                <c:pt idx="13">
                  <c:v>2355</c:v>
                </c:pt>
                <c:pt idx="14">
                  <c:v>2755</c:v>
                </c:pt>
                <c:pt idx="15">
                  <c:v>2205</c:v>
                </c:pt>
                <c:pt idx="16">
                  <c:v>2185</c:v>
                </c:pt>
                <c:pt idx="17">
                  <c:v>2640</c:v>
                </c:pt>
                <c:pt idx="18">
                  <c:v>2182</c:v>
                </c:pt>
                <c:pt idx="19">
                  <c:v>2186</c:v>
                </c:pt>
                <c:pt idx="20">
                  <c:v>2296</c:v>
                </c:pt>
                <c:pt idx="21">
                  <c:v>2241</c:v>
                </c:pt>
                <c:pt idx="22">
                  <c:v>2246</c:v>
                </c:pt>
                <c:pt idx="23">
                  <c:v>2398</c:v>
                </c:pt>
                <c:pt idx="24">
                  <c:v>2664</c:v>
                </c:pt>
                <c:pt idx="25">
                  <c:v>2379</c:v>
                </c:pt>
                <c:pt idx="26">
                  <c:v>2380</c:v>
                </c:pt>
                <c:pt idx="27">
                  <c:v>2465</c:v>
                </c:pt>
                <c:pt idx="28">
                  <c:v>2985</c:v>
                </c:pt>
                <c:pt idx="29">
                  <c:v>2835</c:v>
                </c:pt>
                <c:pt idx="30">
                  <c:v>3007</c:v>
                </c:pt>
                <c:pt idx="31">
                  <c:v>2578</c:v>
                </c:pt>
                <c:pt idx="32">
                  <c:v>2635</c:v>
                </c:pt>
                <c:pt idx="33">
                  <c:v>2766</c:v>
                </c:pt>
                <c:pt idx="34">
                  <c:v>2886</c:v>
                </c:pt>
                <c:pt idx="35">
                  <c:v>3911</c:v>
                </c:pt>
                <c:pt idx="36">
                  <c:v>3600</c:v>
                </c:pt>
                <c:pt idx="37">
                  <c:v>3651</c:v>
                </c:pt>
                <c:pt idx="38">
                  <c:v>3860</c:v>
                </c:pt>
                <c:pt idx="39">
                  <c:v>3634</c:v>
                </c:pt>
                <c:pt idx="40">
                  <c:v>3600</c:v>
                </c:pt>
                <c:pt idx="41">
                  <c:v>3975</c:v>
                </c:pt>
                <c:pt idx="42">
                  <c:v>4179</c:v>
                </c:pt>
                <c:pt idx="43">
                  <c:v>4100</c:v>
                </c:pt>
                <c:pt idx="44">
                  <c:v>4150</c:v>
                </c:pt>
                <c:pt idx="45">
                  <c:v>3550</c:v>
                </c:pt>
                <c:pt idx="46">
                  <c:v>3800</c:v>
                </c:pt>
                <c:pt idx="47">
                  <c:v>3100</c:v>
                </c:pt>
                <c:pt idx="48">
                  <c:v>1930</c:v>
                </c:pt>
                <c:pt idx="49">
                  <c:v>1750</c:v>
                </c:pt>
                <c:pt idx="50">
                  <c:v>954.6</c:v>
                </c:pt>
                <c:pt idx="51">
                  <c:v>858.4</c:v>
                </c:pt>
                <c:pt idx="52">
                  <c:v>832.5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Turk!$C$7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Turk!$D$1:$BC$1</c:f>
              <c:numCache>
                <c:formatCode>General</c:formatCode>
                <c:ptCount val="52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</c:numCache>
            </c:numRef>
          </c:cat>
          <c:val>
            <c:numRef>
              <c:f>Turk!$D$7:$BD$7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51</c:v>
                </c:pt>
                <c:pt idx="26">
                  <c:v>427</c:v>
                </c:pt>
                <c:pt idx="27">
                  <c:v>300</c:v>
                </c:pt>
                <c:pt idx="28">
                  <c:v>202</c:v>
                </c:pt>
                <c:pt idx="29">
                  <c:v>352</c:v>
                </c:pt>
                <c:pt idx="30">
                  <c:v>209</c:v>
                </c:pt>
                <c:pt idx="31">
                  <c:v>420</c:v>
                </c:pt>
                <c:pt idx="32">
                  <c:v>1070</c:v>
                </c:pt>
                <c:pt idx="33">
                  <c:v>545</c:v>
                </c:pt>
                <c:pt idx="34">
                  <c:v>1083</c:v>
                </c:pt>
                <c:pt idx="35">
                  <c:v>519</c:v>
                </c:pt>
                <c:pt idx="36">
                  <c:v>1355</c:v>
                </c:pt>
                <c:pt idx="37">
                  <c:v>1450</c:v>
                </c:pt>
                <c:pt idx="38">
                  <c:v>1139</c:v>
                </c:pt>
                <c:pt idx="39">
                  <c:v>2411</c:v>
                </c:pt>
                <c:pt idx="40">
                  <c:v>1758</c:v>
                </c:pt>
                <c:pt idx="41">
                  <c:v>2977</c:v>
                </c:pt>
                <c:pt idx="42">
                  <c:v>2265</c:v>
                </c:pt>
                <c:pt idx="43">
                  <c:v>2370</c:v>
                </c:pt>
                <c:pt idx="44">
                  <c:v>3414</c:v>
                </c:pt>
                <c:pt idx="45">
                  <c:v>3501</c:v>
                </c:pt>
                <c:pt idx="46">
                  <c:v>4029</c:v>
                </c:pt>
                <c:pt idx="47">
                  <c:v>3267</c:v>
                </c:pt>
                <c:pt idx="48">
                  <c:v>2919</c:v>
                </c:pt>
                <c:pt idx="49">
                  <c:v>4394</c:v>
                </c:pt>
                <c:pt idx="50">
                  <c:v>603.95000000000005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Turk!$C$8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Turk!$D$1:$BC$1</c:f>
              <c:numCache>
                <c:formatCode>General</c:formatCode>
                <c:ptCount val="52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</c:numCache>
            </c:numRef>
          </c:cat>
          <c:val>
            <c:numRef>
              <c:f>Turk!$D$8:$BD$8</c:f>
              <c:numCache>
                <c:formatCode>_(* #,##0_);_(* \(#,##0\);_(* "-"??_);_(@_)</c:formatCode>
                <c:ptCount val="53"/>
                <c:pt idx="0">
                  <c:v>286</c:v>
                </c:pt>
                <c:pt idx="1">
                  <c:v>458</c:v>
                </c:pt>
                <c:pt idx="2">
                  <c:v>568</c:v>
                </c:pt>
                <c:pt idx="3">
                  <c:v>611</c:v>
                </c:pt>
                <c:pt idx="4">
                  <c:v>805</c:v>
                </c:pt>
                <c:pt idx="5">
                  <c:v>959</c:v>
                </c:pt>
                <c:pt idx="6">
                  <c:v>1093</c:v>
                </c:pt>
                <c:pt idx="7">
                  <c:v>1083</c:v>
                </c:pt>
                <c:pt idx="8">
                  <c:v>993</c:v>
                </c:pt>
                <c:pt idx="9">
                  <c:v>1186</c:v>
                </c:pt>
                <c:pt idx="10">
                  <c:v>1124</c:v>
                </c:pt>
                <c:pt idx="11">
                  <c:v>1539</c:v>
                </c:pt>
                <c:pt idx="12">
                  <c:v>1489</c:v>
                </c:pt>
                <c:pt idx="13">
                  <c:v>1000</c:v>
                </c:pt>
                <c:pt idx="14">
                  <c:v>583</c:v>
                </c:pt>
                <c:pt idx="15">
                  <c:v>2163</c:v>
                </c:pt>
                <c:pt idx="16">
                  <c:v>580</c:v>
                </c:pt>
                <c:pt idx="17">
                  <c:v>1218</c:v>
                </c:pt>
                <c:pt idx="18">
                  <c:v>962</c:v>
                </c:pt>
                <c:pt idx="19">
                  <c:v>617</c:v>
                </c:pt>
                <c:pt idx="20">
                  <c:v>1028</c:v>
                </c:pt>
                <c:pt idx="21">
                  <c:v>956</c:v>
                </c:pt>
                <c:pt idx="22">
                  <c:v>654</c:v>
                </c:pt>
                <c:pt idx="23">
                  <c:v>499</c:v>
                </c:pt>
                <c:pt idx="24">
                  <c:v>684</c:v>
                </c:pt>
                <c:pt idx="25">
                  <c:v>322</c:v>
                </c:pt>
                <c:pt idx="26">
                  <c:v>510</c:v>
                </c:pt>
                <c:pt idx="27">
                  <c:v>197</c:v>
                </c:pt>
                <c:pt idx="28">
                  <c:v>666</c:v>
                </c:pt>
                <c:pt idx="29">
                  <c:v>205</c:v>
                </c:pt>
                <c:pt idx="30">
                  <c:v>753</c:v>
                </c:pt>
                <c:pt idx="31">
                  <c:v>289</c:v>
                </c:pt>
                <c:pt idx="32">
                  <c:v>269</c:v>
                </c:pt>
                <c:pt idx="33">
                  <c:v>500</c:v>
                </c:pt>
                <c:pt idx="34">
                  <c:v>9</c:v>
                </c:pt>
                <c:pt idx="35">
                  <c:v>266</c:v>
                </c:pt>
                <c:pt idx="36">
                  <c:v>207</c:v>
                </c:pt>
                <c:pt idx="37">
                  <c:v>100</c:v>
                </c:pt>
                <c:pt idx="38">
                  <c:v>394</c:v>
                </c:pt>
                <c:pt idx="39">
                  <c:v>207</c:v>
                </c:pt>
                <c:pt idx="40">
                  <c:v>127</c:v>
                </c:pt>
                <c:pt idx="41">
                  <c:v>133</c:v>
                </c:pt>
                <c:pt idx="42">
                  <c:v>313</c:v>
                </c:pt>
                <c:pt idx="43">
                  <c:v>357</c:v>
                </c:pt>
                <c:pt idx="44">
                  <c:v>152</c:v>
                </c:pt>
                <c:pt idx="45">
                  <c:v>216</c:v>
                </c:pt>
                <c:pt idx="46">
                  <c:v>303</c:v>
                </c:pt>
                <c:pt idx="47">
                  <c:v>370</c:v>
                </c:pt>
                <c:pt idx="48">
                  <c:v>136</c:v>
                </c:pt>
                <c:pt idx="49">
                  <c:v>150</c:v>
                </c:pt>
                <c:pt idx="50">
                  <c:v>52.652999999999999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Turk!$C$9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Turk!$D$1:$BC$1</c:f>
              <c:numCache>
                <c:formatCode>General</c:formatCode>
                <c:ptCount val="52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</c:numCache>
            </c:numRef>
          </c:cat>
          <c:val>
            <c:numRef>
              <c:f>Turk!$D$9:$BD$9</c:f>
              <c:numCache>
                <c:formatCode>_(* #,##0_);_(* \(#,##0\);_(* "-"??_);_(@_)</c:formatCode>
                <c:ptCount val="53"/>
                <c:pt idx="0">
                  <c:v>494</c:v>
                </c:pt>
                <c:pt idx="1">
                  <c:v>492</c:v>
                </c:pt>
                <c:pt idx="2">
                  <c:v>496</c:v>
                </c:pt>
                <c:pt idx="3">
                  <c:v>539</c:v>
                </c:pt>
                <c:pt idx="4">
                  <c:v>584</c:v>
                </c:pt>
                <c:pt idx="5">
                  <c:v>629</c:v>
                </c:pt>
                <c:pt idx="6">
                  <c:v>674</c:v>
                </c:pt>
                <c:pt idx="7">
                  <c:v>719</c:v>
                </c:pt>
                <c:pt idx="8">
                  <c:v>774</c:v>
                </c:pt>
                <c:pt idx="9">
                  <c:v>794</c:v>
                </c:pt>
                <c:pt idx="10">
                  <c:v>819</c:v>
                </c:pt>
                <c:pt idx="11">
                  <c:v>839</c:v>
                </c:pt>
                <c:pt idx="12">
                  <c:v>949</c:v>
                </c:pt>
                <c:pt idx="13">
                  <c:v>1044</c:v>
                </c:pt>
                <c:pt idx="14">
                  <c:v>1137</c:v>
                </c:pt>
                <c:pt idx="15">
                  <c:v>1376</c:v>
                </c:pt>
                <c:pt idx="16">
                  <c:v>1510</c:v>
                </c:pt>
                <c:pt idx="17">
                  <c:v>1286</c:v>
                </c:pt>
                <c:pt idx="18">
                  <c:v>1440</c:v>
                </c:pt>
                <c:pt idx="19">
                  <c:v>1222</c:v>
                </c:pt>
                <c:pt idx="20">
                  <c:v>1406</c:v>
                </c:pt>
                <c:pt idx="21">
                  <c:v>1451</c:v>
                </c:pt>
                <c:pt idx="22">
                  <c:v>1649</c:v>
                </c:pt>
                <c:pt idx="23">
                  <c:v>1775</c:v>
                </c:pt>
                <c:pt idx="24">
                  <c:v>1906</c:v>
                </c:pt>
                <c:pt idx="25">
                  <c:v>2095</c:v>
                </c:pt>
                <c:pt idx="26">
                  <c:v>2251</c:v>
                </c:pt>
                <c:pt idx="27">
                  <c:v>2618</c:v>
                </c:pt>
                <c:pt idx="28">
                  <c:v>2664</c:v>
                </c:pt>
                <c:pt idx="29">
                  <c:v>2756</c:v>
                </c:pt>
                <c:pt idx="30">
                  <c:v>2514</c:v>
                </c:pt>
                <c:pt idx="31">
                  <c:v>2641</c:v>
                </c:pt>
                <c:pt idx="32">
                  <c:v>2875</c:v>
                </c:pt>
                <c:pt idx="33">
                  <c:v>3215</c:v>
                </c:pt>
                <c:pt idx="34">
                  <c:v>3904</c:v>
                </c:pt>
                <c:pt idx="35">
                  <c:v>4363</c:v>
                </c:pt>
                <c:pt idx="36">
                  <c:v>4735</c:v>
                </c:pt>
                <c:pt idx="37">
                  <c:v>5000</c:v>
                </c:pt>
                <c:pt idx="38">
                  <c:v>4600</c:v>
                </c:pt>
                <c:pt idx="39">
                  <c:v>5600</c:v>
                </c:pt>
                <c:pt idx="40">
                  <c:v>5167</c:v>
                </c:pt>
                <c:pt idx="41">
                  <c:v>6150</c:v>
                </c:pt>
                <c:pt idx="42">
                  <c:v>6300</c:v>
                </c:pt>
                <c:pt idx="43">
                  <c:v>6000</c:v>
                </c:pt>
                <c:pt idx="44">
                  <c:v>7100</c:v>
                </c:pt>
                <c:pt idx="45">
                  <c:v>6900</c:v>
                </c:pt>
                <c:pt idx="46">
                  <c:v>7204</c:v>
                </c:pt>
                <c:pt idx="47">
                  <c:v>6090</c:v>
                </c:pt>
                <c:pt idx="48">
                  <c:v>5013</c:v>
                </c:pt>
                <c:pt idx="49">
                  <c:v>5720</c:v>
                </c:pt>
                <c:pt idx="50">
                  <c:v>1505.8970000000002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61768"/>
        <c:axId val="322463336"/>
      </c:lineChart>
      <c:catAx>
        <c:axId val="3224617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3336"/>
        <c:crosses val="autoZero"/>
        <c:auto val="1"/>
        <c:lblAlgn val="ctr"/>
        <c:lblOffset val="100"/>
        <c:noMultiLvlLbl val="0"/>
      </c:catAx>
      <c:valAx>
        <c:axId val="3224633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6176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92222095877489"/>
          <c:h val="0.1078069407990667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Turk!$C$10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Turk!$D$10:$BD$10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5</c:v>
                </c:pt>
                <c:pt idx="5">
                  <c:v>5</c:v>
                </c:pt>
                <c:pt idx="6">
                  <c:v>5</c:v>
                </c:pt>
                <c:pt idx="7">
                  <c:v>6</c:v>
                </c:pt>
                <c:pt idx="8">
                  <c:v>8</c:v>
                </c:pt>
                <c:pt idx="9">
                  <c:v>11</c:v>
                </c:pt>
                <c:pt idx="10">
                  <c:v>12</c:v>
                </c:pt>
                <c:pt idx="11">
                  <c:v>11</c:v>
                </c:pt>
                <c:pt idx="12">
                  <c:v>13</c:v>
                </c:pt>
                <c:pt idx="13">
                  <c:v>7</c:v>
                </c:pt>
                <c:pt idx="14">
                  <c:v>9</c:v>
                </c:pt>
                <c:pt idx="15">
                  <c:v>7</c:v>
                </c:pt>
                <c:pt idx="16">
                  <c:v>8</c:v>
                </c:pt>
                <c:pt idx="17">
                  <c:v>6</c:v>
                </c:pt>
                <c:pt idx="18">
                  <c:v>3</c:v>
                </c:pt>
                <c:pt idx="19">
                  <c:v>3</c:v>
                </c:pt>
                <c:pt idx="20">
                  <c:v>2</c:v>
                </c:pt>
                <c:pt idx="21">
                  <c:v>15</c:v>
                </c:pt>
                <c:pt idx="22">
                  <c:v>36</c:v>
                </c:pt>
                <c:pt idx="23">
                  <c:v>46</c:v>
                </c:pt>
                <c:pt idx="24">
                  <c:v>60</c:v>
                </c:pt>
                <c:pt idx="25">
                  <c:v>75</c:v>
                </c:pt>
                <c:pt idx="26">
                  <c:v>120</c:v>
                </c:pt>
                <c:pt idx="27">
                  <c:v>120</c:v>
                </c:pt>
                <c:pt idx="28">
                  <c:v>70</c:v>
                </c:pt>
                <c:pt idx="29">
                  <c:v>120</c:v>
                </c:pt>
                <c:pt idx="30">
                  <c:v>120</c:v>
                </c:pt>
                <c:pt idx="31">
                  <c:v>90</c:v>
                </c:pt>
                <c:pt idx="32">
                  <c:v>90</c:v>
                </c:pt>
                <c:pt idx="33">
                  <c:v>70</c:v>
                </c:pt>
                <c:pt idx="34">
                  <c:v>90</c:v>
                </c:pt>
                <c:pt idx="35">
                  <c:v>75</c:v>
                </c:pt>
                <c:pt idx="36">
                  <c:v>65</c:v>
                </c:pt>
                <c:pt idx="37">
                  <c:v>40</c:v>
                </c:pt>
                <c:pt idx="38">
                  <c:v>60</c:v>
                </c:pt>
                <c:pt idx="39">
                  <c:v>60</c:v>
                </c:pt>
                <c:pt idx="40">
                  <c:v>40</c:v>
                </c:pt>
                <c:pt idx="41">
                  <c:v>45</c:v>
                </c:pt>
                <c:pt idx="42">
                  <c:v>95</c:v>
                </c:pt>
                <c:pt idx="43">
                  <c:v>45</c:v>
                </c:pt>
                <c:pt idx="44">
                  <c:v>25</c:v>
                </c:pt>
                <c:pt idx="45">
                  <c:v>25</c:v>
                </c:pt>
                <c:pt idx="46">
                  <c:v>25</c:v>
                </c:pt>
                <c:pt idx="47">
                  <c:v>25</c:v>
                </c:pt>
                <c:pt idx="48">
                  <c:v>30</c:v>
                </c:pt>
                <c:pt idx="49">
                  <c:v>40</c:v>
                </c:pt>
                <c:pt idx="50">
                  <c:v>102.26</c:v>
                </c:pt>
                <c:pt idx="51">
                  <c:v>115</c:v>
                </c:pt>
                <c:pt idx="52">
                  <c:v>180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Turk!$C$11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Turk!$D$11:$BD$11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4</c:v>
                </c:pt>
                <c:pt idx="21">
                  <c:v>0</c:v>
                </c:pt>
                <c:pt idx="22">
                  <c:v>2</c:v>
                </c:pt>
                <c:pt idx="23">
                  <c:v>3</c:v>
                </c:pt>
                <c:pt idx="24">
                  <c:v>82</c:v>
                </c:pt>
                <c:pt idx="25">
                  <c:v>30</c:v>
                </c:pt>
                <c:pt idx="26">
                  <c:v>0</c:v>
                </c:pt>
                <c:pt idx="27">
                  <c:v>0</c:v>
                </c:pt>
                <c:pt idx="28">
                  <c:v>20</c:v>
                </c:pt>
                <c:pt idx="29">
                  <c:v>0</c:v>
                </c:pt>
                <c:pt idx="30">
                  <c:v>2</c:v>
                </c:pt>
                <c:pt idx="31">
                  <c:v>17</c:v>
                </c:pt>
                <c:pt idx="32">
                  <c:v>64</c:v>
                </c:pt>
                <c:pt idx="33">
                  <c:v>63</c:v>
                </c:pt>
                <c:pt idx="34">
                  <c:v>170</c:v>
                </c:pt>
                <c:pt idx="35">
                  <c:v>180</c:v>
                </c:pt>
                <c:pt idx="36">
                  <c:v>225</c:v>
                </c:pt>
                <c:pt idx="37">
                  <c:v>278</c:v>
                </c:pt>
                <c:pt idx="38">
                  <c:v>335</c:v>
                </c:pt>
                <c:pt idx="39">
                  <c:v>313</c:v>
                </c:pt>
                <c:pt idx="40">
                  <c:v>358</c:v>
                </c:pt>
                <c:pt idx="41">
                  <c:v>558</c:v>
                </c:pt>
                <c:pt idx="42">
                  <c:v>772</c:v>
                </c:pt>
                <c:pt idx="43">
                  <c:v>603</c:v>
                </c:pt>
                <c:pt idx="44">
                  <c:v>858</c:v>
                </c:pt>
                <c:pt idx="45">
                  <c:v>1078</c:v>
                </c:pt>
                <c:pt idx="46">
                  <c:v>1268</c:v>
                </c:pt>
                <c:pt idx="47">
                  <c:v>1277</c:v>
                </c:pt>
                <c:pt idx="48">
                  <c:v>1007</c:v>
                </c:pt>
                <c:pt idx="49">
                  <c:v>1860</c:v>
                </c:pt>
                <c:pt idx="50">
                  <c:v>1297.77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Turk!$C$12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Turk!$D$12:$BD$12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2E-3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Turk!$C$13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Turk!$D$13:$BD$13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4</c:v>
                </c:pt>
                <c:pt idx="5">
                  <c:v>5</c:v>
                </c:pt>
                <c:pt idx="6">
                  <c:v>5</c:v>
                </c:pt>
                <c:pt idx="7">
                  <c:v>6</c:v>
                </c:pt>
                <c:pt idx="8">
                  <c:v>8</c:v>
                </c:pt>
                <c:pt idx="9">
                  <c:v>11</c:v>
                </c:pt>
                <c:pt idx="10">
                  <c:v>12</c:v>
                </c:pt>
                <c:pt idx="11">
                  <c:v>11</c:v>
                </c:pt>
                <c:pt idx="12">
                  <c:v>13</c:v>
                </c:pt>
                <c:pt idx="13">
                  <c:v>7</c:v>
                </c:pt>
                <c:pt idx="14">
                  <c:v>9</c:v>
                </c:pt>
                <c:pt idx="15">
                  <c:v>7</c:v>
                </c:pt>
                <c:pt idx="16">
                  <c:v>8</c:v>
                </c:pt>
                <c:pt idx="17">
                  <c:v>6</c:v>
                </c:pt>
                <c:pt idx="18">
                  <c:v>3</c:v>
                </c:pt>
                <c:pt idx="19">
                  <c:v>3</c:v>
                </c:pt>
                <c:pt idx="20">
                  <c:v>2</c:v>
                </c:pt>
                <c:pt idx="21">
                  <c:v>17</c:v>
                </c:pt>
                <c:pt idx="22">
                  <c:v>38</c:v>
                </c:pt>
                <c:pt idx="23">
                  <c:v>49</c:v>
                </c:pt>
                <c:pt idx="24">
                  <c:v>141</c:v>
                </c:pt>
                <c:pt idx="25">
                  <c:v>103</c:v>
                </c:pt>
                <c:pt idx="26">
                  <c:v>122</c:v>
                </c:pt>
                <c:pt idx="27">
                  <c:v>121</c:v>
                </c:pt>
                <c:pt idx="28">
                  <c:v>90</c:v>
                </c:pt>
                <c:pt idx="29">
                  <c:v>119</c:v>
                </c:pt>
                <c:pt idx="30">
                  <c:v>120</c:v>
                </c:pt>
                <c:pt idx="31">
                  <c:v>107</c:v>
                </c:pt>
                <c:pt idx="32">
                  <c:v>154</c:v>
                </c:pt>
                <c:pt idx="33">
                  <c:v>133</c:v>
                </c:pt>
                <c:pt idx="34">
                  <c:v>245</c:v>
                </c:pt>
                <c:pt idx="35">
                  <c:v>255</c:v>
                </c:pt>
                <c:pt idx="36">
                  <c:v>285</c:v>
                </c:pt>
                <c:pt idx="37">
                  <c:v>323</c:v>
                </c:pt>
                <c:pt idx="38">
                  <c:v>385</c:v>
                </c:pt>
                <c:pt idx="39">
                  <c:v>363</c:v>
                </c:pt>
                <c:pt idx="40">
                  <c:v>388</c:v>
                </c:pt>
                <c:pt idx="41">
                  <c:v>603</c:v>
                </c:pt>
                <c:pt idx="42">
                  <c:v>790</c:v>
                </c:pt>
                <c:pt idx="43">
                  <c:v>686</c:v>
                </c:pt>
                <c:pt idx="44">
                  <c:v>831</c:v>
                </c:pt>
                <c:pt idx="45">
                  <c:v>1089</c:v>
                </c:pt>
                <c:pt idx="46">
                  <c:v>1276</c:v>
                </c:pt>
                <c:pt idx="47">
                  <c:v>1268</c:v>
                </c:pt>
                <c:pt idx="48">
                  <c:v>1106</c:v>
                </c:pt>
                <c:pt idx="49">
                  <c:v>1419</c:v>
                </c:pt>
                <c:pt idx="50">
                  <c:v>1400.028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75488"/>
        <c:axId val="322475096"/>
      </c:lineChart>
      <c:catAx>
        <c:axId val="322475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5096"/>
        <c:crosses val="autoZero"/>
        <c:auto val="1"/>
        <c:lblAlgn val="ctr"/>
        <c:lblOffset val="100"/>
        <c:noMultiLvlLbl val="0"/>
      </c:catAx>
      <c:valAx>
        <c:axId val="3224750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548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10929055664615035"/>
          <c:h val="0.107807002848048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Turk!$C$14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Turk!$D$14:$BD$14</c:f>
              <c:numCache>
                <c:formatCode>_(* #,##0_);_(* \(#,##0\);_(* "-"??_);_(@_)</c:formatCode>
                <c:ptCount val="53"/>
                <c:pt idx="0">
                  <c:v>110</c:v>
                </c:pt>
                <c:pt idx="1">
                  <c:v>140</c:v>
                </c:pt>
                <c:pt idx="2">
                  <c:v>165</c:v>
                </c:pt>
                <c:pt idx="3">
                  <c:v>130</c:v>
                </c:pt>
                <c:pt idx="4">
                  <c:v>100</c:v>
                </c:pt>
                <c:pt idx="5">
                  <c:v>130</c:v>
                </c:pt>
                <c:pt idx="6">
                  <c:v>150</c:v>
                </c:pt>
                <c:pt idx="7">
                  <c:v>140</c:v>
                </c:pt>
                <c:pt idx="8">
                  <c:v>123</c:v>
                </c:pt>
                <c:pt idx="9">
                  <c:v>130</c:v>
                </c:pt>
                <c:pt idx="10">
                  <c:v>160</c:v>
                </c:pt>
                <c:pt idx="11">
                  <c:v>175</c:v>
                </c:pt>
                <c:pt idx="12">
                  <c:v>122</c:v>
                </c:pt>
                <c:pt idx="13">
                  <c:v>159</c:v>
                </c:pt>
                <c:pt idx="14">
                  <c:v>150</c:v>
                </c:pt>
                <c:pt idx="15">
                  <c:v>150</c:v>
                </c:pt>
                <c:pt idx="16">
                  <c:v>158</c:v>
                </c:pt>
                <c:pt idx="17">
                  <c:v>165</c:v>
                </c:pt>
                <c:pt idx="18">
                  <c:v>190</c:v>
                </c:pt>
                <c:pt idx="19">
                  <c:v>225</c:v>
                </c:pt>
                <c:pt idx="20">
                  <c:v>170</c:v>
                </c:pt>
                <c:pt idx="21">
                  <c:v>198</c:v>
                </c:pt>
                <c:pt idx="22">
                  <c:v>210</c:v>
                </c:pt>
                <c:pt idx="23">
                  <c:v>189</c:v>
                </c:pt>
                <c:pt idx="24">
                  <c:v>168</c:v>
                </c:pt>
                <c:pt idx="25">
                  <c:v>162</c:v>
                </c:pt>
                <c:pt idx="26">
                  <c:v>165</c:v>
                </c:pt>
                <c:pt idx="27">
                  <c:v>160</c:v>
                </c:pt>
                <c:pt idx="28">
                  <c:v>165</c:v>
                </c:pt>
                <c:pt idx="29">
                  <c:v>150</c:v>
                </c:pt>
                <c:pt idx="30">
                  <c:v>160</c:v>
                </c:pt>
                <c:pt idx="31">
                  <c:v>100</c:v>
                </c:pt>
                <c:pt idx="32">
                  <c:v>145</c:v>
                </c:pt>
                <c:pt idx="33">
                  <c:v>146</c:v>
                </c:pt>
                <c:pt idx="34">
                  <c:v>150</c:v>
                </c:pt>
                <c:pt idx="35">
                  <c:v>225</c:v>
                </c:pt>
                <c:pt idx="36">
                  <c:v>260</c:v>
                </c:pt>
                <c:pt idx="37">
                  <c:v>225</c:v>
                </c:pt>
                <c:pt idx="38">
                  <c:v>190</c:v>
                </c:pt>
                <c:pt idx="39">
                  <c:v>220</c:v>
                </c:pt>
                <c:pt idx="40">
                  <c:v>230</c:v>
                </c:pt>
                <c:pt idx="41">
                  <c:v>234</c:v>
                </c:pt>
                <c:pt idx="42">
                  <c:v>234</c:v>
                </c:pt>
                <c:pt idx="43">
                  <c:v>270</c:v>
                </c:pt>
                <c:pt idx="44">
                  <c:v>300</c:v>
                </c:pt>
                <c:pt idx="45">
                  <c:v>360</c:v>
                </c:pt>
                <c:pt idx="46">
                  <c:v>405</c:v>
                </c:pt>
                <c:pt idx="47">
                  <c:v>360</c:v>
                </c:pt>
                <c:pt idx="48">
                  <c:v>420</c:v>
                </c:pt>
                <c:pt idx="49">
                  <c:v>400</c:v>
                </c:pt>
                <c:pt idx="50">
                  <c:v>900</c:v>
                </c:pt>
                <c:pt idx="51">
                  <c:v>880</c:v>
                </c:pt>
                <c:pt idx="52">
                  <c:v>900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Turk!$C$15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Turk!$D$15:$BD$15</c:f>
              <c:numCache>
                <c:formatCode>_(* #,##0_);_(* \(#,##0\);_(* "-"??_);_(@_)</c:formatCode>
                <c:ptCount val="53"/>
                <c:pt idx="0">
                  <c:v>10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9</c:v>
                </c:pt>
                <c:pt idx="6">
                  <c:v>0</c:v>
                </c:pt>
                <c:pt idx="7">
                  <c:v>0</c:v>
                </c:pt>
                <c:pt idx="8">
                  <c:v>13</c:v>
                </c:pt>
                <c:pt idx="9">
                  <c:v>16</c:v>
                </c:pt>
                <c:pt idx="10">
                  <c:v>5</c:v>
                </c:pt>
                <c:pt idx="11">
                  <c:v>0</c:v>
                </c:pt>
                <c:pt idx="12">
                  <c:v>31</c:v>
                </c:pt>
                <c:pt idx="13">
                  <c:v>57</c:v>
                </c:pt>
                <c:pt idx="14">
                  <c:v>67</c:v>
                </c:pt>
                <c:pt idx="15">
                  <c:v>30</c:v>
                </c:pt>
                <c:pt idx="16">
                  <c:v>10</c:v>
                </c:pt>
                <c:pt idx="17">
                  <c:v>24</c:v>
                </c:pt>
                <c:pt idx="18">
                  <c:v>50</c:v>
                </c:pt>
                <c:pt idx="19">
                  <c:v>10</c:v>
                </c:pt>
                <c:pt idx="20">
                  <c:v>32</c:v>
                </c:pt>
                <c:pt idx="21">
                  <c:v>16</c:v>
                </c:pt>
                <c:pt idx="22">
                  <c:v>30</c:v>
                </c:pt>
                <c:pt idx="23">
                  <c:v>58</c:v>
                </c:pt>
                <c:pt idx="24">
                  <c:v>90</c:v>
                </c:pt>
                <c:pt idx="25">
                  <c:v>92</c:v>
                </c:pt>
                <c:pt idx="26">
                  <c:v>157</c:v>
                </c:pt>
                <c:pt idx="27">
                  <c:v>113</c:v>
                </c:pt>
                <c:pt idx="28">
                  <c:v>220</c:v>
                </c:pt>
                <c:pt idx="29">
                  <c:v>210</c:v>
                </c:pt>
                <c:pt idx="30">
                  <c:v>161</c:v>
                </c:pt>
                <c:pt idx="31">
                  <c:v>300</c:v>
                </c:pt>
                <c:pt idx="32">
                  <c:v>320</c:v>
                </c:pt>
                <c:pt idx="33">
                  <c:v>280</c:v>
                </c:pt>
                <c:pt idx="34">
                  <c:v>415</c:v>
                </c:pt>
                <c:pt idx="35">
                  <c:v>350</c:v>
                </c:pt>
                <c:pt idx="36">
                  <c:v>264</c:v>
                </c:pt>
                <c:pt idx="37">
                  <c:v>275</c:v>
                </c:pt>
                <c:pt idx="38">
                  <c:v>325</c:v>
                </c:pt>
                <c:pt idx="39">
                  <c:v>327</c:v>
                </c:pt>
                <c:pt idx="40">
                  <c:v>243</c:v>
                </c:pt>
                <c:pt idx="41">
                  <c:v>300</c:v>
                </c:pt>
                <c:pt idx="42">
                  <c:v>325</c:v>
                </c:pt>
                <c:pt idx="43">
                  <c:v>155</c:v>
                </c:pt>
                <c:pt idx="44">
                  <c:v>296</c:v>
                </c:pt>
                <c:pt idx="45">
                  <c:v>237</c:v>
                </c:pt>
                <c:pt idx="46">
                  <c:v>169</c:v>
                </c:pt>
                <c:pt idx="47">
                  <c:v>261</c:v>
                </c:pt>
                <c:pt idx="48">
                  <c:v>209</c:v>
                </c:pt>
                <c:pt idx="49">
                  <c:v>520</c:v>
                </c:pt>
                <c:pt idx="50">
                  <c:v>249.43899999999999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Turk!$C$16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Turk!$D$16:$BD$16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2</c:v>
                </c:pt>
                <c:pt idx="4">
                  <c:v>0</c:v>
                </c:pt>
                <c:pt idx="5">
                  <c:v>0</c:v>
                </c:pt>
                <c:pt idx="6">
                  <c:v>2</c:v>
                </c:pt>
                <c:pt idx="7">
                  <c:v>2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2</c:v>
                </c:pt>
                <c:pt idx="27">
                  <c:v>0</c:v>
                </c:pt>
                <c:pt idx="28">
                  <c:v>63</c:v>
                </c:pt>
                <c:pt idx="29">
                  <c:v>0</c:v>
                </c:pt>
                <c:pt idx="30">
                  <c:v>3</c:v>
                </c:pt>
                <c:pt idx="31">
                  <c:v>5</c:v>
                </c:pt>
                <c:pt idx="32">
                  <c:v>2</c:v>
                </c:pt>
                <c:pt idx="33">
                  <c:v>5</c:v>
                </c:pt>
                <c:pt idx="34">
                  <c:v>7</c:v>
                </c:pt>
                <c:pt idx="35">
                  <c:v>2</c:v>
                </c:pt>
                <c:pt idx="36">
                  <c:v>10</c:v>
                </c:pt>
                <c:pt idx="37">
                  <c:v>6</c:v>
                </c:pt>
                <c:pt idx="38">
                  <c:v>1</c:v>
                </c:pt>
                <c:pt idx="39">
                  <c:v>0</c:v>
                </c:pt>
                <c:pt idx="40">
                  <c:v>6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4</c:v>
                </c:pt>
                <c:pt idx="47">
                  <c:v>3</c:v>
                </c:pt>
                <c:pt idx="48">
                  <c:v>25</c:v>
                </c:pt>
                <c:pt idx="49">
                  <c:v>26</c:v>
                </c:pt>
                <c:pt idx="50">
                  <c:v>21.248000000000001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Turk!$C$17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Turk!$D$17:$BD$17</c:f>
              <c:numCache>
                <c:formatCode>_(* #,##0_);_(* \(#,##0\);_(* "-"??_);_(@_)</c:formatCode>
                <c:ptCount val="53"/>
                <c:pt idx="0">
                  <c:v>130</c:v>
                </c:pt>
                <c:pt idx="1">
                  <c:v>130</c:v>
                </c:pt>
                <c:pt idx="2">
                  <c:v>165</c:v>
                </c:pt>
                <c:pt idx="3">
                  <c:v>128</c:v>
                </c:pt>
                <c:pt idx="4">
                  <c:v>102</c:v>
                </c:pt>
                <c:pt idx="5">
                  <c:v>143</c:v>
                </c:pt>
                <c:pt idx="6">
                  <c:v>139</c:v>
                </c:pt>
                <c:pt idx="7">
                  <c:v>140</c:v>
                </c:pt>
                <c:pt idx="8">
                  <c:v>137</c:v>
                </c:pt>
                <c:pt idx="9">
                  <c:v>136</c:v>
                </c:pt>
                <c:pt idx="10">
                  <c:v>155</c:v>
                </c:pt>
                <c:pt idx="11">
                  <c:v>175</c:v>
                </c:pt>
                <c:pt idx="12">
                  <c:v>181</c:v>
                </c:pt>
                <c:pt idx="13">
                  <c:v>198</c:v>
                </c:pt>
                <c:pt idx="14">
                  <c:v>207</c:v>
                </c:pt>
                <c:pt idx="15">
                  <c:v>205</c:v>
                </c:pt>
                <c:pt idx="16">
                  <c:v>178</c:v>
                </c:pt>
                <c:pt idx="17">
                  <c:v>184</c:v>
                </c:pt>
                <c:pt idx="18">
                  <c:v>200</c:v>
                </c:pt>
                <c:pt idx="19">
                  <c:v>235</c:v>
                </c:pt>
                <c:pt idx="20">
                  <c:v>222</c:v>
                </c:pt>
                <c:pt idx="21">
                  <c:v>224</c:v>
                </c:pt>
                <c:pt idx="22">
                  <c:v>240</c:v>
                </c:pt>
                <c:pt idx="23">
                  <c:v>245</c:v>
                </c:pt>
                <c:pt idx="24">
                  <c:v>246</c:v>
                </c:pt>
                <c:pt idx="25">
                  <c:v>267</c:v>
                </c:pt>
                <c:pt idx="26">
                  <c:v>280</c:v>
                </c:pt>
                <c:pt idx="27">
                  <c:v>293</c:v>
                </c:pt>
                <c:pt idx="28">
                  <c:v>327</c:v>
                </c:pt>
                <c:pt idx="29">
                  <c:v>335</c:v>
                </c:pt>
                <c:pt idx="30">
                  <c:v>338</c:v>
                </c:pt>
                <c:pt idx="31">
                  <c:v>385</c:v>
                </c:pt>
                <c:pt idx="32">
                  <c:v>388</c:v>
                </c:pt>
                <c:pt idx="33">
                  <c:v>421</c:v>
                </c:pt>
                <c:pt idx="34">
                  <c:v>450</c:v>
                </c:pt>
                <c:pt idx="35">
                  <c:v>475</c:v>
                </c:pt>
                <c:pt idx="36">
                  <c:v>500</c:v>
                </c:pt>
                <c:pt idx="37">
                  <c:v>525</c:v>
                </c:pt>
                <c:pt idx="38">
                  <c:v>525</c:v>
                </c:pt>
                <c:pt idx="39">
                  <c:v>530</c:v>
                </c:pt>
                <c:pt idx="40">
                  <c:v>535</c:v>
                </c:pt>
                <c:pt idx="41">
                  <c:v>540</c:v>
                </c:pt>
                <c:pt idx="42">
                  <c:v>545</c:v>
                </c:pt>
                <c:pt idx="43">
                  <c:v>550</c:v>
                </c:pt>
                <c:pt idx="44">
                  <c:v>560</c:v>
                </c:pt>
                <c:pt idx="45">
                  <c:v>570</c:v>
                </c:pt>
                <c:pt idx="46">
                  <c:v>555</c:v>
                </c:pt>
                <c:pt idx="47">
                  <c:v>570</c:v>
                </c:pt>
                <c:pt idx="48">
                  <c:v>600</c:v>
                </c:pt>
                <c:pt idx="49">
                  <c:v>759</c:v>
                </c:pt>
                <c:pt idx="50">
                  <c:v>1128.191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76272"/>
        <c:axId val="322477448"/>
      </c:lineChart>
      <c:catAx>
        <c:axId val="322476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7448"/>
        <c:crosses val="autoZero"/>
        <c:auto val="1"/>
        <c:lblAlgn val="ctr"/>
        <c:lblOffset val="100"/>
        <c:noMultiLvlLbl val="0"/>
      </c:catAx>
      <c:valAx>
        <c:axId val="32247744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627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349385338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2"/>
          <c:order val="1"/>
          <c:tx>
            <c:strRef>
              <c:f>Turk!$C$18</c:f>
              <c:strCache>
                <c:ptCount val="1"/>
                <c:pt idx="0">
                  <c:v>Total Sugar Production</c:v>
                </c:pt>
              </c:strCache>
            </c:strRef>
          </c:tx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Turk!$D$18:$BD$18</c:f>
              <c:numCache>
                <c:formatCode>_(* #,##0_);_(* \(#,##0\);_(* "-"??_);_(@_)</c:formatCode>
                <c:ptCount val="53"/>
                <c:pt idx="0">
                  <c:v>618</c:v>
                </c:pt>
                <c:pt idx="1">
                  <c:v>470</c:v>
                </c:pt>
                <c:pt idx="2">
                  <c:v>557</c:v>
                </c:pt>
                <c:pt idx="3">
                  <c:v>597</c:v>
                </c:pt>
                <c:pt idx="4">
                  <c:v>668</c:v>
                </c:pt>
                <c:pt idx="5">
                  <c:v>567</c:v>
                </c:pt>
                <c:pt idx="6">
                  <c:v>701</c:v>
                </c:pt>
                <c:pt idx="7">
                  <c:v>791</c:v>
                </c:pt>
                <c:pt idx="8">
                  <c:v>706</c:v>
                </c:pt>
                <c:pt idx="9">
                  <c:v>544</c:v>
                </c:pt>
                <c:pt idx="10">
                  <c:v>643</c:v>
                </c:pt>
                <c:pt idx="11">
                  <c:v>910</c:v>
                </c:pt>
                <c:pt idx="12">
                  <c:v>811</c:v>
                </c:pt>
                <c:pt idx="13">
                  <c:v>796</c:v>
                </c:pt>
                <c:pt idx="14">
                  <c:v>834</c:v>
                </c:pt>
                <c:pt idx="15">
                  <c:v>986</c:v>
                </c:pt>
                <c:pt idx="16">
                  <c:v>1284</c:v>
                </c:pt>
                <c:pt idx="17">
                  <c:v>1065</c:v>
                </c:pt>
                <c:pt idx="18">
                  <c:v>1079</c:v>
                </c:pt>
                <c:pt idx="19">
                  <c:v>1052</c:v>
                </c:pt>
                <c:pt idx="20">
                  <c:v>930</c:v>
                </c:pt>
                <c:pt idx="21">
                  <c:v>1400</c:v>
                </c:pt>
                <c:pt idx="22">
                  <c:v>1860</c:v>
                </c:pt>
                <c:pt idx="23">
                  <c:v>1770</c:v>
                </c:pt>
                <c:pt idx="24">
                  <c:v>1655</c:v>
                </c:pt>
                <c:pt idx="25">
                  <c:v>1398</c:v>
                </c:pt>
                <c:pt idx="26">
                  <c:v>1475</c:v>
                </c:pt>
                <c:pt idx="27">
                  <c:v>1780</c:v>
                </c:pt>
                <c:pt idx="28">
                  <c:v>1410</c:v>
                </c:pt>
                <c:pt idx="29">
                  <c:v>1380</c:v>
                </c:pt>
                <c:pt idx="30">
                  <c:v>1944</c:v>
                </c:pt>
                <c:pt idx="31">
                  <c:v>2052</c:v>
                </c:pt>
                <c:pt idx="32">
                  <c:v>2124</c:v>
                </c:pt>
                <c:pt idx="33">
                  <c:v>2191</c:v>
                </c:pt>
                <c:pt idx="34">
                  <c:v>1678</c:v>
                </c:pt>
                <c:pt idx="35">
                  <c:v>1375</c:v>
                </c:pt>
                <c:pt idx="36">
                  <c:v>2025</c:v>
                </c:pt>
                <c:pt idx="37">
                  <c:v>2372</c:v>
                </c:pt>
                <c:pt idx="38">
                  <c:v>2947</c:v>
                </c:pt>
                <c:pt idx="39">
                  <c:v>2348</c:v>
                </c:pt>
                <c:pt idx="40">
                  <c:v>2756</c:v>
                </c:pt>
                <c:pt idx="41">
                  <c:v>1796</c:v>
                </c:pt>
                <c:pt idx="42">
                  <c:v>2345</c:v>
                </c:pt>
                <c:pt idx="43">
                  <c:v>1915</c:v>
                </c:pt>
                <c:pt idx="44">
                  <c:v>2110</c:v>
                </c:pt>
                <c:pt idx="45">
                  <c:v>2175</c:v>
                </c:pt>
                <c:pt idx="46">
                  <c:v>1980</c:v>
                </c:pt>
                <c:pt idx="47">
                  <c:v>1700</c:v>
                </c:pt>
                <c:pt idx="48">
                  <c:v>2100</c:v>
                </c:pt>
                <c:pt idx="49">
                  <c:v>2531</c:v>
                </c:pt>
                <c:pt idx="50">
                  <c:v>2400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Turk!$C$19</c:f>
              <c:strCache>
                <c:ptCount val="1"/>
                <c:pt idx="0">
                  <c:v>Total Imports</c:v>
                </c:pt>
              </c:strCache>
            </c:strRef>
          </c:tx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Turk!$D$19:$BD$19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67</c:v>
                </c:pt>
                <c:pt idx="14">
                  <c:v>102</c:v>
                </c:pt>
                <c:pt idx="15">
                  <c:v>42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200</c:v>
                </c:pt>
                <c:pt idx="20">
                  <c:v>75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201</c:v>
                </c:pt>
                <c:pt idx="27">
                  <c:v>35</c:v>
                </c:pt>
                <c:pt idx="28">
                  <c:v>0</c:v>
                </c:pt>
                <c:pt idx="29">
                  <c:v>470</c:v>
                </c:pt>
                <c:pt idx="30">
                  <c:v>247</c:v>
                </c:pt>
                <c:pt idx="31">
                  <c:v>17</c:v>
                </c:pt>
                <c:pt idx="32">
                  <c:v>23</c:v>
                </c:pt>
                <c:pt idx="33">
                  <c:v>2</c:v>
                </c:pt>
                <c:pt idx="34">
                  <c:v>322</c:v>
                </c:pt>
                <c:pt idx="35">
                  <c:v>736</c:v>
                </c:pt>
                <c:pt idx="36">
                  <c:v>153</c:v>
                </c:pt>
                <c:pt idx="37">
                  <c:v>10</c:v>
                </c:pt>
                <c:pt idx="38">
                  <c:v>5</c:v>
                </c:pt>
                <c:pt idx="39">
                  <c:v>1</c:v>
                </c:pt>
                <c:pt idx="40">
                  <c:v>2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5</c:v>
                </c:pt>
                <c:pt idx="48">
                  <c:v>5</c:v>
                </c:pt>
                <c:pt idx="49">
                  <c:v>5</c:v>
                </c:pt>
                <c:pt idx="50">
                  <c:v>5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Turk!$C$20</c:f>
              <c:strCache>
                <c:ptCount val="1"/>
                <c:pt idx="0">
                  <c:v>Total Exports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Turk!$D$20:$BD$20</c:f>
              <c:numCache>
                <c:formatCode>_(* #,##0_);_(* \(#,##0\);_(* "-"??_);_(@_)</c:formatCode>
                <c:ptCount val="53"/>
                <c:pt idx="0">
                  <c:v>275</c:v>
                </c:pt>
                <c:pt idx="1">
                  <c:v>150</c:v>
                </c:pt>
                <c:pt idx="2">
                  <c:v>150</c:v>
                </c:pt>
                <c:pt idx="3">
                  <c:v>130</c:v>
                </c:pt>
                <c:pt idx="4">
                  <c:v>125</c:v>
                </c:pt>
                <c:pt idx="5">
                  <c:v>57</c:v>
                </c:pt>
                <c:pt idx="6">
                  <c:v>65</c:v>
                </c:pt>
                <c:pt idx="7">
                  <c:v>48</c:v>
                </c:pt>
                <c:pt idx="8">
                  <c:v>109</c:v>
                </c:pt>
                <c:pt idx="9">
                  <c:v>89</c:v>
                </c:pt>
                <c:pt idx="10">
                  <c:v>42</c:v>
                </c:pt>
                <c:pt idx="11">
                  <c:v>90</c:v>
                </c:pt>
                <c:pt idx="12">
                  <c:v>46</c:v>
                </c:pt>
                <c:pt idx="13">
                  <c:v>60</c:v>
                </c:pt>
                <c:pt idx="14">
                  <c:v>78</c:v>
                </c:pt>
                <c:pt idx="15">
                  <c:v>0</c:v>
                </c:pt>
                <c:pt idx="16">
                  <c:v>3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  <c:pt idx="20">
                  <c:v>3</c:v>
                </c:pt>
                <c:pt idx="21">
                  <c:v>105</c:v>
                </c:pt>
                <c:pt idx="22">
                  <c:v>195</c:v>
                </c:pt>
                <c:pt idx="23">
                  <c:v>525</c:v>
                </c:pt>
                <c:pt idx="24">
                  <c:v>470</c:v>
                </c:pt>
                <c:pt idx="25">
                  <c:v>50</c:v>
                </c:pt>
                <c:pt idx="26">
                  <c:v>54</c:v>
                </c:pt>
                <c:pt idx="27">
                  <c:v>65</c:v>
                </c:pt>
                <c:pt idx="28">
                  <c:v>1</c:v>
                </c:pt>
                <c:pt idx="29">
                  <c:v>1</c:v>
                </c:pt>
                <c:pt idx="30">
                  <c:v>14</c:v>
                </c:pt>
                <c:pt idx="31">
                  <c:v>294</c:v>
                </c:pt>
                <c:pt idx="32">
                  <c:v>504</c:v>
                </c:pt>
                <c:pt idx="33">
                  <c:v>642</c:v>
                </c:pt>
                <c:pt idx="34">
                  <c:v>126</c:v>
                </c:pt>
                <c:pt idx="35">
                  <c:v>4</c:v>
                </c:pt>
                <c:pt idx="36">
                  <c:v>113</c:v>
                </c:pt>
                <c:pt idx="37">
                  <c:v>236</c:v>
                </c:pt>
                <c:pt idx="38">
                  <c:v>433</c:v>
                </c:pt>
                <c:pt idx="39">
                  <c:v>614</c:v>
                </c:pt>
                <c:pt idx="40">
                  <c:v>826</c:v>
                </c:pt>
                <c:pt idx="41">
                  <c:v>378</c:v>
                </c:pt>
                <c:pt idx="42">
                  <c:v>150</c:v>
                </c:pt>
                <c:pt idx="43">
                  <c:v>230</c:v>
                </c:pt>
                <c:pt idx="44">
                  <c:v>25</c:v>
                </c:pt>
                <c:pt idx="45">
                  <c:v>25</c:v>
                </c:pt>
                <c:pt idx="46">
                  <c:v>30</c:v>
                </c:pt>
                <c:pt idx="47">
                  <c:v>10</c:v>
                </c:pt>
                <c:pt idx="48">
                  <c:v>5</c:v>
                </c:pt>
                <c:pt idx="49">
                  <c:v>40</c:v>
                </c:pt>
                <c:pt idx="50">
                  <c:v>40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Turk!$C$21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Turk!$D$21:$BD$21</c:f>
              <c:numCache>
                <c:formatCode>_(* #,##0_);_(* \(#,##0\);_(* "-"??_);_(@_)</c:formatCode>
                <c:ptCount val="53"/>
                <c:pt idx="0">
                  <c:v>343</c:v>
                </c:pt>
                <c:pt idx="1">
                  <c:v>377</c:v>
                </c:pt>
                <c:pt idx="2">
                  <c:v>400</c:v>
                </c:pt>
                <c:pt idx="3">
                  <c:v>417</c:v>
                </c:pt>
                <c:pt idx="4">
                  <c:v>481</c:v>
                </c:pt>
                <c:pt idx="5">
                  <c:v>523</c:v>
                </c:pt>
                <c:pt idx="6">
                  <c:v>540</c:v>
                </c:pt>
                <c:pt idx="7">
                  <c:v>560</c:v>
                </c:pt>
                <c:pt idx="8">
                  <c:v>592</c:v>
                </c:pt>
                <c:pt idx="9">
                  <c:v>631</c:v>
                </c:pt>
                <c:pt idx="10">
                  <c:v>668</c:v>
                </c:pt>
                <c:pt idx="11">
                  <c:v>750</c:v>
                </c:pt>
                <c:pt idx="12">
                  <c:v>814</c:v>
                </c:pt>
                <c:pt idx="13">
                  <c:v>897</c:v>
                </c:pt>
                <c:pt idx="14">
                  <c:v>972</c:v>
                </c:pt>
                <c:pt idx="15">
                  <c:v>1047</c:v>
                </c:pt>
                <c:pt idx="16">
                  <c:v>1135</c:v>
                </c:pt>
                <c:pt idx="17">
                  <c:v>1168</c:v>
                </c:pt>
                <c:pt idx="18">
                  <c:v>1203</c:v>
                </c:pt>
                <c:pt idx="19">
                  <c:v>1151</c:v>
                </c:pt>
                <c:pt idx="20">
                  <c:v>1036</c:v>
                </c:pt>
                <c:pt idx="21">
                  <c:v>1100</c:v>
                </c:pt>
                <c:pt idx="22">
                  <c:v>1210</c:v>
                </c:pt>
                <c:pt idx="23">
                  <c:v>1330</c:v>
                </c:pt>
                <c:pt idx="24">
                  <c:v>1410</c:v>
                </c:pt>
                <c:pt idx="25">
                  <c:v>1466</c:v>
                </c:pt>
                <c:pt idx="26">
                  <c:v>1557</c:v>
                </c:pt>
                <c:pt idx="27">
                  <c:v>1625</c:v>
                </c:pt>
                <c:pt idx="28">
                  <c:v>1679</c:v>
                </c:pt>
                <c:pt idx="29">
                  <c:v>1729</c:v>
                </c:pt>
                <c:pt idx="30">
                  <c:v>1790</c:v>
                </c:pt>
                <c:pt idx="31">
                  <c:v>1844</c:v>
                </c:pt>
                <c:pt idx="32">
                  <c:v>1880</c:v>
                </c:pt>
                <c:pt idx="33">
                  <c:v>1800</c:v>
                </c:pt>
                <c:pt idx="34">
                  <c:v>1830</c:v>
                </c:pt>
                <c:pt idx="35">
                  <c:v>1900</c:v>
                </c:pt>
                <c:pt idx="36">
                  <c:v>1960</c:v>
                </c:pt>
                <c:pt idx="37">
                  <c:v>2020</c:v>
                </c:pt>
                <c:pt idx="38">
                  <c:v>2080</c:v>
                </c:pt>
                <c:pt idx="39">
                  <c:v>2050</c:v>
                </c:pt>
                <c:pt idx="40">
                  <c:v>1850</c:v>
                </c:pt>
                <c:pt idx="41">
                  <c:v>1850</c:v>
                </c:pt>
                <c:pt idx="42">
                  <c:v>1900</c:v>
                </c:pt>
                <c:pt idx="43">
                  <c:v>1930</c:v>
                </c:pt>
                <c:pt idx="44">
                  <c:v>1960</c:v>
                </c:pt>
                <c:pt idx="45">
                  <c:v>2000</c:v>
                </c:pt>
                <c:pt idx="46">
                  <c:v>2000</c:v>
                </c:pt>
                <c:pt idx="47">
                  <c:v>2000</c:v>
                </c:pt>
                <c:pt idx="48">
                  <c:v>2000</c:v>
                </c:pt>
                <c:pt idx="49">
                  <c:v>2500</c:v>
                </c:pt>
                <c:pt idx="50">
                  <c:v>2800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477056"/>
        <c:axId val="322474312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Turk!$C$1</c15:sqref>
                        </c15:formulaRef>
                      </c:ext>
                    </c:extLst>
                    <c:strCache>
                      <c:ptCount val="1"/>
                      <c:pt idx="0">
                        <c:v>Attribute</c:v>
                      </c:pt>
                    </c:strCache>
                  </c:strRef>
                </c:tx>
                <c:spPr>
                  <a:ln>
                    <a:solidFill>
                      <a:srgbClr val="C00000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Turk!$D$1:$BD$1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Turk!$D$1:$BD$1</c15:sqref>
                        </c15:formulaRef>
                      </c:ext>
                    </c:extLst>
                    <c:numCache>
                      <c:formatCode>General</c:formatCode>
                      <c:ptCount val="53"/>
                      <c:pt idx="0">
                        <c:v>1961</c:v>
                      </c:pt>
                      <c:pt idx="1">
                        <c:v>1962</c:v>
                      </c:pt>
                      <c:pt idx="2">
                        <c:v>1963</c:v>
                      </c:pt>
                      <c:pt idx="3">
                        <c:v>1964</c:v>
                      </c:pt>
                      <c:pt idx="4">
                        <c:v>1965</c:v>
                      </c:pt>
                      <c:pt idx="5">
                        <c:v>1966</c:v>
                      </c:pt>
                      <c:pt idx="6">
                        <c:v>1967</c:v>
                      </c:pt>
                      <c:pt idx="7">
                        <c:v>1968</c:v>
                      </c:pt>
                      <c:pt idx="8">
                        <c:v>1969</c:v>
                      </c:pt>
                      <c:pt idx="9">
                        <c:v>1970</c:v>
                      </c:pt>
                      <c:pt idx="10">
                        <c:v>1971</c:v>
                      </c:pt>
                      <c:pt idx="11">
                        <c:v>1972</c:v>
                      </c:pt>
                      <c:pt idx="12">
                        <c:v>1973</c:v>
                      </c:pt>
                      <c:pt idx="13">
                        <c:v>1974</c:v>
                      </c:pt>
                      <c:pt idx="14">
                        <c:v>1975</c:v>
                      </c:pt>
                      <c:pt idx="15">
                        <c:v>1976</c:v>
                      </c:pt>
                      <c:pt idx="16">
                        <c:v>1977</c:v>
                      </c:pt>
                      <c:pt idx="17">
                        <c:v>1978</c:v>
                      </c:pt>
                      <c:pt idx="18">
                        <c:v>1979</c:v>
                      </c:pt>
                      <c:pt idx="19">
                        <c:v>1980</c:v>
                      </c:pt>
                      <c:pt idx="20">
                        <c:v>1981</c:v>
                      </c:pt>
                      <c:pt idx="21">
                        <c:v>1982</c:v>
                      </c:pt>
                      <c:pt idx="22">
                        <c:v>1983</c:v>
                      </c:pt>
                      <c:pt idx="23">
                        <c:v>1984</c:v>
                      </c:pt>
                      <c:pt idx="24">
                        <c:v>1985</c:v>
                      </c:pt>
                      <c:pt idx="25">
                        <c:v>1986</c:v>
                      </c:pt>
                      <c:pt idx="26">
                        <c:v>1987</c:v>
                      </c:pt>
                      <c:pt idx="27">
                        <c:v>1988</c:v>
                      </c:pt>
                      <c:pt idx="28">
                        <c:v>1989</c:v>
                      </c:pt>
                      <c:pt idx="29">
                        <c:v>1990</c:v>
                      </c:pt>
                      <c:pt idx="30">
                        <c:v>1991</c:v>
                      </c:pt>
                      <c:pt idx="31">
                        <c:v>1992</c:v>
                      </c:pt>
                      <c:pt idx="32">
                        <c:v>1993</c:v>
                      </c:pt>
                      <c:pt idx="33">
                        <c:v>1994</c:v>
                      </c:pt>
                      <c:pt idx="34">
                        <c:v>1995</c:v>
                      </c:pt>
                      <c:pt idx="35">
                        <c:v>1996</c:v>
                      </c:pt>
                      <c:pt idx="36">
                        <c:v>1997</c:v>
                      </c:pt>
                      <c:pt idx="37">
                        <c:v>1998</c:v>
                      </c:pt>
                      <c:pt idx="38">
                        <c:v>1999</c:v>
                      </c:pt>
                      <c:pt idx="39">
                        <c:v>2000</c:v>
                      </c:pt>
                      <c:pt idx="40">
                        <c:v>2001</c:v>
                      </c:pt>
                      <c:pt idx="41">
                        <c:v>2002</c:v>
                      </c:pt>
                      <c:pt idx="42">
                        <c:v>2003</c:v>
                      </c:pt>
                      <c:pt idx="43">
                        <c:v>2004</c:v>
                      </c:pt>
                      <c:pt idx="44">
                        <c:v>2005</c:v>
                      </c:pt>
                      <c:pt idx="45">
                        <c:v>2006</c:v>
                      </c:pt>
                      <c:pt idx="46">
                        <c:v>2007</c:v>
                      </c:pt>
                      <c:pt idx="47">
                        <c:v>2008</c:v>
                      </c:pt>
                      <c:pt idx="48">
                        <c:v>2009</c:v>
                      </c:pt>
                      <c:pt idx="49">
                        <c:v>2010</c:v>
                      </c:pt>
                      <c:pt idx="50">
                        <c:v>2011</c:v>
                      </c:pt>
                      <c:pt idx="51">
                        <c:v>2012</c:v>
                      </c:pt>
                      <c:pt idx="52">
                        <c:v>2013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322477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4312"/>
        <c:crosses val="autoZero"/>
        <c:auto val="1"/>
        <c:lblAlgn val="ctr"/>
        <c:lblOffset val="100"/>
        <c:noMultiLvlLbl val="0"/>
      </c:catAx>
      <c:valAx>
        <c:axId val="3224743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247705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4225511249617945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Turk!$C$22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Turk!$D$22:$BD$22</c:f>
              <c:numCache>
                <c:formatCode>_(* #,##0_);_(* \(#,##0\);_(* "-"??_);_(@_)</c:formatCode>
                <c:ptCount val="53"/>
                <c:pt idx="0">
                  <c:v>7000</c:v>
                </c:pt>
                <c:pt idx="1">
                  <c:v>6336</c:v>
                </c:pt>
                <c:pt idx="2">
                  <c:v>6804</c:v>
                </c:pt>
                <c:pt idx="3">
                  <c:v>7892</c:v>
                </c:pt>
                <c:pt idx="4">
                  <c:v>7000</c:v>
                </c:pt>
                <c:pt idx="5">
                  <c:v>7430</c:v>
                </c:pt>
                <c:pt idx="6">
                  <c:v>8200</c:v>
                </c:pt>
                <c:pt idx="7">
                  <c:v>9000</c:v>
                </c:pt>
                <c:pt idx="8">
                  <c:v>8400</c:v>
                </c:pt>
                <c:pt idx="9">
                  <c:v>8300</c:v>
                </c:pt>
                <c:pt idx="10">
                  <c:v>8000</c:v>
                </c:pt>
                <c:pt idx="11">
                  <c:v>10700</c:v>
                </c:pt>
                <c:pt idx="12">
                  <c:v>9500</c:v>
                </c:pt>
                <c:pt idx="13">
                  <c:v>8000</c:v>
                </c:pt>
                <c:pt idx="14">
                  <c:v>8300</c:v>
                </c:pt>
                <c:pt idx="15">
                  <c:v>11500</c:v>
                </c:pt>
                <c:pt idx="16">
                  <c:v>13000</c:v>
                </c:pt>
                <c:pt idx="17">
                  <c:v>13500</c:v>
                </c:pt>
                <c:pt idx="18">
                  <c:v>13300</c:v>
                </c:pt>
                <c:pt idx="19">
                  <c:v>13000</c:v>
                </c:pt>
                <c:pt idx="20">
                  <c:v>13000</c:v>
                </c:pt>
                <c:pt idx="21">
                  <c:v>13200</c:v>
                </c:pt>
                <c:pt idx="22">
                  <c:v>13800</c:v>
                </c:pt>
                <c:pt idx="23">
                  <c:v>13300</c:v>
                </c:pt>
                <c:pt idx="24">
                  <c:v>13300</c:v>
                </c:pt>
                <c:pt idx="25">
                  <c:v>12700</c:v>
                </c:pt>
                <c:pt idx="26">
                  <c:v>14000</c:v>
                </c:pt>
                <c:pt idx="27">
                  <c:v>13000</c:v>
                </c:pt>
                <c:pt idx="28">
                  <c:v>16000</c:v>
                </c:pt>
                <c:pt idx="29">
                  <c:v>12500</c:v>
                </c:pt>
                <c:pt idx="30">
                  <c:v>16000</c:v>
                </c:pt>
                <c:pt idx="31">
                  <c:v>16500</c:v>
                </c:pt>
                <c:pt idx="32">
                  <c:v>15500</c:v>
                </c:pt>
                <c:pt idx="33">
                  <c:v>16500</c:v>
                </c:pt>
                <c:pt idx="34">
                  <c:v>14700</c:v>
                </c:pt>
                <c:pt idx="35">
                  <c:v>15500</c:v>
                </c:pt>
                <c:pt idx="36">
                  <c:v>16000</c:v>
                </c:pt>
                <c:pt idx="37">
                  <c:v>16000</c:v>
                </c:pt>
                <c:pt idx="38">
                  <c:v>18000</c:v>
                </c:pt>
                <c:pt idx="39">
                  <c:v>16500</c:v>
                </c:pt>
                <c:pt idx="40">
                  <c:v>18000</c:v>
                </c:pt>
                <c:pt idx="41">
                  <c:v>15500</c:v>
                </c:pt>
                <c:pt idx="42">
                  <c:v>16800</c:v>
                </c:pt>
                <c:pt idx="43">
                  <c:v>16800</c:v>
                </c:pt>
                <c:pt idx="44">
                  <c:v>18500</c:v>
                </c:pt>
                <c:pt idx="45">
                  <c:v>18500</c:v>
                </c:pt>
                <c:pt idx="46">
                  <c:v>17500</c:v>
                </c:pt>
                <c:pt idx="47">
                  <c:v>15500</c:v>
                </c:pt>
                <c:pt idx="48">
                  <c:v>16800</c:v>
                </c:pt>
                <c:pt idx="49">
                  <c:v>18450</c:v>
                </c:pt>
                <c:pt idx="50">
                  <c:v>21800</c:v>
                </c:pt>
                <c:pt idx="51">
                  <c:v>201000</c:v>
                </c:pt>
                <c:pt idx="52">
                  <c:v>22050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Turk!$C$23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Turk!$D$23:$BD$23</c:f>
              <c:numCache>
                <c:formatCode>_(* #,##0_);_(* \(#,##0\);_(* "-"??_);_(@_)</c:formatCode>
                <c:ptCount val="53"/>
                <c:pt idx="0">
                  <c:v>373</c:v>
                </c:pt>
                <c:pt idx="1">
                  <c:v>1287</c:v>
                </c:pt>
                <c:pt idx="2">
                  <c:v>583</c:v>
                </c:pt>
                <c:pt idx="3">
                  <c:v>371</c:v>
                </c:pt>
                <c:pt idx="4">
                  <c:v>276</c:v>
                </c:pt>
                <c:pt idx="5">
                  <c:v>163</c:v>
                </c:pt>
                <c:pt idx="6">
                  <c:v>308</c:v>
                </c:pt>
                <c:pt idx="7">
                  <c:v>28</c:v>
                </c:pt>
                <c:pt idx="8">
                  <c:v>504</c:v>
                </c:pt>
                <c:pt idx="9">
                  <c:v>939</c:v>
                </c:pt>
                <c:pt idx="10">
                  <c:v>898</c:v>
                </c:pt>
                <c:pt idx="11">
                  <c:v>559</c:v>
                </c:pt>
                <c:pt idx="12">
                  <c:v>26</c:v>
                </c:pt>
                <c:pt idx="13">
                  <c:v>519</c:v>
                </c:pt>
                <c:pt idx="14">
                  <c:v>1059</c:v>
                </c:pt>
                <c:pt idx="15">
                  <c:v>20</c:v>
                </c:pt>
                <c:pt idx="16">
                  <c:v>0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748</c:v>
                </c:pt>
                <c:pt idx="22">
                  <c:v>49</c:v>
                </c:pt>
                <c:pt idx="23">
                  <c:v>350</c:v>
                </c:pt>
                <c:pt idx="24">
                  <c:v>1048</c:v>
                </c:pt>
                <c:pt idx="25">
                  <c:v>980</c:v>
                </c:pt>
                <c:pt idx="26">
                  <c:v>500</c:v>
                </c:pt>
                <c:pt idx="27">
                  <c:v>160</c:v>
                </c:pt>
                <c:pt idx="28">
                  <c:v>277</c:v>
                </c:pt>
                <c:pt idx="29">
                  <c:v>3698</c:v>
                </c:pt>
                <c:pt idx="30">
                  <c:v>291</c:v>
                </c:pt>
                <c:pt idx="31">
                  <c:v>172</c:v>
                </c:pt>
                <c:pt idx="32">
                  <c:v>997</c:v>
                </c:pt>
                <c:pt idx="33">
                  <c:v>650</c:v>
                </c:pt>
                <c:pt idx="34">
                  <c:v>500</c:v>
                </c:pt>
                <c:pt idx="35">
                  <c:v>2100</c:v>
                </c:pt>
                <c:pt idx="36">
                  <c:v>2630</c:v>
                </c:pt>
                <c:pt idx="37">
                  <c:v>1775</c:v>
                </c:pt>
                <c:pt idx="38">
                  <c:v>1862</c:v>
                </c:pt>
                <c:pt idx="39">
                  <c:v>1470</c:v>
                </c:pt>
                <c:pt idx="40">
                  <c:v>424</c:v>
                </c:pt>
                <c:pt idx="41">
                  <c:v>1037</c:v>
                </c:pt>
                <c:pt idx="42">
                  <c:v>1243</c:v>
                </c:pt>
                <c:pt idx="43">
                  <c:v>1089</c:v>
                </c:pt>
                <c:pt idx="44">
                  <c:v>390</c:v>
                </c:pt>
                <c:pt idx="45">
                  <c:v>125</c:v>
                </c:pt>
                <c:pt idx="46">
                  <c:v>1736</c:v>
                </c:pt>
                <c:pt idx="47">
                  <c:v>2160</c:v>
                </c:pt>
                <c:pt idx="48">
                  <c:v>3468</c:v>
                </c:pt>
                <c:pt idx="49">
                  <c:v>3218</c:v>
                </c:pt>
                <c:pt idx="50">
                  <c:v>4754.6819999999998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Turk!$C$24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Turk!$D$24:$BD$24</c:f>
              <c:numCache>
                <c:formatCode>_(* #,##0_);_(* \(#,##0\);_(* "-"??_);_(@_)</c:formatCode>
                <c:ptCount val="53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17</c:v>
                </c:pt>
                <c:pt idx="12">
                  <c:v>560</c:v>
                </c:pt>
                <c:pt idx="13">
                  <c:v>19</c:v>
                </c:pt>
                <c:pt idx="14">
                  <c:v>0</c:v>
                </c:pt>
                <c:pt idx="15">
                  <c:v>0</c:v>
                </c:pt>
                <c:pt idx="16">
                  <c:v>52</c:v>
                </c:pt>
                <c:pt idx="17">
                  <c:v>1149</c:v>
                </c:pt>
                <c:pt idx="18">
                  <c:v>2023</c:v>
                </c:pt>
                <c:pt idx="19">
                  <c:v>440</c:v>
                </c:pt>
                <c:pt idx="20">
                  <c:v>530</c:v>
                </c:pt>
                <c:pt idx="21">
                  <c:v>337</c:v>
                </c:pt>
                <c:pt idx="22">
                  <c:v>573</c:v>
                </c:pt>
                <c:pt idx="23">
                  <c:v>600</c:v>
                </c:pt>
                <c:pt idx="24">
                  <c:v>517</c:v>
                </c:pt>
                <c:pt idx="25">
                  <c:v>112</c:v>
                </c:pt>
                <c:pt idx="26">
                  <c:v>52</c:v>
                </c:pt>
                <c:pt idx="27">
                  <c:v>933</c:v>
                </c:pt>
                <c:pt idx="28">
                  <c:v>1643</c:v>
                </c:pt>
                <c:pt idx="29">
                  <c:v>194</c:v>
                </c:pt>
                <c:pt idx="30">
                  <c:v>546</c:v>
                </c:pt>
                <c:pt idx="31">
                  <c:v>6241</c:v>
                </c:pt>
                <c:pt idx="32">
                  <c:v>2019</c:v>
                </c:pt>
                <c:pt idx="33">
                  <c:v>1065</c:v>
                </c:pt>
                <c:pt idx="34">
                  <c:v>1810</c:v>
                </c:pt>
                <c:pt idx="35">
                  <c:v>1054</c:v>
                </c:pt>
                <c:pt idx="36">
                  <c:v>967</c:v>
                </c:pt>
                <c:pt idx="37">
                  <c:v>1324</c:v>
                </c:pt>
                <c:pt idx="38">
                  <c:v>2626</c:v>
                </c:pt>
                <c:pt idx="39">
                  <c:v>2163</c:v>
                </c:pt>
                <c:pt idx="40">
                  <c:v>1601</c:v>
                </c:pt>
                <c:pt idx="41">
                  <c:v>753</c:v>
                </c:pt>
                <c:pt idx="42">
                  <c:v>794</c:v>
                </c:pt>
                <c:pt idx="43">
                  <c:v>839</c:v>
                </c:pt>
                <c:pt idx="44">
                  <c:v>2017</c:v>
                </c:pt>
                <c:pt idx="45">
                  <c:v>3214</c:v>
                </c:pt>
                <c:pt idx="46">
                  <c:v>2377</c:v>
                </c:pt>
                <c:pt idx="47">
                  <c:v>1722</c:v>
                </c:pt>
                <c:pt idx="48">
                  <c:v>2238</c:v>
                </c:pt>
                <c:pt idx="49">
                  <c:v>4374</c:v>
                </c:pt>
                <c:pt idx="50">
                  <c:v>5.2329999999999997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Turk!$C$25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Turk!$D$1:$BD$1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Turk!$D$25:$BD$25</c:f>
              <c:numCache>
                <c:formatCode>_(* #,##0_);_(* \(#,##0\);_(* "-"??_);_(@_)</c:formatCode>
                <c:ptCount val="53"/>
                <c:pt idx="0">
                  <c:v>7010</c:v>
                </c:pt>
                <c:pt idx="1">
                  <c:v>7517</c:v>
                </c:pt>
                <c:pt idx="2">
                  <c:v>7345</c:v>
                </c:pt>
                <c:pt idx="3">
                  <c:v>7494</c:v>
                </c:pt>
                <c:pt idx="4">
                  <c:v>7703</c:v>
                </c:pt>
                <c:pt idx="5">
                  <c:v>7959</c:v>
                </c:pt>
                <c:pt idx="6">
                  <c:v>8210</c:v>
                </c:pt>
                <c:pt idx="7">
                  <c:v>8680</c:v>
                </c:pt>
                <c:pt idx="8">
                  <c:v>8916</c:v>
                </c:pt>
                <c:pt idx="9">
                  <c:v>9351</c:v>
                </c:pt>
                <c:pt idx="10">
                  <c:v>9198</c:v>
                </c:pt>
                <c:pt idx="11">
                  <c:v>9642</c:v>
                </c:pt>
                <c:pt idx="12">
                  <c:v>9666</c:v>
                </c:pt>
                <c:pt idx="13">
                  <c:v>9300</c:v>
                </c:pt>
                <c:pt idx="14">
                  <c:v>9459</c:v>
                </c:pt>
                <c:pt idx="15">
                  <c:v>10020</c:v>
                </c:pt>
                <c:pt idx="16">
                  <c:v>10648</c:v>
                </c:pt>
                <c:pt idx="17">
                  <c:v>11457</c:v>
                </c:pt>
                <c:pt idx="18">
                  <c:v>11777</c:v>
                </c:pt>
                <c:pt idx="19">
                  <c:v>12260</c:v>
                </c:pt>
                <c:pt idx="20">
                  <c:v>12870</c:v>
                </c:pt>
                <c:pt idx="21">
                  <c:v>13411</c:v>
                </c:pt>
                <c:pt idx="22">
                  <c:v>13676</c:v>
                </c:pt>
                <c:pt idx="23">
                  <c:v>13750</c:v>
                </c:pt>
                <c:pt idx="24">
                  <c:v>13631</c:v>
                </c:pt>
                <c:pt idx="25">
                  <c:v>13768</c:v>
                </c:pt>
                <c:pt idx="26">
                  <c:v>14048</c:v>
                </c:pt>
                <c:pt idx="27">
                  <c:v>14027</c:v>
                </c:pt>
                <c:pt idx="28">
                  <c:v>14134</c:v>
                </c:pt>
                <c:pt idx="29">
                  <c:v>14196</c:v>
                </c:pt>
                <c:pt idx="30">
                  <c:v>14500</c:v>
                </c:pt>
                <c:pt idx="31">
                  <c:v>14764</c:v>
                </c:pt>
                <c:pt idx="32">
                  <c:v>15097</c:v>
                </c:pt>
                <c:pt idx="33">
                  <c:v>15086</c:v>
                </c:pt>
                <c:pt idx="34">
                  <c:v>15190</c:v>
                </c:pt>
                <c:pt idx="35">
                  <c:v>16046</c:v>
                </c:pt>
                <c:pt idx="36">
                  <c:v>16363</c:v>
                </c:pt>
                <c:pt idx="37">
                  <c:v>16751</c:v>
                </c:pt>
                <c:pt idx="38">
                  <c:v>16886</c:v>
                </c:pt>
                <c:pt idx="39">
                  <c:v>16777</c:v>
                </c:pt>
                <c:pt idx="40">
                  <c:v>16700</c:v>
                </c:pt>
                <c:pt idx="41">
                  <c:v>16501</c:v>
                </c:pt>
                <c:pt idx="42">
                  <c:v>16800</c:v>
                </c:pt>
                <c:pt idx="43">
                  <c:v>16800</c:v>
                </c:pt>
                <c:pt idx="44">
                  <c:v>16800</c:v>
                </c:pt>
                <c:pt idx="45">
                  <c:v>16100</c:v>
                </c:pt>
                <c:pt idx="46">
                  <c:v>16650</c:v>
                </c:pt>
                <c:pt idx="47">
                  <c:v>16800</c:v>
                </c:pt>
                <c:pt idx="48">
                  <c:v>16900</c:v>
                </c:pt>
                <c:pt idx="49">
                  <c:v>17100</c:v>
                </c:pt>
                <c:pt idx="50">
                  <c:v>26549.449000000001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28336"/>
        <c:axId val="323525592"/>
      </c:lineChart>
      <c:catAx>
        <c:axId val="323528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5592"/>
        <c:crosses val="autoZero"/>
        <c:auto val="1"/>
        <c:lblAlgn val="ctr"/>
        <c:lblOffset val="100"/>
        <c:noMultiLvlLbl val="0"/>
      </c:catAx>
      <c:valAx>
        <c:axId val="32352559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833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63"/>
          <c:w val="0.845245908485693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Uzbek!$C$2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Uzbek!$D$2:$AC$2</c:f>
              <c:numCache>
                <c:formatCode>_(* #,##0_);_(* \(#,##0\);_(* "-"??_);_(@_)</c:formatCode>
                <c:ptCount val="26"/>
                <c:pt idx="0">
                  <c:v>421</c:v>
                </c:pt>
                <c:pt idx="1">
                  <c:v>520</c:v>
                </c:pt>
                <c:pt idx="2">
                  <c:v>460</c:v>
                </c:pt>
                <c:pt idx="3">
                  <c:v>431</c:v>
                </c:pt>
                <c:pt idx="4">
                  <c:v>431</c:v>
                </c:pt>
                <c:pt idx="5">
                  <c:v>367</c:v>
                </c:pt>
                <c:pt idx="6">
                  <c:v>404</c:v>
                </c:pt>
                <c:pt idx="7">
                  <c:v>276</c:v>
                </c:pt>
                <c:pt idx="8">
                  <c:v>181</c:v>
                </c:pt>
                <c:pt idx="9">
                  <c:v>137</c:v>
                </c:pt>
                <c:pt idx="10">
                  <c:v>139</c:v>
                </c:pt>
                <c:pt idx="11">
                  <c:v>160</c:v>
                </c:pt>
                <c:pt idx="12">
                  <c:v>165</c:v>
                </c:pt>
                <c:pt idx="13">
                  <c:v>55</c:v>
                </c:pt>
                <c:pt idx="14">
                  <c:v>30</c:v>
                </c:pt>
                <c:pt idx="15">
                  <c:v>150</c:v>
                </c:pt>
                <c:pt idx="16">
                  <c:v>145</c:v>
                </c:pt>
                <c:pt idx="17">
                  <c:v>155</c:v>
                </c:pt>
                <c:pt idx="18">
                  <c:v>160</c:v>
                </c:pt>
                <c:pt idx="19">
                  <c:v>160</c:v>
                </c:pt>
                <c:pt idx="20">
                  <c:v>160</c:v>
                </c:pt>
                <c:pt idx="21">
                  <c:v>160</c:v>
                </c:pt>
                <c:pt idx="22">
                  <c:v>160</c:v>
                </c:pt>
                <c:pt idx="23">
                  <c:v>256.28899999999999</c:v>
                </c:pt>
                <c:pt idx="24">
                  <c:v>328.09</c:v>
                </c:pt>
                <c:pt idx="25">
                  <c:v>360.11200000000002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Uzbek!$C$3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Uzbek!$D$3:$AC$3</c:f>
              <c:numCache>
                <c:formatCode>_(* #,##0_);_(* \(#,##0\);_(* "-"??_);_(@_)</c:formatCode>
                <c:ptCount val="26"/>
                <c:pt idx="0">
                  <c:v>850</c:v>
                </c:pt>
                <c:pt idx="1">
                  <c:v>670</c:v>
                </c:pt>
                <c:pt idx="2">
                  <c:v>950</c:v>
                </c:pt>
                <c:pt idx="3">
                  <c:v>890</c:v>
                </c:pt>
                <c:pt idx="4">
                  <c:v>490</c:v>
                </c:pt>
                <c:pt idx="5">
                  <c:v>200</c:v>
                </c:pt>
                <c:pt idx="6">
                  <c:v>43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5</c:v>
                </c:pt>
                <c:pt idx="21">
                  <c:v>25</c:v>
                </c:pt>
                <c:pt idx="22">
                  <c:v>10</c:v>
                </c:pt>
                <c:pt idx="23">
                  <c:v>0.05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Uzbek!$C$4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Uzbek!$D$4:$AC$4</c:f>
              <c:numCache>
                <c:formatCode>_(* #,##0_);_(* \(#,##0\);_(* "-"??_);_(@_)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7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Uzbek!$C$5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Uzbek!$D$5:$AC$5</c:f>
              <c:numCache>
                <c:formatCode>_(* #,##0_);_(* \(#,##0\);_(* "-"??_);_(@_)</c:formatCode>
                <c:ptCount val="26"/>
                <c:pt idx="0">
                  <c:v>1314</c:v>
                </c:pt>
                <c:pt idx="1">
                  <c:v>1157</c:v>
                </c:pt>
                <c:pt idx="2">
                  <c:v>1397</c:v>
                </c:pt>
                <c:pt idx="3">
                  <c:v>1355</c:v>
                </c:pt>
                <c:pt idx="4">
                  <c:v>970</c:v>
                </c:pt>
                <c:pt idx="5">
                  <c:v>567</c:v>
                </c:pt>
                <c:pt idx="6">
                  <c:v>467</c:v>
                </c:pt>
                <c:pt idx="7">
                  <c:v>276</c:v>
                </c:pt>
                <c:pt idx="8">
                  <c:v>181</c:v>
                </c:pt>
                <c:pt idx="9">
                  <c:v>137</c:v>
                </c:pt>
                <c:pt idx="10">
                  <c:v>136</c:v>
                </c:pt>
                <c:pt idx="11">
                  <c:v>155</c:v>
                </c:pt>
                <c:pt idx="12">
                  <c:v>160</c:v>
                </c:pt>
                <c:pt idx="13">
                  <c:v>56</c:v>
                </c:pt>
                <c:pt idx="14">
                  <c:v>30</c:v>
                </c:pt>
                <c:pt idx="15">
                  <c:v>120</c:v>
                </c:pt>
                <c:pt idx="16">
                  <c:v>150</c:v>
                </c:pt>
                <c:pt idx="17">
                  <c:v>150</c:v>
                </c:pt>
                <c:pt idx="18">
                  <c:v>175</c:v>
                </c:pt>
                <c:pt idx="19">
                  <c:v>175</c:v>
                </c:pt>
                <c:pt idx="20">
                  <c:v>150</c:v>
                </c:pt>
                <c:pt idx="21">
                  <c:v>175</c:v>
                </c:pt>
                <c:pt idx="22">
                  <c:v>175</c:v>
                </c:pt>
                <c:pt idx="23">
                  <c:v>256.339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25200"/>
        <c:axId val="323530688"/>
      </c:lineChart>
      <c:catAx>
        <c:axId val="323525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0688"/>
        <c:crosses val="autoZero"/>
        <c:auto val="1"/>
        <c:lblAlgn val="ctr"/>
        <c:lblOffset val="100"/>
        <c:noMultiLvlLbl val="0"/>
      </c:catAx>
      <c:valAx>
        <c:axId val="32353068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520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0177115894050989"/>
          <c:y val="0.91317240647949338"/>
          <c:w val="0.84180983732906112"/>
          <c:h val="5.3789071820567906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Uzbek!$C$6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Uzbek!$D$6:$AC$6</c:f>
              <c:numCache>
                <c:formatCode>_(* #,##0_);_(* \(#,##0\);_(* "-"??_);_(@_)</c:formatCode>
                <c:ptCount val="26"/>
                <c:pt idx="0">
                  <c:v>6912</c:v>
                </c:pt>
                <c:pt idx="1">
                  <c:v>7956</c:v>
                </c:pt>
                <c:pt idx="2">
                  <c:v>7605</c:v>
                </c:pt>
                <c:pt idx="3">
                  <c:v>7317</c:v>
                </c:pt>
                <c:pt idx="4">
                  <c:v>6628</c:v>
                </c:pt>
                <c:pt idx="5">
                  <c:v>5851</c:v>
                </c:pt>
                <c:pt idx="6">
                  <c:v>6067</c:v>
                </c:pt>
                <c:pt idx="7">
                  <c:v>5778</c:v>
                </c:pt>
                <c:pt idx="8">
                  <c:v>5740</c:v>
                </c:pt>
                <c:pt idx="9">
                  <c:v>4813</c:v>
                </c:pt>
                <c:pt idx="10">
                  <c:v>5228</c:v>
                </c:pt>
                <c:pt idx="11">
                  <c:v>4600</c:v>
                </c:pt>
                <c:pt idx="12">
                  <c:v>5180</c:v>
                </c:pt>
                <c:pt idx="13">
                  <c:v>4400</c:v>
                </c:pt>
                <c:pt idx="14">
                  <c:v>4900</c:v>
                </c:pt>
                <c:pt idx="15">
                  <c:v>4600</c:v>
                </c:pt>
                <c:pt idx="16">
                  <c:v>4100</c:v>
                </c:pt>
                <c:pt idx="17">
                  <c:v>5200</c:v>
                </c:pt>
                <c:pt idx="18">
                  <c:v>5550</c:v>
                </c:pt>
                <c:pt idx="19">
                  <c:v>5350</c:v>
                </c:pt>
                <c:pt idx="20">
                  <c:v>5350</c:v>
                </c:pt>
                <c:pt idx="21">
                  <c:v>4600</c:v>
                </c:pt>
                <c:pt idx="22">
                  <c:v>3900</c:v>
                </c:pt>
                <c:pt idx="23">
                  <c:v>1135</c:v>
                </c:pt>
                <c:pt idx="24">
                  <c:v>11260</c:v>
                </c:pt>
                <c:pt idx="25">
                  <c:v>1094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Uzbek!$C$7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Uzbek!$D$7:$AC$7</c:f>
              <c:numCache>
                <c:formatCode>_(* #,##0_);_(* \(#,##0\);_(* "-"??_);_(@_)</c:formatCode>
                <c:ptCount val="26"/>
                <c:pt idx="0">
                  <c:v>13</c:v>
                </c:pt>
                <c:pt idx="1">
                  <c:v>13</c:v>
                </c:pt>
                <c:pt idx="2">
                  <c:v>12</c:v>
                </c:pt>
                <c:pt idx="3">
                  <c:v>11</c:v>
                </c:pt>
                <c:pt idx="4">
                  <c:v>10</c:v>
                </c:pt>
                <c:pt idx="5">
                  <c:v>0</c:v>
                </c:pt>
                <c:pt idx="6">
                  <c:v>5</c:v>
                </c:pt>
                <c:pt idx="7">
                  <c:v>5</c:v>
                </c:pt>
                <c:pt idx="8">
                  <c:v>5</c:v>
                </c:pt>
                <c:pt idx="9">
                  <c:v>5</c:v>
                </c:pt>
                <c:pt idx="10">
                  <c:v>5</c:v>
                </c:pt>
                <c:pt idx="11">
                  <c:v>5</c:v>
                </c:pt>
                <c:pt idx="12">
                  <c:v>5</c:v>
                </c:pt>
                <c:pt idx="13">
                  <c:v>5</c:v>
                </c:pt>
                <c:pt idx="14">
                  <c:v>0</c:v>
                </c:pt>
                <c:pt idx="15">
                  <c:v>0</c:v>
                </c:pt>
                <c:pt idx="16">
                  <c:v>5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0.11600000000000001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Uzbek!$C$8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Uzbek!$D$8:$AC$8</c:f>
              <c:numCache>
                <c:formatCode>_(* #,##0_);_(* \(#,##0\);_(* "-"??_);_(@_)</c:formatCode>
                <c:ptCount val="26"/>
                <c:pt idx="0">
                  <c:v>6284</c:v>
                </c:pt>
                <c:pt idx="1">
                  <c:v>7006</c:v>
                </c:pt>
                <c:pt idx="2">
                  <c:v>6810</c:v>
                </c:pt>
                <c:pt idx="3">
                  <c:v>5393</c:v>
                </c:pt>
                <c:pt idx="4">
                  <c:v>5200</c:v>
                </c:pt>
                <c:pt idx="5">
                  <c:v>5500</c:v>
                </c:pt>
                <c:pt idx="6">
                  <c:v>5800</c:v>
                </c:pt>
                <c:pt idx="7">
                  <c:v>5006</c:v>
                </c:pt>
                <c:pt idx="8">
                  <c:v>4524</c:v>
                </c:pt>
                <c:pt idx="9">
                  <c:v>4550</c:v>
                </c:pt>
                <c:pt idx="10">
                  <c:v>4570</c:v>
                </c:pt>
                <c:pt idx="11">
                  <c:v>3812</c:v>
                </c:pt>
                <c:pt idx="12">
                  <c:v>4200</c:v>
                </c:pt>
                <c:pt idx="13">
                  <c:v>3450</c:v>
                </c:pt>
                <c:pt idx="14">
                  <c:v>3500</c:v>
                </c:pt>
                <c:pt idx="15">
                  <c:v>3400</c:v>
                </c:pt>
                <c:pt idx="16">
                  <c:v>3100</c:v>
                </c:pt>
                <c:pt idx="17">
                  <c:v>3950</c:v>
                </c:pt>
                <c:pt idx="18">
                  <c:v>4800</c:v>
                </c:pt>
                <c:pt idx="19">
                  <c:v>4500</c:v>
                </c:pt>
                <c:pt idx="20">
                  <c:v>4200</c:v>
                </c:pt>
                <c:pt idx="21">
                  <c:v>3000</c:v>
                </c:pt>
                <c:pt idx="22">
                  <c:v>3800</c:v>
                </c:pt>
                <c:pt idx="23">
                  <c:v>240.495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Uzbek!$C$9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Uzbek!$D$9:$AC$9</c:f>
              <c:numCache>
                <c:formatCode>_(* #,##0_);_(* \(#,##0\);_(* "-"??_);_(@_)</c:formatCode>
                <c:ptCount val="26"/>
                <c:pt idx="0">
                  <c:v>796</c:v>
                </c:pt>
                <c:pt idx="1">
                  <c:v>787</c:v>
                </c:pt>
                <c:pt idx="2">
                  <c:v>820</c:v>
                </c:pt>
                <c:pt idx="3">
                  <c:v>840</c:v>
                </c:pt>
                <c:pt idx="4">
                  <c:v>860</c:v>
                </c:pt>
                <c:pt idx="5">
                  <c:v>950</c:v>
                </c:pt>
                <c:pt idx="6">
                  <c:v>800</c:v>
                </c:pt>
                <c:pt idx="7">
                  <c:v>827</c:v>
                </c:pt>
                <c:pt idx="8">
                  <c:v>873</c:v>
                </c:pt>
                <c:pt idx="9">
                  <c:v>750</c:v>
                </c:pt>
                <c:pt idx="10">
                  <c:v>850</c:v>
                </c:pt>
                <c:pt idx="11">
                  <c:v>825</c:v>
                </c:pt>
                <c:pt idx="12">
                  <c:v>850</c:v>
                </c:pt>
                <c:pt idx="13">
                  <c:v>1025</c:v>
                </c:pt>
                <c:pt idx="14">
                  <c:v>1150</c:v>
                </c:pt>
                <c:pt idx="15">
                  <c:v>1100</c:v>
                </c:pt>
                <c:pt idx="16">
                  <c:v>1100</c:v>
                </c:pt>
                <c:pt idx="17">
                  <c:v>875</c:v>
                </c:pt>
                <c:pt idx="18">
                  <c:v>800</c:v>
                </c:pt>
                <c:pt idx="19">
                  <c:v>900</c:v>
                </c:pt>
                <c:pt idx="20">
                  <c:v>1000</c:v>
                </c:pt>
                <c:pt idx="21">
                  <c:v>1000</c:v>
                </c:pt>
                <c:pt idx="22">
                  <c:v>1100</c:v>
                </c:pt>
                <c:pt idx="23">
                  <c:v>894.62099999999998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18928"/>
        <c:axId val="323518536"/>
      </c:lineChart>
      <c:catAx>
        <c:axId val="323518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18536"/>
        <c:crosses val="autoZero"/>
        <c:auto val="1"/>
        <c:lblAlgn val="ctr"/>
        <c:lblOffset val="100"/>
        <c:noMultiLvlLbl val="0"/>
      </c:catAx>
      <c:valAx>
        <c:axId val="3235185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1892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92222095877489"/>
          <c:h val="0.1078069407990667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Uzbek!$C$10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Uzbek!$D$10:$AC$10</c:f>
              <c:numCache>
                <c:formatCode>_(* #,##0_);_(* \(#,##0\);_(* "-"??_);_(@_)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100</c:v>
                </c:pt>
                <c:pt idx="9">
                  <c:v>100</c:v>
                </c:pt>
                <c:pt idx="10">
                  <c:v>175</c:v>
                </c:pt>
                <c:pt idx="11">
                  <c:v>120</c:v>
                </c:pt>
                <c:pt idx="12">
                  <c:v>33</c:v>
                </c:pt>
                <c:pt idx="13">
                  <c:v>54</c:v>
                </c:pt>
                <c:pt idx="14">
                  <c:v>65</c:v>
                </c:pt>
                <c:pt idx="15">
                  <c:v>70</c:v>
                </c:pt>
                <c:pt idx="16">
                  <c:v>1</c:v>
                </c:pt>
                <c:pt idx="17">
                  <c:v>10</c:v>
                </c:pt>
                <c:pt idx="18">
                  <c:v>1</c:v>
                </c:pt>
                <c:pt idx="19">
                  <c:v>5</c:v>
                </c:pt>
                <c:pt idx="20">
                  <c:v>5</c:v>
                </c:pt>
                <c:pt idx="21">
                  <c:v>5</c:v>
                </c:pt>
                <c:pt idx="22">
                  <c:v>5</c:v>
                </c:pt>
                <c:pt idx="23">
                  <c:v>3.766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Uzbek!$C$11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Uzbek!$D$11:$AC$11</c:f>
              <c:numCache>
                <c:formatCode>_(* #,##0_);_(* \(#,##0\);_(* "-"??_);_(@_)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100</c:v>
                </c:pt>
                <c:pt idx="9">
                  <c:v>100</c:v>
                </c:pt>
                <c:pt idx="10">
                  <c:v>175</c:v>
                </c:pt>
                <c:pt idx="11">
                  <c:v>120</c:v>
                </c:pt>
                <c:pt idx="12">
                  <c:v>33</c:v>
                </c:pt>
                <c:pt idx="13">
                  <c:v>54</c:v>
                </c:pt>
                <c:pt idx="14">
                  <c:v>65</c:v>
                </c:pt>
                <c:pt idx="15">
                  <c:v>70</c:v>
                </c:pt>
                <c:pt idx="16">
                  <c:v>1</c:v>
                </c:pt>
                <c:pt idx="17">
                  <c:v>5</c:v>
                </c:pt>
                <c:pt idx="18">
                  <c:v>6</c:v>
                </c:pt>
                <c:pt idx="19">
                  <c:v>5</c:v>
                </c:pt>
                <c:pt idx="20">
                  <c:v>5</c:v>
                </c:pt>
                <c:pt idx="21">
                  <c:v>5</c:v>
                </c:pt>
                <c:pt idx="22">
                  <c:v>5</c:v>
                </c:pt>
                <c:pt idx="23">
                  <c:v>3.766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19712"/>
        <c:axId val="323520104"/>
      </c:lineChart>
      <c:catAx>
        <c:axId val="323519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0104"/>
        <c:crosses val="autoZero"/>
        <c:auto val="1"/>
        <c:lblAlgn val="ctr"/>
        <c:lblOffset val="100"/>
        <c:noMultiLvlLbl val="0"/>
      </c:catAx>
      <c:valAx>
        <c:axId val="32352010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1971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10929055664615035"/>
          <c:h val="0.107807002848048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Uzbek!$C$12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Uzbek!$D$12:$AC$12</c:f>
              <c:numCache>
                <c:formatCode>_(* #,##0_);_(* \(#,##0\);_(* "-"??_);_(@_)</c:formatCode>
                <c:ptCount val="26"/>
                <c:pt idx="0">
                  <c:v>329</c:v>
                </c:pt>
                <c:pt idx="1">
                  <c:v>378</c:v>
                </c:pt>
                <c:pt idx="2">
                  <c:v>315</c:v>
                </c:pt>
                <c:pt idx="3">
                  <c:v>351</c:v>
                </c:pt>
                <c:pt idx="4">
                  <c:v>327</c:v>
                </c:pt>
                <c:pt idx="5">
                  <c:v>338</c:v>
                </c:pt>
                <c:pt idx="6">
                  <c:v>268</c:v>
                </c:pt>
                <c:pt idx="7">
                  <c:v>281</c:v>
                </c:pt>
                <c:pt idx="8">
                  <c:v>191</c:v>
                </c:pt>
                <c:pt idx="9">
                  <c:v>284</c:v>
                </c:pt>
                <c:pt idx="10">
                  <c:v>225</c:v>
                </c:pt>
                <c:pt idx="11">
                  <c:v>206</c:v>
                </c:pt>
                <c:pt idx="12">
                  <c:v>248</c:v>
                </c:pt>
                <c:pt idx="13">
                  <c:v>99</c:v>
                </c:pt>
                <c:pt idx="14">
                  <c:v>44</c:v>
                </c:pt>
                <c:pt idx="15">
                  <c:v>114</c:v>
                </c:pt>
                <c:pt idx="16">
                  <c:v>217</c:v>
                </c:pt>
                <c:pt idx="17">
                  <c:v>118</c:v>
                </c:pt>
                <c:pt idx="18">
                  <c:v>108</c:v>
                </c:pt>
                <c:pt idx="19">
                  <c:v>143</c:v>
                </c:pt>
                <c:pt idx="20">
                  <c:v>130</c:v>
                </c:pt>
                <c:pt idx="21">
                  <c:v>58</c:v>
                </c:pt>
                <c:pt idx="22">
                  <c:v>75</c:v>
                </c:pt>
                <c:pt idx="23">
                  <c:v>119.758</c:v>
                </c:pt>
                <c:pt idx="24">
                  <c:v>325.71800000000002</c:v>
                </c:pt>
                <c:pt idx="25">
                  <c:v>340.21899999999999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Uzbek!$C$13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Uzbek!$D$13:$AC$13</c:f>
              <c:numCache>
                <c:formatCode>_(* #,##0_);_(* \(#,##0\);_(* "-"??_);_(@_)</c:formatCode>
                <c:ptCount val="26"/>
                <c:pt idx="0">
                  <c:v>25</c:v>
                </c:pt>
                <c:pt idx="1">
                  <c:v>50</c:v>
                </c:pt>
                <c:pt idx="2">
                  <c:v>25</c:v>
                </c:pt>
                <c:pt idx="3">
                  <c:v>25</c:v>
                </c:pt>
                <c:pt idx="4">
                  <c:v>10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29</c:v>
                </c:pt>
                <c:pt idx="9">
                  <c:v>2</c:v>
                </c:pt>
                <c:pt idx="10">
                  <c:v>0</c:v>
                </c:pt>
                <c:pt idx="11">
                  <c:v>40</c:v>
                </c:pt>
                <c:pt idx="12">
                  <c:v>30</c:v>
                </c:pt>
                <c:pt idx="13">
                  <c:v>142</c:v>
                </c:pt>
                <c:pt idx="14">
                  <c:v>65</c:v>
                </c:pt>
                <c:pt idx="15">
                  <c:v>25</c:v>
                </c:pt>
                <c:pt idx="16">
                  <c:v>25</c:v>
                </c:pt>
                <c:pt idx="17">
                  <c:v>25</c:v>
                </c:pt>
                <c:pt idx="18">
                  <c:v>25</c:v>
                </c:pt>
                <c:pt idx="19">
                  <c:v>1</c:v>
                </c:pt>
                <c:pt idx="20">
                  <c:v>9</c:v>
                </c:pt>
                <c:pt idx="21">
                  <c:v>16</c:v>
                </c:pt>
                <c:pt idx="22">
                  <c:v>1</c:v>
                </c:pt>
                <c:pt idx="23">
                  <c:v>1.4530000000000001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Uzbek!$C$14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Uzbek!$D$14:$AC$14</c:f>
              <c:numCache>
                <c:formatCode>_(* #,##0_);_(* \(#,##0\);_(* "-"??_);_(@_)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24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Uzbek!$C$15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Uzbek!$D$15:$AC$15</c:f>
              <c:numCache>
                <c:formatCode>_(* #,##0_);_(* \(#,##0\);_(* "-"??_);_(@_)</c:formatCode>
                <c:ptCount val="26"/>
                <c:pt idx="0">
                  <c:v>354</c:v>
                </c:pt>
                <c:pt idx="1">
                  <c:v>428</c:v>
                </c:pt>
                <c:pt idx="2">
                  <c:v>340</c:v>
                </c:pt>
                <c:pt idx="3">
                  <c:v>376</c:v>
                </c:pt>
                <c:pt idx="4">
                  <c:v>337</c:v>
                </c:pt>
                <c:pt idx="5">
                  <c:v>338</c:v>
                </c:pt>
                <c:pt idx="6">
                  <c:v>268</c:v>
                </c:pt>
                <c:pt idx="7">
                  <c:v>257</c:v>
                </c:pt>
                <c:pt idx="8">
                  <c:v>220</c:v>
                </c:pt>
                <c:pt idx="9">
                  <c:v>286</c:v>
                </c:pt>
                <c:pt idx="10">
                  <c:v>225</c:v>
                </c:pt>
                <c:pt idx="11">
                  <c:v>246</c:v>
                </c:pt>
                <c:pt idx="12">
                  <c:v>278</c:v>
                </c:pt>
                <c:pt idx="13">
                  <c:v>241</c:v>
                </c:pt>
                <c:pt idx="14">
                  <c:v>101</c:v>
                </c:pt>
                <c:pt idx="15">
                  <c:v>137</c:v>
                </c:pt>
                <c:pt idx="16">
                  <c:v>237</c:v>
                </c:pt>
                <c:pt idx="17">
                  <c:v>148</c:v>
                </c:pt>
                <c:pt idx="18">
                  <c:v>133</c:v>
                </c:pt>
                <c:pt idx="19">
                  <c:v>144</c:v>
                </c:pt>
                <c:pt idx="20">
                  <c:v>139</c:v>
                </c:pt>
                <c:pt idx="21">
                  <c:v>74</c:v>
                </c:pt>
                <c:pt idx="22">
                  <c:v>76</c:v>
                </c:pt>
                <c:pt idx="23">
                  <c:v>121.211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27160"/>
        <c:axId val="323525984"/>
      </c:lineChart>
      <c:catAx>
        <c:axId val="323527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5984"/>
        <c:crosses val="autoZero"/>
        <c:auto val="1"/>
        <c:lblAlgn val="ctr"/>
        <c:lblOffset val="100"/>
        <c:noMultiLvlLbl val="0"/>
      </c:catAx>
      <c:valAx>
        <c:axId val="3235259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716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349385338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Uzbek!$C$16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Uzbek!$D$16:$AC$16</c:f>
              <c:numCache>
                <c:formatCode>_(* #,##0_);_(* \(#,##0\);_(* "-"??_);_(@_)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2</c:v>
                </c:pt>
                <c:pt idx="10">
                  <c:v>0</c:v>
                </c:pt>
                <c:pt idx="11">
                  <c:v>8</c:v>
                </c:pt>
                <c:pt idx="12">
                  <c:v>23</c:v>
                </c:pt>
                <c:pt idx="13">
                  <c:v>11</c:v>
                </c:pt>
                <c:pt idx="14">
                  <c:v>11</c:v>
                </c:pt>
                <c:pt idx="15">
                  <c:v>11</c:v>
                </c:pt>
                <c:pt idx="16">
                  <c:v>11</c:v>
                </c:pt>
                <c:pt idx="17">
                  <c:v>11</c:v>
                </c:pt>
                <c:pt idx="18">
                  <c:v>11</c:v>
                </c:pt>
                <c:pt idx="19">
                  <c:v>11</c:v>
                </c:pt>
                <c:pt idx="20">
                  <c:v>11</c:v>
                </c:pt>
                <c:pt idx="21">
                  <c:v>11</c:v>
                </c:pt>
                <c:pt idx="22">
                  <c:v>11</c:v>
                </c:pt>
                <c:pt idx="23">
                  <c:v>11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Uzbek!$C$17</c:f>
              <c:strCache>
                <c:ptCount val="1"/>
                <c:pt idx="0">
                  <c:v>Total Imports</c:v>
                </c:pt>
              </c:strCache>
            </c:strRef>
          </c:tx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Uzbek!$D$17:$AC$17</c:f>
              <c:numCache>
                <c:formatCode>_(* #,##0_);_(* \(#,##0\);_(* "-"??_);_(@_)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539</c:v>
                </c:pt>
                <c:pt idx="3">
                  <c:v>523</c:v>
                </c:pt>
                <c:pt idx="4">
                  <c:v>481</c:v>
                </c:pt>
                <c:pt idx="5">
                  <c:v>500</c:v>
                </c:pt>
                <c:pt idx="6">
                  <c:v>450</c:v>
                </c:pt>
                <c:pt idx="7">
                  <c:v>430</c:v>
                </c:pt>
                <c:pt idx="8">
                  <c:v>410</c:v>
                </c:pt>
                <c:pt idx="9">
                  <c:v>443</c:v>
                </c:pt>
                <c:pt idx="10">
                  <c:v>440</c:v>
                </c:pt>
                <c:pt idx="11">
                  <c:v>440</c:v>
                </c:pt>
                <c:pt idx="12">
                  <c:v>434</c:v>
                </c:pt>
                <c:pt idx="13">
                  <c:v>387</c:v>
                </c:pt>
                <c:pt idx="14">
                  <c:v>380</c:v>
                </c:pt>
                <c:pt idx="15">
                  <c:v>405</c:v>
                </c:pt>
                <c:pt idx="16">
                  <c:v>460</c:v>
                </c:pt>
                <c:pt idx="17">
                  <c:v>500</c:v>
                </c:pt>
                <c:pt idx="18">
                  <c:v>505</c:v>
                </c:pt>
                <c:pt idx="19">
                  <c:v>515</c:v>
                </c:pt>
                <c:pt idx="20">
                  <c:v>515</c:v>
                </c:pt>
                <c:pt idx="21">
                  <c:v>515</c:v>
                </c:pt>
                <c:pt idx="22">
                  <c:v>520</c:v>
                </c:pt>
                <c:pt idx="23">
                  <c:v>520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Uzbek!$C$18</c:f>
              <c:strCache>
                <c:ptCount val="1"/>
                <c:pt idx="0">
                  <c:v>Human Dom. Consumption</c:v>
                </c:pt>
              </c:strCache>
            </c:strRef>
          </c:tx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Uzbek!$D$18:$AC$18</c:f>
              <c:numCache>
                <c:formatCode>_(* #,##0_);_(* \(#,##0\);_(* "-"??_);_(@_)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544</c:v>
                </c:pt>
                <c:pt idx="3">
                  <c:v>541</c:v>
                </c:pt>
                <c:pt idx="4">
                  <c:v>500</c:v>
                </c:pt>
                <c:pt idx="5">
                  <c:v>468</c:v>
                </c:pt>
                <c:pt idx="6">
                  <c:v>450</c:v>
                </c:pt>
                <c:pt idx="7">
                  <c:v>450</c:v>
                </c:pt>
                <c:pt idx="8">
                  <c:v>430</c:v>
                </c:pt>
                <c:pt idx="9">
                  <c:v>435</c:v>
                </c:pt>
                <c:pt idx="10">
                  <c:v>445</c:v>
                </c:pt>
                <c:pt idx="11">
                  <c:v>445</c:v>
                </c:pt>
                <c:pt idx="12">
                  <c:v>455</c:v>
                </c:pt>
                <c:pt idx="13">
                  <c:v>395</c:v>
                </c:pt>
                <c:pt idx="14">
                  <c:v>400</c:v>
                </c:pt>
                <c:pt idx="15">
                  <c:v>405</c:v>
                </c:pt>
                <c:pt idx="16">
                  <c:v>420</c:v>
                </c:pt>
                <c:pt idx="17">
                  <c:v>490</c:v>
                </c:pt>
                <c:pt idx="18">
                  <c:v>510</c:v>
                </c:pt>
                <c:pt idx="19">
                  <c:v>518</c:v>
                </c:pt>
                <c:pt idx="20">
                  <c:v>515</c:v>
                </c:pt>
                <c:pt idx="21">
                  <c:v>515</c:v>
                </c:pt>
                <c:pt idx="22">
                  <c:v>515</c:v>
                </c:pt>
                <c:pt idx="23">
                  <c:v>515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29120"/>
        <c:axId val="323522064"/>
      </c:lineChart>
      <c:catAx>
        <c:axId val="3235291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2064"/>
        <c:crosses val="autoZero"/>
        <c:auto val="1"/>
        <c:lblAlgn val="ctr"/>
        <c:lblOffset val="100"/>
        <c:noMultiLvlLbl val="0"/>
      </c:catAx>
      <c:valAx>
        <c:axId val="32352206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91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10924255723783705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Uzbek!$C$19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Uzbek!$D$19:$AC$19</c:f>
              <c:numCache>
                <c:formatCode>_(* #,##0_);_(* \(#,##0\);_(* "-"??_);_(@_)</c:formatCode>
                <c:ptCount val="26"/>
                <c:pt idx="0">
                  <c:v>495</c:v>
                </c:pt>
                <c:pt idx="1">
                  <c:v>563</c:v>
                </c:pt>
                <c:pt idx="2">
                  <c:v>342</c:v>
                </c:pt>
                <c:pt idx="3">
                  <c:v>553</c:v>
                </c:pt>
                <c:pt idx="4">
                  <c:v>610</c:v>
                </c:pt>
                <c:pt idx="5">
                  <c:v>950</c:v>
                </c:pt>
                <c:pt idx="6">
                  <c:v>800</c:v>
                </c:pt>
                <c:pt idx="7">
                  <c:v>1350</c:v>
                </c:pt>
                <c:pt idx="8">
                  <c:v>2350</c:v>
                </c:pt>
                <c:pt idx="9">
                  <c:v>2700</c:v>
                </c:pt>
                <c:pt idx="10">
                  <c:v>3100</c:v>
                </c:pt>
                <c:pt idx="11">
                  <c:v>3600</c:v>
                </c:pt>
                <c:pt idx="12">
                  <c:v>3700</c:v>
                </c:pt>
                <c:pt idx="13">
                  <c:v>3600</c:v>
                </c:pt>
                <c:pt idx="14">
                  <c:v>3400</c:v>
                </c:pt>
                <c:pt idx="15">
                  <c:v>5000</c:v>
                </c:pt>
                <c:pt idx="16">
                  <c:v>5400</c:v>
                </c:pt>
                <c:pt idx="17">
                  <c:v>5250</c:v>
                </c:pt>
                <c:pt idx="18">
                  <c:v>5800</c:v>
                </c:pt>
                <c:pt idx="19">
                  <c:v>5850</c:v>
                </c:pt>
                <c:pt idx="20">
                  <c:v>6200</c:v>
                </c:pt>
                <c:pt idx="21">
                  <c:v>6000</c:v>
                </c:pt>
                <c:pt idx="22">
                  <c:v>6200</c:v>
                </c:pt>
                <c:pt idx="23">
                  <c:v>6526.9549999999999</c:v>
                </c:pt>
                <c:pt idx="24">
                  <c:v>6612.2380000000003</c:v>
                </c:pt>
                <c:pt idx="25">
                  <c:v>6841.9769999999999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Uzbek!$C$20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Uzbek!$D$20:$AC$20</c:f>
              <c:numCache>
                <c:formatCode>_(* #,##0_);_(* \(#,##0\);_(* "-"??_);_(@_)</c:formatCode>
                <c:ptCount val="26"/>
                <c:pt idx="0">
                  <c:v>3575</c:v>
                </c:pt>
                <c:pt idx="1">
                  <c:v>3200</c:v>
                </c:pt>
                <c:pt idx="2">
                  <c:v>3250</c:v>
                </c:pt>
                <c:pt idx="3">
                  <c:v>3325</c:v>
                </c:pt>
                <c:pt idx="4">
                  <c:v>3100</c:v>
                </c:pt>
                <c:pt idx="5">
                  <c:v>3200</c:v>
                </c:pt>
                <c:pt idx="6">
                  <c:v>3500</c:v>
                </c:pt>
                <c:pt idx="7">
                  <c:v>2000</c:v>
                </c:pt>
                <c:pt idx="8">
                  <c:v>1321</c:v>
                </c:pt>
                <c:pt idx="9">
                  <c:v>1036</c:v>
                </c:pt>
                <c:pt idx="10">
                  <c:v>732</c:v>
                </c:pt>
                <c:pt idx="11">
                  <c:v>380</c:v>
                </c:pt>
                <c:pt idx="12">
                  <c:v>550</c:v>
                </c:pt>
                <c:pt idx="13">
                  <c:v>550</c:v>
                </c:pt>
                <c:pt idx="14">
                  <c:v>481</c:v>
                </c:pt>
                <c:pt idx="15">
                  <c:v>254</c:v>
                </c:pt>
                <c:pt idx="16">
                  <c:v>199</c:v>
                </c:pt>
                <c:pt idx="17">
                  <c:v>445</c:v>
                </c:pt>
                <c:pt idx="18">
                  <c:v>623</c:v>
                </c:pt>
                <c:pt idx="19">
                  <c:v>1010</c:v>
                </c:pt>
                <c:pt idx="20">
                  <c:v>1062</c:v>
                </c:pt>
                <c:pt idx="21">
                  <c:v>1372</c:v>
                </c:pt>
                <c:pt idx="22">
                  <c:v>1677</c:v>
                </c:pt>
                <c:pt idx="23">
                  <c:v>508.13200000000001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Uzbek!$C$21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Uzbek!$D$21:$AC$21</c:f>
              <c:numCache>
                <c:formatCode>_(* #,##0_);_(* \(#,##0\);_(* "-"??_);_(@_)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12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450</c:v>
                </c:pt>
                <c:pt idx="17">
                  <c:v>100</c:v>
                </c:pt>
                <c:pt idx="18">
                  <c:v>100</c:v>
                </c:pt>
                <c:pt idx="19">
                  <c:v>200</c:v>
                </c:pt>
                <c:pt idx="20">
                  <c:v>200</c:v>
                </c:pt>
                <c:pt idx="21">
                  <c:v>200</c:v>
                </c:pt>
                <c:pt idx="22">
                  <c:v>400</c:v>
                </c:pt>
                <c:pt idx="23">
                  <c:v>134.40100000000001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Uzbek!$C$22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Uzbek!$D$1:$AC$1</c:f>
              <c:numCache>
                <c:formatCode>General</c:formatCode>
                <c:ptCount val="26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Uzbek!$D$22:$AC$22</c:f>
              <c:numCache>
                <c:formatCode>_(* #,##0_);_(* \(#,##0\);_(* "-"??_);_(@_)</c:formatCode>
                <c:ptCount val="26"/>
                <c:pt idx="0">
                  <c:v>3975</c:v>
                </c:pt>
                <c:pt idx="1">
                  <c:v>3749</c:v>
                </c:pt>
                <c:pt idx="2">
                  <c:v>3639</c:v>
                </c:pt>
                <c:pt idx="3">
                  <c:v>3829</c:v>
                </c:pt>
                <c:pt idx="4">
                  <c:v>3727</c:v>
                </c:pt>
                <c:pt idx="5">
                  <c:v>4057</c:v>
                </c:pt>
                <c:pt idx="6">
                  <c:v>4196</c:v>
                </c:pt>
                <c:pt idx="7">
                  <c:v>3728</c:v>
                </c:pt>
                <c:pt idx="8">
                  <c:v>3769</c:v>
                </c:pt>
                <c:pt idx="9">
                  <c:v>3736</c:v>
                </c:pt>
                <c:pt idx="10">
                  <c:v>3832</c:v>
                </c:pt>
                <c:pt idx="11">
                  <c:v>3980</c:v>
                </c:pt>
                <c:pt idx="12">
                  <c:v>4250</c:v>
                </c:pt>
                <c:pt idx="13">
                  <c:v>4150</c:v>
                </c:pt>
                <c:pt idx="14">
                  <c:v>3831</c:v>
                </c:pt>
                <c:pt idx="15">
                  <c:v>4904</c:v>
                </c:pt>
                <c:pt idx="16">
                  <c:v>5179</c:v>
                </c:pt>
                <c:pt idx="17">
                  <c:v>5700</c:v>
                </c:pt>
                <c:pt idx="18">
                  <c:v>6118</c:v>
                </c:pt>
                <c:pt idx="19">
                  <c:v>6500</c:v>
                </c:pt>
                <c:pt idx="20">
                  <c:v>6800</c:v>
                </c:pt>
                <c:pt idx="21">
                  <c:v>7050</c:v>
                </c:pt>
                <c:pt idx="22">
                  <c:v>7350</c:v>
                </c:pt>
                <c:pt idx="23">
                  <c:v>6900.6859999999997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21280"/>
        <c:axId val="323529512"/>
      </c:lineChart>
      <c:catAx>
        <c:axId val="323521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9512"/>
        <c:crosses val="autoZero"/>
        <c:auto val="1"/>
        <c:lblAlgn val="ctr"/>
        <c:lblOffset val="100"/>
        <c:noMultiLvlLbl val="0"/>
      </c:catAx>
      <c:valAx>
        <c:axId val="323529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128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63"/>
          <c:w val="0.845245908485693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Viet!$C$2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Viet!$D$2:$BD$2</c:f>
              <c:numCache>
                <c:formatCode>_(* #,##0_);_(* \(#,##0\);_(* "-"??_);_(@_)</c:formatCode>
                <c:ptCount val="53"/>
                <c:pt idx="0">
                  <c:v>27</c:v>
                </c:pt>
                <c:pt idx="1">
                  <c:v>32</c:v>
                </c:pt>
                <c:pt idx="2">
                  <c:v>38</c:v>
                </c:pt>
                <c:pt idx="3">
                  <c:v>37</c:v>
                </c:pt>
                <c:pt idx="4">
                  <c:v>46</c:v>
                </c:pt>
                <c:pt idx="5">
                  <c:v>44</c:v>
                </c:pt>
                <c:pt idx="6">
                  <c:v>35</c:v>
                </c:pt>
                <c:pt idx="7">
                  <c:v>34</c:v>
                </c:pt>
                <c:pt idx="8">
                  <c:v>32</c:v>
                </c:pt>
                <c:pt idx="9">
                  <c:v>31</c:v>
                </c:pt>
                <c:pt idx="10">
                  <c:v>31</c:v>
                </c:pt>
                <c:pt idx="11">
                  <c:v>34</c:v>
                </c:pt>
                <c:pt idx="12">
                  <c:v>42</c:v>
                </c:pt>
                <c:pt idx="13">
                  <c:v>51</c:v>
                </c:pt>
                <c:pt idx="14">
                  <c:v>50</c:v>
                </c:pt>
                <c:pt idx="15">
                  <c:v>250</c:v>
                </c:pt>
                <c:pt idx="16">
                  <c:v>250</c:v>
                </c:pt>
                <c:pt idx="17">
                  <c:v>408</c:v>
                </c:pt>
                <c:pt idx="18">
                  <c:v>485</c:v>
                </c:pt>
                <c:pt idx="19">
                  <c:v>475</c:v>
                </c:pt>
                <c:pt idx="20">
                  <c:v>418</c:v>
                </c:pt>
                <c:pt idx="21">
                  <c:v>416</c:v>
                </c:pt>
                <c:pt idx="22">
                  <c:v>437</c:v>
                </c:pt>
                <c:pt idx="23">
                  <c:v>467</c:v>
                </c:pt>
                <c:pt idx="24">
                  <c:v>525</c:v>
                </c:pt>
                <c:pt idx="25">
                  <c:v>525</c:v>
                </c:pt>
                <c:pt idx="26">
                  <c:v>570</c:v>
                </c:pt>
                <c:pt idx="27">
                  <c:v>561</c:v>
                </c:pt>
                <c:pt idx="28">
                  <c:v>815</c:v>
                </c:pt>
                <c:pt idx="29">
                  <c:v>838</c:v>
                </c:pt>
                <c:pt idx="30">
                  <c:v>671</c:v>
                </c:pt>
                <c:pt idx="31">
                  <c:v>672</c:v>
                </c:pt>
                <c:pt idx="32">
                  <c:v>748</c:v>
                </c:pt>
                <c:pt idx="33">
                  <c:v>882</c:v>
                </c:pt>
                <c:pt idx="34">
                  <c:v>1144</c:v>
                </c:pt>
                <c:pt idx="35">
                  <c:v>1177</c:v>
                </c:pt>
                <c:pt idx="36">
                  <c:v>1537</c:v>
                </c:pt>
                <c:pt idx="37">
                  <c:v>1650</c:v>
                </c:pt>
                <c:pt idx="38">
                  <c:v>1612</c:v>
                </c:pt>
                <c:pt idx="39">
                  <c:v>1750</c:v>
                </c:pt>
                <c:pt idx="40">
                  <c:v>2005</c:v>
                </c:pt>
                <c:pt idx="41">
                  <c:v>2112</c:v>
                </c:pt>
                <c:pt idx="42">
                  <c:v>2313</c:v>
                </c:pt>
                <c:pt idx="43">
                  <c:v>2800</c:v>
                </c:pt>
                <c:pt idx="44">
                  <c:v>3757</c:v>
                </c:pt>
                <c:pt idx="45">
                  <c:v>3818</c:v>
                </c:pt>
                <c:pt idx="46">
                  <c:v>4251</c:v>
                </c:pt>
                <c:pt idx="47">
                  <c:v>4600</c:v>
                </c:pt>
                <c:pt idx="48">
                  <c:v>4432</c:v>
                </c:pt>
                <c:pt idx="49">
                  <c:v>5280</c:v>
                </c:pt>
                <c:pt idx="50">
                  <c:v>4835.7160000000003</c:v>
                </c:pt>
                <c:pt idx="51">
                  <c:v>4803.1959999999999</c:v>
                </c:pt>
                <c:pt idx="52">
                  <c:v>5190.8950000000004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Viet!$C$3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Viet!$D$3:$BD$3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57</c:v>
                </c:pt>
                <c:pt idx="3">
                  <c:v>62</c:v>
                </c:pt>
                <c:pt idx="4">
                  <c:v>47</c:v>
                </c:pt>
                <c:pt idx="5">
                  <c:v>30</c:v>
                </c:pt>
                <c:pt idx="6">
                  <c:v>40</c:v>
                </c:pt>
                <c:pt idx="7">
                  <c:v>0</c:v>
                </c:pt>
                <c:pt idx="8">
                  <c:v>43</c:v>
                </c:pt>
                <c:pt idx="9">
                  <c:v>131</c:v>
                </c:pt>
                <c:pt idx="10">
                  <c:v>80</c:v>
                </c:pt>
                <c:pt idx="11">
                  <c:v>90</c:v>
                </c:pt>
                <c:pt idx="12">
                  <c:v>80</c:v>
                </c:pt>
                <c:pt idx="13">
                  <c:v>45</c:v>
                </c:pt>
                <c:pt idx="14">
                  <c:v>50</c:v>
                </c:pt>
                <c:pt idx="15">
                  <c:v>60</c:v>
                </c:pt>
                <c:pt idx="16">
                  <c:v>60</c:v>
                </c:pt>
                <c:pt idx="17">
                  <c:v>96</c:v>
                </c:pt>
                <c:pt idx="18">
                  <c:v>105</c:v>
                </c:pt>
                <c:pt idx="19">
                  <c:v>110</c:v>
                </c:pt>
                <c:pt idx="20">
                  <c:v>110</c:v>
                </c:pt>
                <c:pt idx="21">
                  <c:v>110</c:v>
                </c:pt>
                <c:pt idx="22">
                  <c:v>110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40</c:v>
                </c:pt>
                <c:pt idx="33">
                  <c:v>13</c:v>
                </c:pt>
                <c:pt idx="34">
                  <c:v>25</c:v>
                </c:pt>
                <c:pt idx="35">
                  <c:v>32</c:v>
                </c:pt>
                <c:pt idx="36">
                  <c:v>17</c:v>
                </c:pt>
                <c:pt idx="37">
                  <c:v>77</c:v>
                </c:pt>
                <c:pt idx="38">
                  <c:v>107</c:v>
                </c:pt>
                <c:pt idx="39">
                  <c:v>200</c:v>
                </c:pt>
                <c:pt idx="40">
                  <c:v>50</c:v>
                </c:pt>
                <c:pt idx="41">
                  <c:v>122</c:v>
                </c:pt>
                <c:pt idx="42">
                  <c:v>311</c:v>
                </c:pt>
                <c:pt idx="43">
                  <c:v>204</c:v>
                </c:pt>
                <c:pt idx="44">
                  <c:v>206</c:v>
                </c:pt>
                <c:pt idx="45">
                  <c:v>475</c:v>
                </c:pt>
                <c:pt idx="46">
                  <c:v>650</c:v>
                </c:pt>
                <c:pt idx="47">
                  <c:v>500</c:v>
                </c:pt>
                <c:pt idx="48">
                  <c:v>1100</c:v>
                </c:pt>
                <c:pt idx="49">
                  <c:v>1500</c:v>
                </c:pt>
                <c:pt idx="50">
                  <c:v>877.84699999999998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Viet!$C$4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Viet!$D$4:$BD$4</c:f>
              <c:numCache>
                <c:formatCode>_(* #,##0_);_(* \(#,##0\);_(* "-"??_);_(@_)</c:formatCode>
                <c:ptCount val="53"/>
                <c:pt idx="0">
                  <c:v>18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5</c:v>
                </c:pt>
                <c:pt idx="23">
                  <c:v>50</c:v>
                </c:pt>
                <c:pt idx="24">
                  <c:v>25</c:v>
                </c:pt>
                <c:pt idx="25">
                  <c:v>45</c:v>
                </c:pt>
                <c:pt idx="26">
                  <c:v>8</c:v>
                </c:pt>
                <c:pt idx="27">
                  <c:v>27</c:v>
                </c:pt>
                <c:pt idx="28">
                  <c:v>92</c:v>
                </c:pt>
                <c:pt idx="29">
                  <c:v>49</c:v>
                </c:pt>
                <c:pt idx="30">
                  <c:v>25</c:v>
                </c:pt>
                <c:pt idx="31">
                  <c:v>54</c:v>
                </c:pt>
                <c:pt idx="32">
                  <c:v>52</c:v>
                </c:pt>
                <c:pt idx="33">
                  <c:v>94</c:v>
                </c:pt>
                <c:pt idx="34">
                  <c:v>30</c:v>
                </c:pt>
                <c:pt idx="35">
                  <c:v>66</c:v>
                </c:pt>
                <c:pt idx="36">
                  <c:v>19</c:v>
                </c:pt>
                <c:pt idx="37">
                  <c:v>4</c:v>
                </c:pt>
                <c:pt idx="38">
                  <c:v>0</c:v>
                </c:pt>
                <c:pt idx="39">
                  <c:v>0</c:v>
                </c:pt>
                <c:pt idx="40">
                  <c:v>98</c:v>
                </c:pt>
                <c:pt idx="41">
                  <c:v>17</c:v>
                </c:pt>
                <c:pt idx="42">
                  <c:v>1</c:v>
                </c:pt>
                <c:pt idx="43">
                  <c:v>43</c:v>
                </c:pt>
                <c:pt idx="44">
                  <c:v>41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10</c:v>
                </c:pt>
                <c:pt idx="49">
                  <c:v>0</c:v>
                </c:pt>
                <c:pt idx="50">
                  <c:v>0.76200000000000001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Viet!$C$5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Viet!$D$5:$BD$5</c:f>
              <c:numCache>
                <c:formatCode>_(* #,##0_);_(* \(#,##0\);_(* "-"??_);_(@_)</c:formatCode>
                <c:ptCount val="53"/>
                <c:pt idx="0">
                  <c:v>9</c:v>
                </c:pt>
                <c:pt idx="1">
                  <c:v>30</c:v>
                </c:pt>
                <c:pt idx="2">
                  <c:v>95</c:v>
                </c:pt>
                <c:pt idx="3">
                  <c:v>99</c:v>
                </c:pt>
                <c:pt idx="4">
                  <c:v>93</c:v>
                </c:pt>
                <c:pt idx="5">
                  <c:v>74</c:v>
                </c:pt>
                <c:pt idx="6">
                  <c:v>75</c:v>
                </c:pt>
                <c:pt idx="7">
                  <c:v>34</c:v>
                </c:pt>
                <c:pt idx="8">
                  <c:v>75</c:v>
                </c:pt>
                <c:pt idx="9">
                  <c:v>162</c:v>
                </c:pt>
                <c:pt idx="10">
                  <c:v>111</c:v>
                </c:pt>
                <c:pt idx="11">
                  <c:v>124</c:v>
                </c:pt>
                <c:pt idx="12">
                  <c:v>122</c:v>
                </c:pt>
                <c:pt idx="13">
                  <c:v>96</c:v>
                </c:pt>
                <c:pt idx="14">
                  <c:v>100</c:v>
                </c:pt>
                <c:pt idx="15">
                  <c:v>310</c:v>
                </c:pt>
                <c:pt idx="16">
                  <c:v>310</c:v>
                </c:pt>
                <c:pt idx="17">
                  <c:v>504</c:v>
                </c:pt>
                <c:pt idx="18">
                  <c:v>590</c:v>
                </c:pt>
                <c:pt idx="19">
                  <c:v>585</c:v>
                </c:pt>
                <c:pt idx="20">
                  <c:v>528</c:v>
                </c:pt>
                <c:pt idx="21">
                  <c:v>526</c:v>
                </c:pt>
                <c:pt idx="22">
                  <c:v>542</c:v>
                </c:pt>
                <c:pt idx="23">
                  <c:v>417</c:v>
                </c:pt>
                <c:pt idx="24">
                  <c:v>500</c:v>
                </c:pt>
                <c:pt idx="25">
                  <c:v>480</c:v>
                </c:pt>
                <c:pt idx="26">
                  <c:v>562</c:v>
                </c:pt>
                <c:pt idx="27">
                  <c:v>534</c:v>
                </c:pt>
                <c:pt idx="28">
                  <c:v>723</c:v>
                </c:pt>
                <c:pt idx="29">
                  <c:v>789</c:v>
                </c:pt>
                <c:pt idx="30">
                  <c:v>646</c:v>
                </c:pt>
                <c:pt idx="31">
                  <c:v>618</c:v>
                </c:pt>
                <c:pt idx="32">
                  <c:v>736</c:v>
                </c:pt>
                <c:pt idx="33">
                  <c:v>801</c:v>
                </c:pt>
                <c:pt idx="34">
                  <c:v>1139</c:v>
                </c:pt>
                <c:pt idx="35">
                  <c:v>1143</c:v>
                </c:pt>
                <c:pt idx="36">
                  <c:v>1535</c:v>
                </c:pt>
                <c:pt idx="37">
                  <c:v>1723</c:v>
                </c:pt>
                <c:pt idx="38">
                  <c:v>1719</c:v>
                </c:pt>
                <c:pt idx="39">
                  <c:v>1950</c:v>
                </c:pt>
                <c:pt idx="40">
                  <c:v>1957</c:v>
                </c:pt>
                <c:pt idx="41">
                  <c:v>2217</c:v>
                </c:pt>
                <c:pt idx="42">
                  <c:v>2600</c:v>
                </c:pt>
                <c:pt idx="43">
                  <c:v>2650</c:v>
                </c:pt>
                <c:pt idx="44">
                  <c:v>3900</c:v>
                </c:pt>
                <c:pt idx="45">
                  <c:v>4250</c:v>
                </c:pt>
                <c:pt idx="46">
                  <c:v>4900</c:v>
                </c:pt>
                <c:pt idx="47">
                  <c:v>5200</c:v>
                </c:pt>
                <c:pt idx="48">
                  <c:v>5400</c:v>
                </c:pt>
                <c:pt idx="49">
                  <c:v>6300</c:v>
                </c:pt>
                <c:pt idx="50">
                  <c:v>5712.8010000000004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29904"/>
        <c:axId val="323524024"/>
      </c:lineChart>
      <c:catAx>
        <c:axId val="323529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4024"/>
        <c:crosses val="autoZero"/>
        <c:auto val="1"/>
        <c:lblAlgn val="ctr"/>
        <c:lblOffset val="100"/>
        <c:noMultiLvlLbl val="0"/>
      </c:catAx>
      <c:valAx>
        <c:axId val="32352402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990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9.7826741446119678E-2"/>
          <c:y val="0.91576208276995641"/>
          <c:w val="0.22186267659018788"/>
          <c:h val="8.4237917230043216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Viet!$C$6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Viet!$D$6:$BD$6</c:f>
              <c:numCache>
                <c:formatCode>_(* #,##0_);_(* \(#,##0\);_(* "-"??_);_(@_)</c:formatCode>
                <c:ptCount val="53"/>
                <c:pt idx="0">
                  <c:v>9</c:v>
                </c:pt>
                <c:pt idx="1">
                  <c:v>10</c:v>
                </c:pt>
                <c:pt idx="2">
                  <c:v>9</c:v>
                </c:pt>
                <c:pt idx="3">
                  <c:v>9</c:v>
                </c:pt>
                <c:pt idx="4">
                  <c:v>8</c:v>
                </c:pt>
                <c:pt idx="5">
                  <c:v>8</c:v>
                </c:pt>
                <c:pt idx="6">
                  <c:v>6</c:v>
                </c:pt>
                <c:pt idx="7">
                  <c:v>8</c:v>
                </c:pt>
                <c:pt idx="8">
                  <c:v>8</c:v>
                </c:pt>
                <c:pt idx="9">
                  <c:v>8</c:v>
                </c:pt>
                <c:pt idx="10">
                  <c:v>5</c:v>
                </c:pt>
                <c:pt idx="11">
                  <c:v>3</c:v>
                </c:pt>
                <c:pt idx="12">
                  <c:v>8</c:v>
                </c:pt>
                <c:pt idx="13">
                  <c:v>8</c:v>
                </c:pt>
                <c:pt idx="14">
                  <c:v>8</c:v>
                </c:pt>
                <c:pt idx="15">
                  <c:v>3</c:v>
                </c:pt>
                <c:pt idx="16">
                  <c:v>3</c:v>
                </c:pt>
                <c:pt idx="17">
                  <c:v>4</c:v>
                </c:pt>
                <c:pt idx="18">
                  <c:v>5</c:v>
                </c:pt>
                <c:pt idx="19">
                  <c:v>3</c:v>
                </c:pt>
                <c:pt idx="20">
                  <c:v>3</c:v>
                </c:pt>
                <c:pt idx="21">
                  <c:v>3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7</c:v>
                </c:pt>
                <c:pt idx="26">
                  <c:v>7</c:v>
                </c:pt>
                <c:pt idx="27">
                  <c:v>6</c:v>
                </c:pt>
                <c:pt idx="28">
                  <c:v>6</c:v>
                </c:pt>
                <c:pt idx="29">
                  <c:v>5</c:v>
                </c:pt>
                <c:pt idx="30">
                  <c:v>4</c:v>
                </c:pt>
                <c:pt idx="31">
                  <c:v>13</c:v>
                </c:pt>
                <c:pt idx="32">
                  <c:v>19</c:v>
                </c:pt>
                <c:pt idx="33">
                  <c:v>8</c:v>
                </c:pt>
                <c:pt idx="34">
                  <c:v>13</c:v>
                </c:pt>
                <c:pt idx="35">
                  <c:v>20</c:v>
                </c:pt>
                <c:pt idx="36">
                  <c:v>17</c:v>
                </c:pt>
                <c:pt idx="37">
                  <c:v>21</c:v>
                </c:pt>
                <c:pt idx="38">
                  <c:v>31</c:v>
                </c:pt>
                <c:pt idx="39">
                  <c:v>35</c:v>
                </c:pt>
                <c:pt idx="40">
                  <c:v>43</c:v>
                </c:pt>
                <c:pt idx="41">
                  <c:v>48</c:v>
                </c:pt>
                <c:pt idx="42">
                  <c:v>52</c:v>
                </c:pt>
                <c:pt idx="43">
                  <c:v>57</c:v>
                </c:pt>
                <c:pt idx="44">
                  <c:v>47</c:v>
                </c:pt>
                <c:pt idx="45">
                  <c:v>48</c:v>
                </c:pt>
                <c:pt idx="46">
                  <c:v>49</c:v>
                </c:pt>
                <c:pt idx="47">
                  <c:v>26</c:v>
                </c:pt>
                <c:pt idx="48">
                  <c:v>12</c:v>
                </c:pt>
                <c:pt idx="49">
                  <c:v>17</c:v>
                </c:pt>
                <c:pt idx="50">
                  <c:v>4.26</c:v>
                </c:pt>
                <c:pt idx="51">
                  <c:v>2.94</c:v>
                </c:pt>
                <c:pt idx="52">
                  <c:v>1.083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Viet!$C$7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Viet!$D$7:$BD$7</c:f>
              <c:numCache>
                <c:formatCode>_(* #,##0_);_(* \(#,##0\);_(* "-"??_);_(@_)</c:formatCode>
                <c:ptCount val="53"/>
                <c:pt idx="0">
                  <c:v>30</c:v>
                </c:pt>
                <c:pt idx="1">
                  <c:v>30</c:v>
                </c:pt>
                <c:pt idx="2">
                  <c:v>35</c:v>
                </c:pt>
                <c:pt idx="3">
                  <c:v>75</c:v>
                </c:pt>
                <c:pt idx="4">
                  <c:v>60</c:v>
                </c:pt>
                <c:pt idx="5">
                  <c:v>65</c:v>
                </c:pt>
                <c:pt idx="6">
                  <c:v>105</c:v>
                </c:pt>
                <c:pt idx="7">
                  <c:v>40</c:v>
                </c:pt>
                <c:pt idx="8">
                  <c:v>95</c:v>
                </c:pt>
                <c:pt idx="9">
                  <c:v>125</c:v>
                </c:pt>
                <c:pt idx="10">
                  <c:v>150</c:v>
                </c:pt>
                <c:pt idx="11">
                  <c:v>150</c:v>
                </c:pt>
                <c:pt idx="12">
                  <c:v>145</c:v>
                </c:pt>
                <c:pt idx="13">
                  <c:v>120</c:v>
                </c:pt>
                <c:pt idx="14">
                  <c:v>75</c:v>
                </c:pt>
                <c:pt idx="15">
                  <c:v>95</c:v>
                </c:pt>
                <c:pt idx="16">
                  <c:v>110</c:v>
                </c:pt>
                <c:pt idx="17">
                  <c:v>125</c:v>
                </c:pt>
                <c:pt idx="18">
                  <c:v>170</c:v>
                </c:pt>
                <c:pt idx="19">
                  <c:v>170</c:v>
                </c:pt>
                <c:pt idx="20">
                  <c:v>140</c:v>
                </c:pt>
                <c:pt idx="21">
                  <c:v>180</c:v>
                </c:pt>
                <c:pt idx="22">
                  <c:v>192</c:v>
                </c:pt>
                <c:pt idx="23">
                  <c:v>194</c:v>
                </c:pt>
                <c:pt idx="24">
                  <c:v>207</c:v>
                </c:pt>
                <c:pt idx="25">
                  <c:v>239</c:v>
                </c:pt>
                <c:pt idx="26">
                  <c:v>276</c:v>
                </c:pt>
                <c:pt idx="27">
                  <c:v>294</c:v>
                </c:pt>
                <c:pt idx="28">
                  <c:v>261</c:v>
                </c:pt>
                <c:pt idx="29">
                  <c:v>257</c:v>
                </c:pt>
                <c:pt idx="30">
                  <c:v>202</c:v>
                </c:pt>
                <c:pt idx="31">
                  <c:v>83</c:v>
                </c:pt>
                <c:pt idx="32">
                  <c:v>46</c:v>
                </c:pt>
                <c:pt idx="33">
                  <c:v>110</c:v>
                </c:pt>
                <c:pt idx="34">
                  <c:v>165</c:v>
                </c:pt>
                <c:pt idx="35">
                  <c:v>161</c:v>
                </c:pt>
                <c:pt idx="36">
                  <c:v>165</c:v>
                </c:pt>
                <c:pt idx="37">
                  <c:v>170</c:v>
                </c:pt>
                <c:pt idx="38">
                  <c:v>270</c:v>
                </c:pt>
                <c:pt idx="39">
                  <c:v>330</c:v>
                </c:pt>
                <c:pt idx="40">
                  <c:v>400</c:v>
                </c:pt>
                <c:pt idx="41">
                  <c:v>435</c:v>
                </c:pt>
                <c:pt idx="42">
                  <c:v>400</c:v>
                </c:pt>
                <c:pt idx="43">
                  <c:v>540</c:v>
                </c:pt>
                <c:pt idx="44">
                  <c:v>690</c:v>
                </c:pt>
                <c:pt idx="45">
                  <c:v>694</c:v>
                </c:pt>
                <c:pt idx="46">
                  <c:v>978</c:v>
                </c:pt>
                <c:pt idx="47">
                  <c:v>1208</c:v>
                </c:pt>
                <c:pt idx="48">
                  <c:v>1251</c:v>
                </c:pt>
                <c:pt idx="49">
                  <c:v>1690</c:v>
                </c:pt>
                <c:pt idx="50">
                  <c:v>327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Viet!$C$8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Viet!$D$8:$BD$8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5</c:v>
                </c:pt>
                <c:pt idx="26">
                  <c:v>15</c:v>
                </c:pt>
                <c:pt idx="27">
                  <c:v>20</c:v>
                </c:pt>
                <c:pt idx="28">
                  <c:v>20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1.756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Viet!$C$9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Viet!$D$9:$BD$9</c:f>
              <c:numCache>
                <c:formatCode>_(* #,##0_);_(* \(#,##0\);_(* "-"??_);_(@_)</c:formatCode>
                <c:ptCount val="53"/>
                <c:pt idx="0">
                  <c:v>33</c:v>
                </c:pt>
                <c:pt idx="1">
                  <c:v>41</c:v>
                </c:pt>
                <c:pt idx="2">
                  <c:v>43</c:v>
                </c:pt>
                <c:pt idx="3">
                  <c:v>73</c:v>
                </c:pt>
                <c:pt idx="4">
                  <c:v>70</c:v>
                </c:pt>
                <c:pt idx="5">
                  <c:v>85</c:v>
                </c:pt>
                <c:pt idx="6">
                  <c:v>80</c:v>
                </c:pt>
                <c:pt idx="7">
                  <c:v>65</c:v>
                </c:pt>
                <c:pt idx="8">
                  <c:v>103</c:v>
                </c:pt>
                <c:pt idx="9">
                  <c:v>115</c:v>
                </c:pt>
                <c:pt idx="10">
                  <c:v>147</c:v>
                </c:pt>
                <c:pt idx="11">
                  <c:v>145</c:v>
                </c:pt>
                <c:pt idx="12">
                  <c:v>150</c:v>
                </c:pt>
                <c:pt idx="13">
                  <c:v>155</c:v>
                </c:pt>
                <c:pt idx="14">
                  <c:v>100</c:v>
                </c:pt>
                <c:pt idx="15">
                  <c:v>100</c:v>
                </c:pt>
                <c:pt idx="16">
                  <c:v>105</c:v>
                </c:pt>
                <c:pt idx="17">
                  <c:v>115</c:v>
                </c:pt>
                <c:pt idx="18">
                  <c:v>145</c:v>
                </c:pt>
                <c:pt idx="19">
                  <c:v>165</c:v>
                </c:pt>
                <c:pt idx="20">
                  <c:v>165</c:v>
                </c:pt>
                <c:pt idx="21">
                  <c:v>179</c:v>
                </c:pt>
                <c:pt idx="22">
                  <c:v>185</c:v>
                </c:pt>
                <c:pt idx="23">
                  <c:v>200</c:v>
                </c:pt>
                <c:pt idx="24">
                  <c:v>215</c:v>
                </c:pt>
                <c:pt idx="25">
                  <c:v>239</c:v>
                </c:pt>
                <c:pt idx="26">
                  <c:v>261</c:v>
                </c:pt>
                <c:pt idx="27">
                  <c:v>271</c:v>
                </c:pt>
                <c:pt idx="28">
                  <c:v>261</c:v>
                </c:pt>
                <c:pt idx="29">
                  <c:v>261</c:v>
                </c:pt>
                <c:pt idx="30">
                  <c:v>188</c:v>
                </c:pt>
                <c:pt idx="31">
                  <c:v>115</c:v>
                </c:pt>
                <c:pt idx="32">
                  <c:v>83</c:v>
                </c:pt>
                <c:pt idx="33">
                  <c:v>119</c:v>
                </c:pt>
                <c:pt idx="34">
                  <c:v>161</c:v>
                </c:pt>
                <c:pt idx="35">
                  <c:v>170</c:v>
                </c:pt>
                <c:pt idx="36">
                  <c:v>184</c:v>
                </c:pt>
                <c:pt idx="37">
                  <c:v>207</c:v>
                </c:pt>
                <c:pt idx="38">
                  <c:v>301</c:v>
                </c:pt>
                <c:pt idx="39">
                  <c:v>350</c:v>
                </c:pt>
                <c:pt idx="40">
                  <c:v>430</c:v>
                </c:pt>
                <c:pt idx="41">
                  <c:v>460</c:v>
                </c:pt>
                <c:pt idx="42">
                  <c:v>450</c:v>
                </c:pt>
                <c:pt idx="43">
                  <c:v>575</c:v>
                </c:pt>
                <c:pt idx="44">
                  <c:v>700</c:v>
                </c:pt>
                <c:pt idx="45">
                  <c:v>750</c:v>
                </c:pt>
                <c:pt idx="46">
                  <c:v>975</c:v>
                </c:pt>
                <c:pt idx="47">
                  <c:v>1200</c:v>
                </c:pt>
                <c:pt idx="48">
                  <c:v>1250</c:v>
                </c:pt>
                <c:pt idx="49">
                  <c:v>1600</c:v>
                </c:pt>
                <c:pt idx="50">
                  <c:v>329.50400000000002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22456"/>
        <c:axId val="323524416"/>
      </c:lineChart>
      <c:catAx>
        <c:axId val="323522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4416"/>
        <c:crosses val="autoZero"/>
        <c:auto val="1"/>
        <c:lblAlgn val="ctr"/>
        <c:lblOffset val="100"/>
        <c:noMultiLvlLbl val="0"/>
      </c:catAx>
      <c:valAx>
        <c:axId val="32352441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245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2142219117220377"/>
          <c:h val="0.1078069407990667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Viet!$C$10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Viet!$D$10:$BD$10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15</c:v>
                </c:pt>
                <c:pt idx="13">
                  <c:v>15</c:v>
                </c:pt>
                <c:pt idx="14">
                  <c:v>15</c:v>
                </c:pt>
                <c:pt idx="15">
                  <c:v>22</c:v>
                </c:pt>
                <c:pt idx="16">
                  <c:v>20</c:v>
                </c:pt>
                <c:pt idx="17">
                  <c:v>24</c:v>
                </c:pt>
                <c:pt idx="18">
                  <c:v>20</c:v>
                </c:pt>
                <c:pt idx="19">
                  <c:v>32</c:v>
                </c:pt>
                <c:pt idx="20">
                  <c:v>56</c:v>
                </c:pt>
                <c:pt idx="21">
                  <c:v>76</c:v>
                </c:pt>
                <c:pt idx="22">
                  <c:v>64</c:v>
                </c:pt>
                <c:pt idx="23">
                  <c:v>67</c:v>
                </c:pt>
                <c:pt idx="24">
                  <c:v>86</c:v>
                </c:pt>
                <c:pt idx="25">
                  <c:v>79</c:v>
                </c:pt>
                <c:pt idx="26">
                  <c:v>85</c:v>
                </c:pt>
                <c:pt idx="27">
                  <c:v>96</c:v>
                </c:pt>
                <c:pt idx="28">
                  <c:v>85</c:v>
                </c:pt>
                <c:pt idx="29">
                  <c:v>82</c:v>
                </c:pt>
                <c:pt idx="30">
                  <c:v>87</c:v>
                </c:pt>
                <c:pt idx="31">
                  <c:v>80</c:v>
                </c:pt>
                <c:pt idx="32">
                  <c:v>80</c:v>
                </c:pt>
                <c:pt idx="33">
                  <c:v>106</c:v>
                </c:pt>
                <c:pt idx="34">
                  <c:v>125</c:v>
                </c:pt>
                <c:pt idx="35">
                  <c:v>126</c:v>
                </c:pt>
                <c:pt idx="36">
                  <c:v>114</c:v>
                </c:pt>
                <c:pt idx="37">
                  <c:v>113</c:v>
                </c:pt>
                <c:pt idx="38">
                  <c:v>147</c:v>
                </c:pt>
                <c:pt idx="39">
                  <c:v>147</c:v>
                </c:pt>
                <c:pt idx="40">
                  <c:v>149</c:v>
                </c:pt>
                <c:pt idx="41">
                  <c:v>174</c:v>
                </c:pt>
                <c:pt idx="42">
                  <c:v>206</c:v>
                </c:pt>
                <c:pt idx="43">
                  <c:v>220</c:v>
                </c:pt>
                <c:pt idx="44">
                  <c:v>246</c:v>
                </c:pt>
                <c:pt idx="45">
                  <c:v>292</c:v>
                </c:pt>
                <c:pt idx="46">
                  <c:v>258</c:v>
                </c:pt>
                <c:pt idx="47">
                  <c:v>276</c:v>
                </c:pt>
                <c:pt idx="48">
                  <c:v>269</c:v>
                </c:pt>
                <c:pt idx="49">
                  <c:v>300</c:v>
                </c:pt>
                <c:pt idx="50">
                  <c:v>266.53800000000001</c:v>
                </c:pt>
                <c:pt idx="51">
                  <c:v>175.29499999999999</c:v>
                </c:pt>
                <c:pt idx="52">
                  <c:v>168.29599999999999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Viet!$C$11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Viet!$D$11:$BD$11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3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24</c:v>
                </c:pt>
                <c:pt idx="35">
                  <c:v>30</c:v>
                </c:pt>
                <c:pt idx="36">
                  <c:v>30</c:v>
                </c:pt>
                <c:pt idx="37">
                  <c:v>30</c:v>
                </c:pt>
                <c:pt idx="38">
                  <c:v>50</c:v>
                </c:pt>
                <c:pt idx="39">
                  <c:v>50</c:v>
                </c:pt>
                <c:pt idx="40">
                  <c:v>32</c:v>
                </c:pt>
                <c:pt idx="41">
                  <c:v>27</c:v>
                </c:pt>
                <c:pt idx="42">
                  <c:v>34</c:v>
                </c:pt>
                <c:pt idx="43">
                  <c:v>39</c:v>
                </c:pt>
                <c:pt idx="44">
                  <c:v>6</c:v>
                </c:pt>
                <c:pt idx="45">
                  <c:v>46</c:v>
                </c:pt>
                <c:pt idx="46">
                  <c:v>74</c:v>
                </c:pt>
                <c:pt idx="47">
                  <c:v>120</c:v>
                </c:pt>
                <c:pt idx="48">
                  <c:v>184</c:v>
                </c:pt>
                <c:pt idx="49">
                  <c:v>220</c:v>
                </c:pt>
                <c:pt idx="50">
                  <c:v>909.04200000000003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Viet!$C$12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Viet!$D$12:$BD$12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11</c:v>
                </c:pt>
                <c:pt idx="22">
                  <c:v>17</c:v>
                </c:pt>
                <c:pt idx="23">
                  <c:v>5</c:v>
                </c:pt>
                <c:pt idx="24">
                  <c:v>25</c:v>
                </c:pt>
                <c:pt idx="25">
                  <c:v>40</c:v>
                </c:pt>
                <c:pt idx="26">
                  <c:v>25</c:v>
                </c:pt>
                <c:pt idx="27">
                  <c:v>44</c:v>
                </c:pt>
                <c:pt idx="28">
                  <c:v>56</c:v>
                </c:pt>
                <c:pt idx="29">
                  <c:v>50</c:v>
                </c:pt>
                <c:pt idx="30">
                  <c:v>58</c:v>
                </c:pt>
                <c:pt idx="31">
                  <c:v>9</c:v>
                </c:pt>
                <c:pt idx="32">
                  <c:v>3</c:v>
                </c:pt>
                <c:pt idx="33">
                  <c:v>26</c:v>
                </c:pt>
                <c:pt idx="34">
                  <c:v>42</c:v>
                </c:pt>
                <c:pt idx="35">
                  <c:v>50</c:v>
                </c:pt>
                <c:pt idx="36">
                  <c:v>37</c:v>
                </c:pt>
                <c:pt idx="37">
                  <c:v>30</c:v>
                </c:pt>
                <c:pt idx="38">
                  <c:v>15</c:v>
                </c:pt>
                <c:pt idx="39">
                  <c:v>1</c:v>
                </c:pt>
                <c:pt idx="40">
                  <c:v>2</c:v>
                </c:pt>
                <c:pt idx="41">
                  <c:v>4</c:v>
                </c:pt>
                <c:pt idx="42">
                  <c:v>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34.299999999999997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Viet!$C$13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Viet!$D$13:$BD$13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15</c:v>
                </c:pt>
                <c:pt idx="13">
                  <c:v>15</c:v>
                </c:pt>
                <c:pt idx="14">
                  <c:v>17</c:v>
                </c:pt>
                <c:pt idx="15">
                  <c:v>24</c:v>
                </c:pt>
                <c:pt idx="16">
                  <c:v>22</c:v>
                </c:pt>
                <c:pt idx="17">
                  <c:v>24</c:v>
                </c:pt>
                <c:pt idx="18">
                  <c:v>20</c:v>
                </c:pt>
                <c:pt idx="19">
                  <c:v>32</c:v>
                </c:pt>
                <c:pt idx="20">
                  <c:v>56</c:v>
                </c:pt>
                <c:pt idx="21">
                  <c:v>68</c:v>
                </c:pt>
                <c:pt idx="22">
                  <c:v>47</c:v>
                </c:pt>
                <c:pt idx="23">
                  <c:v>62</c:v>
                </c:pt>
                <c:pt idx="24">
                  <c:v>61</c:v>
                </c:pt>
                <c:pt idx="25">
                  <c:v>39</c:v>
                </c:pt>
                <c:pt idx="26">
                  <c:v>60</c:v>
                </c:pt>
                <c:pt idx="27">
                  <c:v>52</c:v>
                </c:pt>
                <c:pt idx="28">
                  <c:v>29</c:v>
                </c:pt>
                <c:pt idx="29">
                  <c:v>32</c:v>
                </c:pt>
                <c:pt idx="30">
                  <c:v>29</c:v>
                </c:pt>
                <c:pt idx="31">
                  <c:v>71</c:v>
                </c:pt>
                <c:pt idx="32">
                  <c:v>77</c:v>
                </c:pt>
                <c:pt idx="33">
                  <c:v>80</c:v>
                </c:pt>
                <c:pt idx="34">
                  <c:v>107</c:v>
                </c:pt>
                <c:pt idx="35">
                  <c:v>106</c:v>
                </c:pt>
                <c:pt idx="36">
                  <c:v>107</c:v>
                </c:pt>
                <c:pt idx="37">
                  <c:v>113</c:v>
                </c:pt>
                <c:pt idx="38">
                  <c:v>182</c:v>
                </c:pt>
                <c:pt idx="39">
                  <c:v>196</c:v>
                </c:pt>
                <c:pt idx="40">
                  <c:v>179</c:v>
                </c:pt>
                <c:pt idx="41">
                  <c:v>197</c:v>
                </c:pt>
                <c:pt idx="42">
                  <c:v>235</c:v>
                </c:pt>
                <c:pt idx="43">
                  <c:v>259</c:v>
                </c:pt>
                <c:pt idx="44">
                  <c:v>252</c:v>
                </c:pt>
                <c:pt idx="45">
                  <c:v>318</c:v>
                </c:pt>
                <c:pt idx="46">
                  <c:v>329</c:v>
                </c:pt>
                <c:pt idx="47">
                  <c:v>414</c:v>
                </c:pt>
                <c:pt idx="48">
                  <c:v>445</c:v>
                </c:pt>
                <c:pt idx="49">
                  <c:v>505</c:v>
                </c:pt>
                <c:pt idx="50">
                  <c:v>1141.28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26376"/>
        <c:axId val="323523240"/>
      </c:lineChart>
      <c:catAx>
        <c:axId val="323526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3240"/>
        <c:crosses val="autoZero"/>
        <c:auto val="1"/>
        <c:lblAlgn val="ctr"/>
        <c:lblOffset val="100"/>
        <c:noMultiLvlLbl val="0"/>
      </c:catAx>
      <c:valAx>
        <c:axId val="32352324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637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11069539340274236"/>
          <c:h val="0.107807002848048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Viet!$C$14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Viet!$D$14:$BD$14</c:f>
              <c:numCache>
                <c:formatCode>_(* #,##0_);_(* \(#,##0\);_(* "-"??_);_(@_)</c:formatCode>
                <c:ptCount val="53"/>
                <c:pt idx="0">
                  <c:v>5959</c:v>
                </c:pt>
                <c:pt idx="1">
                  <c:v>6018</c:v>
                </c:pt>
                <c:pt idx="2">
                  <c:v>6335</c:v>
                </c:pt>
                <c:pt idx="3">
                  <c:v>6255</c:v>
                </c:pt>
                <c:pt idx="4">
                  <c:v>6303</c:v>
                </c:pt>
                <c:pt idx="5">
                  <c:v>6066</c:v>
                </c:pt>
                <c:pt idx="6">
                  <c:v>5483</c:v>
                </c:pt>
                <c:pt idx="7">
                  <c:v>5647</c:v>
                </c:pt>
                <c:pt idx="8">
                  <c:v>5308</c:v>
                </c:pt>
                <c:pt idx="9">
                  <c:v>5925</c:v>
                </c:pt>
                <c:pt idx="10">
                  <c:v>6445</c:v>
                </c:pt>
                <c:pt idx="11">
                  <c:v>6646</c:v>
                </c:pt>
                <c:pt idx="12">
                  <c:v>6986</c:v>
                </c:pt>
                <c:pt idx="13">
                  <c:v>7231</c:v>
                </c:pt>
                <c:pt idx="14">
                  <c:v>7165</c:v>
                </c:pt>
                <c:pt idx="15">
                  <c:v>6850</c:v>
                </c:pt>
                <c:pt idx="16">
                  <c:v>7849</c:v>
                </c:pt>
                <c:pt idx="17">
                  <c:v>7075</c:v>
                </c:pt>
                <c:pt idx="18">
                  <c:v>6526</c:v>
                </c:pt>
                <c:pt idx="19">
                  <c:v>6993</c:v>
                </c:pt>
                <c:pt idx="20">
                  <c:v>7697</c:v>
                </c:pt>
                <c:pt idx="21">
                  <c:v>8605</c:v>
                </c:pt>
                <c:pt idx="22">
                  <c:v>9901</c:v>
                </c:pt>
                <c:pt idx="23">
                  <c:v>10145</c:v>
                </c:pt>
                <c:pt idx="24">
                  <c:v>10633</c:v>
                </c:pt>
                <c:pt idx="25">
                  <c:v>10371</c:v>
                </c:pt>
                <c:pt idx="26">
                  <c:v>9688</c:v>
                </c:pt>
                <c:pt idx="27">
                  <c:v>11502</c:v>
                </c:pt>
                <c:pt idx="28">
                  <c:v>12044</c:v>
                </c:pt>
                <c:pt idx="29">
                  <c:v>12771</c:v>
                </c:pt>
                <c:pt idx="30">
                  <c:v>12393</c:v>
                </c:pt>
                <c:pt idx="31">
                  <c:v>14638</c:v>
                </c:pt>
                <c:pt idx="32">
                  <c:v>14641</c:v>
                </c:pt>
                <c:pt idx="33">
                  <c:v>16049</c:v>
                </c:pt>
                <c:pt idx="34">
                  <c:v>16246</c:v>
                </c:pt>
                <c:pt idx="35">
                  <c:v>17683</c:v>
                </c:pt>
                <c:pt idx="36">
                  <c:v>18003</c:v>
                </c:pt>
                <c:pt idx="37">
                  <c:v>19094</c:v>
                </c:pt>
                <c:pt idx="38">
                  <c:v>20108</c:v>
                </c:pt>
                <c:pt idx="39">
                  <c:v>20926</c:v>
                </c:pt>
                <c:pt idx="40">
                  <c:v>20473</c:v>
                </c:pt>
                <c:pt idx="41">
                  <c:v>21036</c:v>
                </c:pt>
                <c:pt idx="42">
                  <c:v>21527</c:v>
                </c:pt>
                <c:pt idx="43">
                  <c:v>22082</c:v>
                </c:pt>
                <c:pt idx="44">
                  <c:v>22716</c:v>
                </c:pt>
                <c:pt idx="45">
                  <c:v>22772</c:v>
                </c:pt>
                <c:pt idx="46">
                  <c:v>22922</c:v>
                </c:pt>
                <c:pt idx="47">
                  <c:v>24375</c:v>
                </c:pt>
                <c:pt idx="48">
                  <c:v>24393</c:v>
                </c:pt>
                <c:pt idx="49">
                  <c:v>24979</c:v>
                </c:pt>
                <c:pt idx="50">
                  <c:v>42398.345999999998</c:v>
                </c:pt>
                <c:pt idx="51">
                  <c:v>43661.57</c:v>
                </c:pt>
                <c:pt idx="52">
                  <c:v>44039.290999999997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Viet!$C$15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Viet!$D$15:$BD$15</c:f>
              <c:numCache>
                <c:formatCode>_(* #,##0_);_(* \(#,##0\);_(* "-"??_);_(@_)</c:formatCode>
                <c:ptCount val="53"/>
                <c:pt idx="0">
                  <c:v>12</c:v>
                </c:pt>
                <c:pt idx="1">
                  <c:v>52</c:v>
                </c:pt>
                <c:pt idx="2">
                  <c:v>10</c:v>
                </c:pt>
                <c:pt idx="3">
                  <c:v>20</c:v>
                </c:pt>
                <c:pt idx="4">
                  <c:v>170</c:v>
                </c:pt>
                <c:pt idx="5">
                  <c:v>449</c:v>
                </c:pt>
                <c:pt idx="6">
                  <c:v>775</c:v>
                </c:pt>
                <c:pt idx="7">
                  <c:v>703</c:v>
                </c:pt>
                <c:pt idx="8">
                  <c:v>900</c:v>
                </c:pt>
                <c:pt idx="9">
                  <c:v>1075</c:v>
                </c:pt>
                <c:pt idx="10">
                  <c:v>600</c:v>
                </c:pt>
                <c:pt idx="11">
                  <c:v>910</c:v>
                </c:pt>
                <c:pt idx="12">
                  <c:v>760</c:v>
                </c:pt>
                <c:pt idx="13">
                  <c:v>865</c:v>
                </c:pt>
                <c:pt idx="14">
                  <c:v>640</c:v>
                </c:pt>
                <c:pt idx="15">
                  <c:v>805</c:v>
                </c:pt>
                <c:pt idx="16">
                  <c:v>265</c:v>
                </c:pt>
                <c:pt idx="17">
                  <c:v>71</c:v>
                </c:pt>
                <c:pt idx="18">
                  <c:v>247</c:v>
                </c:pt>
                <c:pt idx="19">
                  <c:v>200</c:v>
                </c:pt>
                <c:pt idx="20">
                  <c:v>30</c:v>
                </c:pt>
                <c:pt idx="21">
                  <c:v>150</c:v>
                </c:pt>
                <c:pt idx="22">
                  <c:v>30</c:v>
                </c:pt>
                <c:pt idx="23">
                  <c:v>322</c:v>
                </c:pt>
                <c:pt idx="24">
                  <c:v>336</c:v>
                </c:pt>
                <c:pt idx="25">
                  <c:v>482</c:v>
                </c:pt>
                <c:pt idx="26">
                  <c:v>150</c:v>
                </c:pt>
                <c:pt idx="27">
                  <c:v>11</c:v>
                </c:pt>
                <c:pt idx="28">
                  <c:v>2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10</c:v>
                </c:pt>
                <c:pt idx="35">
                  <c:v>1</c:v>
                </c:pt>
                <c:pt idx="36">
                  <c:v>1</c:v>
                </c:pt>
                <c:pt idx="37">
                  <c:v>0</c:v>
                </c:pt>
                <c:pt idx="38">
                  <c:v>60</c:v>
                </c:pt>
                <c:pt idx="39">
                  <c:v>40</c:v>
                </c:pt>
                <c:pt idx="40">
                  <c:v>40</c:v>
                </c:pt>
                <c:pt idx="41">
                  <c:v>40</c:v>
                </c:pt>
                <c:pt idx="42">
                  <c:v>40</c:v>
                </c:pt>
                <c:pt idx="43">
                  <c:v>300</c:v>
                </c:pt>
                <c:pt idx="44">
                  <c:v>320</c:v>
                </c:pt>
                <c:pt idx="45">
                  <c:v>350</c:v>
                </c:pt>
                <c:pt idx="46">
                  <c:v>450</c:v>
                </c:pt>
                <c:pt idx="47">
                  <c:v>300</c:v>
                </c:pt>
                <c:pt idx="48">
                  <c:v>500</c:v>
                </c:pt>
                <c:pt idx="49">
                  <c:v>400</c:v>
                </c:pt>
                <c:pt idx="50">
                  <c:v>24.09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Viet!$C$16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Viet!$D$16:$BD$16</c:f>
              <c:numCache>
                <c:formatCode>_(* #,##0_);_(* \(#,##0\);_(* "-"??_);_(@_)</c:formatCode>
                <c:ptCount val="53"/>
                <c:pt idx="0">
                  <c:v>182</c:v>
                </c:pt>
                <c:pt idx="1">
                  <c:v>90</c:v>
                </c:pt>
                <c:pt idx="2">
                  <c:v>330</c:v>
                </c:pt>
                <c:pt idx="3">
                  <c:v>60</c:v>
                </c:pt>
                <c:pt idx="4">
                  <c:v>6</c:v>
                </c:pt>
                <c:pt idx="5">
                  <c:v>13</c:v>
                </c:pt>
                <c:pt idx="6">
                  <c:v>3</c:v>
                </c:pt>
                <c:pt idx="7">
                  <c:v>2</c:v>
                </c:pt>
                <c:pt idx="8">
                  <c:v>20</c:v>
                </c:pt>
                <c:pt idx="9">
                  <c:v>18</c:v>
                </c:pt>
                <c:pt idx="10">
                  <c:v>3</c:v>
                </c:pt>
                <c:pt idx="11">
                  <c:v>3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2</c:v>
                </c:pt>
                <c:pt idx="16">
                  <c:v>6</c:v>
                </c:pt>
                <c:pt idx="17">
                  <c:v>5</c:v>
                </c:pt>
                <c:pt idx="18">
                  <c:v>0</c:v>
                </c:pt>
                <c:pt idx="19">
                  <c:v>33</c:v>
                </c:pt>
                <c:pt idx="20">
                  <c:v>5</c:v>
                </c:pt>
                <c:pt idx="21">
                  <c:v>15</c:v>
                </c:pt>
                <c:pt idx="22">
                  <c:v>140</c:v>
                </c:pt>
                <c:pt idx="23">
                  <c:v>83</c:v>
                </c:pt>
                <c:pt idx="24">
                  <c:v>60</c:v>
                </c:pt>
                <c:pt idx="25">
                  <c:v>125</c:v>
                </c:pt>
                <c:pt idx="26">
                  <c:v>153</c:v>
                </c:pt>
                <c:pt idx="27">
                  <c:v>97</c:v>
                </c:pt>
                <c:pt idx="28">
                  <c:v>1383</c:v>
                </c:pt>
                <c:pt idx="29">
                  <c:v>1670</c:v>
                </c:pt>
                <c:pt idx="30">
                  <c:v>1048</c:v>
                </c:pt>
                <c:pt idx="31">
                  <c:v>1914</c:v>
                </c:pt>
                <c:pt idx="32">
                  <c:v>1592</c:v>
                </c:pt>
                <c:pt idx="33">
                  <c:v>2264</c:v>
                </c:pt>
                <c:pt idx="34">
                  <c:v>2314</c:v>
                </c:pt>
                <c:pt idx="35">
                  <c:v>3040</c:v>
                </c:pt>
                <c:pt idx="36">
                  <c:v>3327</c:v>
                </c:pt>
                <c:pt idx="37">
                  <c:v>3776</c:v>
                </c:pt>
                <c:pt idx="38">
                  <c:v>4555</c:v>
                </c:pt>
                <c:pt idx="39">
                  <c:v>3370</c:v>
                </c:pt>
                <c:pt idx="40">
                  <c:v>3528</c:v>
                </c:pt>
                <c:pt idx="41">
                  <c:v>3245</c:v>
                </c:pt>
                <c:pt idx="42">
                  <c:v>3795</c:v>
                </c:pt>
                <c:pt idx="43">
                  <c:v>4295</c:v>
                </c:pt>
                <c:pt idx="44">
                  <c:v>5174</c:v>
                </c:pt>
                <c:pt idx="45">
                  <c:v>4705</c:v>
                </c:pt>
                <c:pt idx="46">
                  <c:v>4522</c:v>
                </c:pt>
                <c:pt idx="47">
                  <c:v>4649</c:v>
                </c:pt>
                <c:pt idx="48">
                  <c:v>5950</c:v>
                </c:pt>
                <c:pt idx="49">
                  <c:v>6734</c:v>
                </c:pt>
                <c:pt idx="50">
                  <c:v>7112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Viet!$C$17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Viet!$D$17:$BD$17</c:f>
              <c:numCache>
                <c:formatCode>_(* #,##0_);_(* \(#,##0\);_(* "-"??_);_(@_)</c:formatCode>
                <c:ptCount val="53"/>
                <c:pt idx="0">
                  <c:v>5789</c:v>
                </c:pt>
                <c:pt idx="1">
                  <c:v>5980</c:v>
                </c:pt>
                <c:pt idx="2">
                  <c:v>6015</c:v>
                </c:pt>
                <c:pt idx="3">
                  <c:v>6215</c:v>
                </c:pt>
                <c:pt idx="4">
                  <c:v>6467</c:v>
                </c:pt>
                <c:pt idx="5">
                  <c:v>6502</c:v>
                </c:pt>
                <c:pt idx="6">
                  <c:v>6255</c:v>
                </c:pt>
                <c:pt idx="7">
                  <c:v>6348</c:v>
                </c:pt>
                <c:pt idx="8">
                  <c:v>6188</c:v>
                </c:pt>
                <c:pt idx="9">
                  <c:v>6982</c:v>
                </c:pt>
                <c:pt idx="10">
                  <c:v>7042</c:v>
                </c:pt>
                <c:pt idx="11">
                  <c:v>7553</c:v>
                </c:pt>
                <c:pt idx="12">
                  <c:v>7746</c:v>
                </c:pt>
                <c:pt idx="13">
                  <c:v>8096</c:v>
                </c:pt>
                <c:pt idx="14">
                  <c:v>7804</c:v>
                </c:pt>
                <c:pt idx="15">
                  <c:v>7653</c:v>
                </c:pt>
                <c:pt idx="16">
                  <c:v>8108</c:v>
                </c:pt>
                <c:pt idx="17">
                  <c:v>7141</c:v>
                </c:pt>
                <c:pt idx="18">
                  <c:v>6773</c:v>
                </c:pt>
                <c:pt idx="19">
                  <c:v>7160</c:v>
                </c:pt>
                <c:pt idx="20">
                  <c:v>7722</c:v>
                </c:pt>
                <c:pt idx="21">
                  <c:v>8740</c:v>
                </c:pt>
                <c:pt idx="22">
                  <c:v>9791</c:v>
                </c:pt>
                <c:pt idx="23">
                  <c:v>10384</c:v>
                </c:pt>
                <c:pt idx="24">
                  <c:v>10909</c:v>
                </c:pt>
                <c:pt idx="25">
                  <c:v>10728</c:v>
                </c:pt>
                <c:pt idx="26">
                  <c:v>9685</c:v>
                </c:pt>
                <c:pt idx="27">
                  <c:v>11416</c:v>
                </c:pt>
                <c:pt idx="28">
                  <c:v>10663</c:v>
                </c:pt>
                <c:pt idx="29">
                  <c:v>11101</c:v>
                </c:pt>
                <c:pt idx="30">
                  <c:v>11345</c:v>
                </c:pt>
                <c:pt idx="31">
                  <c:v>12724</c:v>
                </c:pt>
                <c:pt idx="32">
                  <c:v>13049</c:v>
                </c:pt>
                <c:pt idx="33">
                  <c:v>13785</c:v>
                </c:pt>
                <c:pt idx="34">
                  <c:v>13942</c:v>
                </c:pt>
                <c:pt idx="35">
                  <c:v>14394</c:v>
                </c:pt>
                <c:pt idx="36">
                  <c:v>14477</c:v>
                </c:pt>
                <c:pt idx="37">
                  <c:v>15000</c:v>
                </c:pt>
                <c:pt idx="38">
                  <c:v>15500</c:v>
                </c:pt>
                <c:pt idx="39">
                  <c:v>17552</c:v>
                </c:pt>
                <c:pt idx="40">
                  <c:v>16932</c:v>
                </c:pt>
                <c:pt idx="41">
                  <c:v>17966</c:v>
                </c:pt>
                <c:pt idx="42">
                  <c:v>17447</c:v>
                </c:pt>
                <c:pt idx="43">
                  <c:v>18230</c:v>
                </c:pt>
                <c:pt idx="44">
                  <c:v>17595</c:v>
                </c:pt>
                <c:pt idx="45">
                  <c:v>18392</c:v>
                </c:pt>
                <c:pt idx="46">
                  <c:v>18775</c:v>
                </c:pt>
                <c:pt idx="47">
                  <c:v>19400</c:v>
                </c:pt>
                <c:pt idx="48">
                  <c:v>19000</c:v>
                </c:pt>
                <c:pt idx="49">
                  <c:v>19150</c:v>
                </c:pt>
                <c:pt idx="50">
                  <c:v>35310.435999999994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23632"/>
        <c:axId val="323524808"/>
      </c:lineChart>
      <c:catAx>
        <c:axId val="323523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4808"/>
        <c:crosses val="autoZero"/>
        <c:auto val="1"/>
        <c:lblAlgn val="ctr"/>
        <c:lblOffset val="100"/>
        <c:noMultiLvlLbl val="0"/>
      </c:catAx>
      <c:valAx>
        <c:axId val="32352480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2363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349385338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Viet!$C$18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Viet!$D$18:$BD$18</c:f>
              <c:numCache>
                <c:formatCode>_(* #,##0_);_(* \(#,##0\);_(* "-"??_);_(@_)</c:formatCode>
                <c:ptCount val="53"/>
                <c:pt idx="0">
                  <c:v>1415.9</c:v>
                </c:pt>
                <c:pt idx="1">
                  <c:v>1480</c:v>
                </c:pt>
                <c:pt idx="2">
                  <c:v>1600</c:v>
                </c:pt>
                <c:pt idx="3">
                  <c:v>1730</c:v>
                </c:pt>
                <c:pt idx="4">
                  <c:v>1845.4</c:v>
                </c:pt>
                <c:pt idx="5">
                  <c:v>1568.7</c:v>
                </c:pt>
                <c:pt idx="6">
                  <c:v>1300</c:v>
                </c:pt>
                <c:pt idx="7">
                  <c:v>1000</c:v>
                </c:pt>
                <c:pt idx="8">
                  <c:v>886.3</c:v>
                </c:pt>
                <c:pt idx="9">
                  <c:v>1052.0999999999999</c:v>
                </c:pt>
                <c:pt idx="10">
                  <c:v>1100</c:v>
                </c:pt>
                <c:pt idx="11">
                  <c:v>1260</c:v>
                </c:pt>
                <c:pt idx="12">
                  <c:v>1300</c:v>
                </c:pt>
                <c:pt idx="13">
                  <c:v>1450</c:v>
                </c:pt>
                <c:pt idx="14">
                  <c:v>1956.1</c:v>
                </c:pt>
                <c:pt idx="15">
                  <c:v>2986.4</c:v>
                </c:pt>
                <c:pt idx="16">
                  <c:v>2816.8</c:v>
                </c:pt>
                <c:pt idx="17">
                  <c:v>2372.1</c:v>
                </c:pt>
                <c:pt idx="18">
                  <c:v>3490.9</c:v>
                </c:pt>
                <c:pt idx="19">
                  <c:v>4359.8</c:v>
                </c:pt>
                <c:pt idx="20">
                  <c:v>3694.4</c:v>
                </c:pt>
                <c:pt idx="21">
                  <c:v>4576.8999999999996</c:v>
                </c:pt>
                <c:pt idx="22">
                  <c:v>5689.5</c:v>
                </c:pt>
                <c:pt idx="23">
                  <c:v>6566.6</c:v>
                </c:pt>
                <c:pt idx="24">
                  <c:v>5559.7</c:v>
                </c:pt>
                <c:pt idx="25">
                  <c:v>4966.3999999999996</c:v>
                </c:pt>
                <c:pt idx="26">
                  <c:v>5467.4</c:v>
                </c:pt>
                <c:pt idx="27">
                  <c:v>5699.6</c:v>
                </c:pt>
                <c:pt idx="28">
                  <c:v>5344.6</c:v>
                </c:pt>
                <c:pt idx="29">
                  <c:v>5405.6</c:v>
                </c:pt>
                <c:pt idx="30">
                  <c:v>6162.5</c:v>
                </c:pt>
                <c:pt idx="31">
                  <c:v>6437</c:v>
                </c:pt>
                <c:pt idx="32">
                  <c:v>6082.7</c:v>
                </c:pt>
                <c:pt idx="33">
                  <c:v>7550.1</c:v>
                </c:pt>
                <c:pt idx="34">
                  <c:v>10711.1</c:v>
                </c:pt>
                <c:pt idx="35">
                  <c:v>11371.8</c:v>
                </c:pt>
                <c:pt idx="36">
                  <c:v>11920.9</c:v>
                </c:pt>
                <c:pt idx="37">
                  <c:v>13843.5</c:v>
                </c:pt>
                <c:pt idx="38">
                  <c:v>17760.3</c:v>
                </c:pt>
                <c:pt idx="39">
                  <c:v>15044.3</c:v>
                </c:pt>
                <c:pt idx="40">
                  <c:v>14656.9</c:v>
                </c:pt>
                <c:pt idx="41">
                  <c:v>17120</c:v>
                </c:pt>
                <c:pt idx="42">
                  <c:v>16854.7</c:v>
                </c:pt>
                <c:pt idx="43">
                  <c:v>15649.3</c:v>
                </c:pt>
                <c:pt idx="44">
                  <c:v>14948.7</c:v>
                </c:pt>
                <c:pt idx="45">
                  <c:v>16719.5</c:v>
                </c:pt>
                <c:pt idx="46">
                  <c:v>17396.7</c:v>
                </c:pt>
                <c:pt idx="47">
                  <c:v>16145.5</c:v>
                </c:pt>
                <c:pt idx="48">
                  <c:v>15608.3</c:v>
                </c:pt>
                <c:pt idx="49">
                  <c:v>16161.7</c:v>
                </c:pt>
                <c:pt idx="50">
                  <c:v>17539.572</c:v>
                </c:pt>
                <c:pt idx="51">
                  <c:v>19040.798999999999</c:v>
                </c:pt>
                <c:pt idx="52">
                  <c:v>20131.089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Viet!$C$19</c:f>
              <c:strCache>
                <c:ptCount val="1"/>
                <c:pt idx="0">
                  <c:v>Total Imports</c:v>
                </c:pt>
              </c:strCache>
            </c:strRef>
          </c:tx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Viet!$D$19:$BD$19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197</c:v>
                </c:pt>
                <c:pt idx="14">
                  <c:v>125</c:v>
                </c:pt>
                <c:pt idx="15">
                  <c:v>219</c:v>
                </c:pt>
                <c:pt idx="16">
                  <c:v>168</c:v>
                </c:pt>
                <c:pt idx="17">
                  <c:v>247</c:v>
                </c:pt>
                <c:pt idx="18">
                  <c:v>205</c:v>
                </c:pt>
                <c:pt idx="19">
                  <c:v>145</c:v>
                </c:pt>
                <c:pt idx="20">
                  <c:v>30</c:v>
                </c:pt>
                <c:pt idx="21">
                  <c:v>30</c:v>
                </c:pt>
                <c:pt idx="22">
                  <c:v>40</c:v>
                </c:pt>
                <c:pt idx="23">
                  <c:v>25</c:v>
                </c:pt>
                <c:pt idx="24">
                  <c:v>14</c:v>
                </c:pt>
                <c:pt idx="25">
                  <c:v>0</c:v>
                </c:pt>
                <c:pt idx="26">
                  <c:v>0</c:v>
                </c:pt>
                <c:pt idx="27">
                  <c:v>75</c:v>
                </c:pt>
                <c:pt idx="28">
                  <c:v>75</c:v>
                </c:pt>
                <c:pt idx="29">
                  <c:v>50</c:v>
                </c:pt>
                <c:pt idx="30">
                  <c:v>50</c:v>
                </c:pt>
                <c:pt idx="31">
                  <c:v>35</c:v>
                </c:pt>
                <c:pt idx="32">
                  <c:v>65</c:v>
                </c:pt>
                <c:pt idx="33">
                  <c:v>160</c:v>
                </c:pt>
                <c:pt idx="34">
                  <c:v>40</c:v>
                </c:pt>
                <c:pt idx="35">
                  <c:v>40</c:v>
                </c:pt>
                <c:pt idx="36">
                  <c:v>55</c:v>
                </c:pt>
                <c:pt idx="37">
                  <c:v>105</c:v>
                </c:pt>
                <c:pt idx="38">
                  <c:v>95</c:v>
                </c:pt>
                <c:pt idx="39">
                  <c:v>50</c:v>
                </c:pt>
                <c:pt idx="40">
                  <c:v>70</c:v>
                </c:pt>
                <c:pt idx="41">
                  <c:v>50</c:v>
                </c:pt>
                <c:pt idx="42">
                  <c:v>85</c:v>
                </c:pt>
                <c:pt idx="43">
                  <c:v>80</c:v>
                </c:pt>
                <c:pt idx="44">
                  <c:v>300</c:v>
                </c:pt>
                <c:pt idx="45">
                  <c:v>585</c:v>
                </c:pt>
                <c:pt idx="46">
                  <c:v>350</c:v>
                </c:pt>
                <c:pt idx="47">
                  <c:v>308</c:v>
                </c:pt>
                <c:pt idx="48">
                  <c:v>505</c:v>
                </c:pt>
                <c:pt idx="49">
                  <c:v>579</c:v>
                </c:pt>
                <c:pt idx="50">
                  <c:v>336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Viet!$C$20</c:f>
              <c:strCache>
                <c:ptCount val="1"/>
                <c:pt idx="0">
                  <c:v>Total Exports</c:v>
                </c:pt>
              </c:strCache>
            </c:strRef>
          </c:tx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Viet!$D$20:$BD$20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12</c:v>
                </c:pt>
                <c:pt idx="14">
                  <c:v>9</c:v>
                </c:pt>
                <c:pt idx="15">
                  <c:v>4</c:v>
                </c:pt>
                <c:pt idx="16">
                  <c:v>3</c:v>
                </c:pt>
                <c:pt idx="17">
                  <c:v>8</c:v>
                </c:pt>
                <c:pt idx="18">
                  <c:v>5</c:v>
                </c:pt>
                <c:pt idx="19">
                  <c:v>5</c:v>
                </c:pt>
                <c:pt idx="20">
                  <c:v>5</c:v>
                </c:pt>
                <c:pt idx="21">
                  <c:v>0</c:v>
                </c:pt>
                <c:pt idx="22">
                  <c:v>10</c:v>
                </c:pt>
                <c:pt idx="23">
                  <c:v>10</c:v>
                </c:pt>
                <c:pt idx="24">
                  <c:v>15</c:v>
                </c:pt>
                <c:pt idx="25">
                  <c:v>10</c:v>
                </c:pt>
                <c:pt idx="26">
                  <c:v>25</c:v>
                </c:pt>
                <c:pt idx="27">
                  <c:v>0</c:v>
                </c:pt>
                <c:pt idx="28">
                  <c:v>6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10</c:v>
                </c:pt>
                <c:pt idx="37">
                  <c:v>10</c:v>
                </c:pt>
                <c:pt idx="38">
                  <c:v>17</c:v>
                </c:pt>
                <c:pt idx="39">
                  <c:v>55</c:v>
                </c:pt>
                <c:pt idx="40">
                  <c:v>100</c:v>
                </c:pt>
                <c:pt idx="41">
                  <c:v>70</c:v>
                </c:pt>
                <c:pt idx="42">
                  <c:v>55</c:v>
                </c:pt>
                <c:pt idx="43">
                  <c:v>55</c:v>
                </c:pt>
                <c:pt idx="44">
                  <c:v>15</c:v>
                </c:pt>
                <c:pt idx="45">
                  <c:v>5</c:v>
                </c:pt>
                <c:pt idx="46">
                  <c:v>20</c:v>
                </c:pt>
                <c:pt idx="47">
                  <c:v>20</c:v>
                </c:pt>
                <c:pt idx="48">
                  <c:v>15</c:v>
                </c:pt>
                <c:pt idx="49">
                  <c:v>0</c:v>
                </c:pt>
                <c:pt idx="50">
                  <c:v>0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Viet!$C$21</c:f>
              <c:strCache>
                <c:ptCount val="1"/>
                <c:pt idx="0">
                  <c:v>Human Dom.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Viet!$D$21:$BD$21</c:f>
              <c:numCache>
                <c:formatCode>_(* #,##0_);_(* \(#,##0\);_(* "-"??_);_(@_)</c:formatCode>
                <c:ptCount val="53"/>
                <c:pt idx="0">
                  <c:v>1415.9</c:v>
                </c:pt>
                <c:pt idx="1">
                  <c:v>1480</c:v>
                </c:pt>
                <c:pt idx="2">
                  <c:v>1600</c:v>
                </c:pt>
                <c:pt idx="3">
                  <c:v>1730</c:v>
                </c:pt>
                <c:pt idx="4">
                  <c:v>1845.4</c:v>
                </c:pt>
                <c:pt idx="5">
                  <c:v>1568.7</c:v>
                </c:pt>
                <c:pt idx="6">
                  <c:v>1300</c:v>
                </c:pt>
                <c:pt idx="7">
                  <c:v>1000</c:v>
                </c:pt>
                <c:pt idx="8">
                  <c:v>886.3</c:v>
                </c:pt>
                <c:pt idx="9">
                  <c:v>1052.0999999999999</c:v>
                </c:pt>
                <c:pt idx="10">
                  <c:v>1100</c:v>
                </c:pt>
                <c:pt idx="11">
                  <c:v>1260</c:v>
                </c:pt>
                <c:pt idx="12">
                  <c:v>1300</c:v>
                </c:pt>
                <c:pt idx="13">
                  <c:v>1635</c:v>
                </c:pt>
                <c:pt idx="14">
                  <c:v>2072.1</c:v>
                </c:pt>
                <c:pt idx="15">
                  <c:v>3201.4</c:v>
                </c:pt>
                <c:pt idx="16">
                  <c:v>2981.8</c:v>
                </c:pt>
                <c:pt idx="17">
                  <c:v>2611.1</c:v>
                </c:pt>
                <c:pt idx="18">
                  <c:v>3690.9</c:v>
                </c:pt>
                <c:pt idx="19">
                  <c:v>4499.8</c:v>
                </c:pt>
                <c:pt idx="20">
                  <c:v>3719.4</c:v>
                </c:pt>
                <c:pt idx="21">
                  <c:v>4606.8999999999996</c:v>
                </c:pt>
                <c:pt idx="22">
                  <c:v>5719.5</c:v>
                </c:pt>
                <c:pt idx="23">
                  <c:v>6581.6</c:v>
                </c:pt>
                <c:pt idx="24">
                  <c:v>5558.7</c:v>
                </c:pt>
                <c:pt idx="25">
                  <c:v>4956.3999999999996</c:v>
                </c:pt>
                <c:pt idx="26">
                  <c:v>5442.4</c:v>
                </c:pt>
                <c:pt idx="27">
                  <c:v>5774.6</c:v>
                </c:pt>
                <c:pt idx="28">
                  <c:v>5413.6</c:v>
                </c:pt>
                <c:pt idx="29">
                  <c:v>5455.6</c:v>
                </c:pt>
                <c:pt idx="30">
                  <c:v>6212.5</c:v>
                </c:pt>
                <c:pt idx="31">
                  <c:v>6472</c:v>
                </c:pt>
                <c:pt idx="32">
                  <c:v>6147.7</c:v>
                </c:pt>
                <c:pt idx="33">
                  <c:v>7710.1</c:v>
                </c:pt>
                <c:pt idx="34">
                  <c:v>10751.1</c:v>
                </c:pt>
                <c:pt idx="35">
                  <c:v>11411.8</c:v>
                </c:pt>
                <c:pt idx="36">
                  <c:v>11965.9</c:v>
                </c:pt>
                <c:pt idx="37">
                  <c:v>13938.5</c:v>
                </c:pt>
                <c:pt idx="38">
                  <c:v>17838.3</c:v>
                </c:pt>
                <c:pt idx="39">
                  <c:v>15039.3</c:v>
                </c:pt>
                <c:pt idx="40">
                  <c:v>14626.9</c:v>
                </c:pt>
                <c:pt idx="41">
                  <c:v>17100</c:v>
                </c:pt>
                <c:pt idx="42">
                  <c:v>16884.7</c:v>
                </c:pt>
                <c:pt idx="43">
                  <c:v>15674.3</c:v>
                </c:pt>
                <c:pt idx="44">
                  <c:v>15233.7</c:v>
                </c:pt>
                <c:pt idx="45">
                  <c:v>17299.5</c:v>
                </c:pt>
                <c:pt idx="46">
                  <c:v>17726.7</c:v>
                </c:pt>
                <c:pt idx="47">
                  <c:v>16433.5</c:v>
                </c:pt>
                <c:pt idx="48">
                  <c:v>16098.3</c:v>
                </c:pt>
                <c:pt idx="49">
                  <c:v>16740.7</c:v>
                </c:pt>
                <c:pt idx="50">
                  <c:v>17875.572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33432"/>
        <c:axId val="323538136"/>
      </c:lineChart>
      <c:catAx>
        <c:axId val="3235334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8136"/>
        <c:crosses val="autoZero"/>
        <c:auto val="1"/>
        <c:lblAlgn val="ctr"/>
        <c:lblOffset val="100"/>
        <c:noMultiLvlLbl val="0"/>
      </c:catAx>
      <c:valAx>
        <c:axId val="3235381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343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11065693670442001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Viet!$C$22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Viet!$D$22:$BD$22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108</c:v>
                </c:pt>
                <c:pt idx="4">
                  <c:v>90</c:v>
                </c:pt>
                <c:pt idx="5">
                  <c:v>83</c:v>
                </c:pt>
                <c:pt idx="6">
                  <c:v>152</c:v>
                </c:pt>
                <c:pt idx="7">
                  <c:v>211</c:v>
                </c:pt>
                <c:pt idx="8">
                  <c:v>733</c:v>
                </c:pt>
                <c:pt idx="9">
                  <c:v>1024</c:v>
                </c:pt>
                <c:pt idx="10">
                  <c:v>705</c:v>
                </c:pt>
                <c:pt idx="11">
                  <c:v>607</c:v>
                </c:pt>
                <c:pt idx="12">
                  <c:v>629</c:v>
                </c:pt>
                <c:pt idx="13">
                  <c:v>549</c:v>
                </c:pt>
                <c:pt idx="14">
                  <c:v>621</c:v>
                </c:pt>
                <c:pt idx="15">
                  <c:v>550</c:v>
                </c:pt>
                <c:pt idx="16">
                  <c:v>550</c:v>
                </c:pt>
                <c:pt idx="17">
                  <c:v>1536</c:v>
                </c:pt>
                <c:pt idx="18">
                  <c:v>289</c:v>
                </c:pt>
                <c:pt idx="19">
                  <c:v>837</c:v>
                </c:pt>
                <c:pt idx="20">
                  <c:v>618</c:v>
                </c:pt>
                <c:pt idx="21">
                  <c:v>332</c:v>
                </c:pt>
                <c:pt idx="22">
                  <c:v>149</c:v>
                </c:pt>
                <c:pt idx="23">
                  <c:v>70</c:v>
                </c:pt>
                <c:pt idx="24">
                  <c:v>56</c:v>
                </c:pt>
                <c:pt idx="25">
                  <c:v>25</c:v>
                </c:pt>
                <c:pt idx="26">
                  <c:v>188</c:v>
                </c:pt>
                <c:pt idx="27">
                  <c:v>231</c:v>
                </c:pt>
                <c:pt idx="28">
                  <c:v>275</c:v>
                </c:pt>
                <c:pt idx="29">
                  <c:v>280</c:v>
                </c:pt>
                <c:pt idx="30">
                  <c:v>256</c:v>
                </c:pt>
                <c:pt idx="31">
                  <c:v>370</c:v>
                </c:pt>
                <c:pt idx="32">
                  <c:v>389</c:v>
                </c:pt>
                <c:pt idx="33">
                  <c:v>444</c:v>
                </c:pt>
                <c:pt idx="34">
                  <c:v>581</c:v>
                </c:pt>
                <c:pt idx="35">
                  <c:v>478</c:v>
                </c:pt>
                <c:pt idx="36">
                  <c:v>507</c:v>
                </c:pt>
                <c:pt idx="37">
                  <c:v>618</c:v>
                </c:pt>
                <c:pt idx="38">
                  <c:v>604</c:v>
                </c:pt>
                <c:pt idx="39">
                  <c:v>550</c:v>
                </c:pt>
                <c:pt idx="40">
                  <c:v>650</c:v>
                </c:pt>
                <c:pt idx="41">
                  <c:v>916</c:v>
                </c:pt>
                <c:pt idx="42">
                  <c:v>875</c:v>
                </c:pt>
                <c:pt idx="43">
                  <c:v>830</c:v>
                </c:pt>
                <c:pt idx="44">
                  <c:v>1226</c:v>
                </c:pt>
                <c:pt idx="45">
                  <c:v>1238</c:v>
                </c:pt>
                <c:pt idx="46">
                  <c:v>1228</c:v>
                </c:pt>
                <c:pt idx="47">
                  <c:v>1144</c:v>
                </c:pt>
                <c:pt idx="48">
                  <c:v>925</c:v>
                </c:pt>
                <c:pt idx="49">
                  <c:v>1925</c:v>
                </c:pt>
                <c:pt idx="50">
                  <c:v>2421.2170000000001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Viet!$C$23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Viet!$D$23:$BD$23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2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Viet!$C$24</c:f>
              <c:strCache>
                <c:ptCount val="1"/>
                <c:pt idx="0">
                  <c:v>Domestic Consumption</c:v>
                </c:pt>
              </c:strCache>
            </c:strRef>
          </c:tx>
          <c:marker>
            <c:symbol val="none"/>
          </c:marker>
          <c:cat>
            <c:numRef>
              <c:f>Viet!$D$1:$BD$1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Viet!$D$24:$BD$24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108</c:v>
                </c:pt>
                <c:pt idx="4">
                  <c:v>90</c:v>
                </c:pt>
                <c:pt idx="5">
                  <c:v>83</c:v>
                </c:pt>
                <c:pt idx="6">
                  <c:v>152</c:v>
                </c:pt>
                <c:pt idx="7">
                  <c:v>211</c:v>
                </c:pt>
                <c:pt idx="8">
                  <c:v>733</c:v>
                </c:pt>
                <c:pt idx="9">
                  <c:v>1024</c:v>
                </c:pt>
                <c:pt idx="10">
                  <c:v>705</c:v>
                </c:pt>
                <c:pt idx="11">
                  <c:v>607</c:v>
                </c:pt>
                <c:pt idx="12">
                  <c:v>629</c:v>
                </c:pt>
                <c:pt idx="13">
                  <c:v>549</c:v>
                </c:pt>
                <c:pt idx="14">
                  <c:v>621</c:v>
                </c:pt>
                <c:pt idx="15">
                  <c:v>550</c:v>
                </c:pt>
                <c:pt idx="16">
                  <c:v>550</c:v>
                </c:pt>
                <c:pt idx="17">
                  <c:v>1536</c:v>
                </c:pt>
                <c:pt idx="18">
                  <c:v>289</c:v>
                </c:pt>
                <c:pt idx="19">
                  <c:v>837</c:v>
                </c:pt>
                <c:pt idx="20">
                  <c:v>618</c:v>
                </c:pt>
                <c:pt idx="21">
                  <c:v>332</c:v>
                </c:pt>
                <c:pt idx="22">
                  <c:v>149</c:v>
                </c:pt>
                <c:pt idx="23">
                  <c:v>70</c:v>
                </c:pt>
                <c:pt idx="24">
                  <c:v>56</c:v>
                </c:pt>
                <c:pt idx="25">
                  <c:v>25</c:v>
                </c:pt>
                <c:pt idx="26">
                  <c:v>188</c:v>
                </c:pt>
                <c:pt idx="27">
                  <c:v>231</c:v>
                </c:pt>
                <c:pt idx="28">
                  <c:v>275</c:v>
                </c:pt>
                <c:pt idx="29">
                  <c:v>280</c:v>
                </c:pt>
                <c:pt idx="30">
                  <c:v>256</c:v>
                </c:pt>
                <c:pt idx="31">
                  <c:v>370</c:v>
                </c:pt>
                <c:pt idx="32">
                  <c:v>389</c:v>
                </c:pt>
                <c:pt idx="33">
                  <c:v>444</c:v>
                </c:pt>
                <c:pt idx="34">
                  <c:v>581</c:v>
                </c:pt>
                <c:pt idx="35">
                  <c:v>476</c:v>
                </c:pt>
                <c:pt idx="36">
                  <c:v>507</c:v>
                </c:pt>
                <c:pt idx="37">
                  <c:v>618</c:v>
                </c:pt>
                <c:pt idx="38">
                  <c:v>604</c:v>
                </c:pt>
                <c:pt idx="39">
                  <c:v>550</c:v>
                </c:pt>
                <c:pt idx="40">
                  <c:v>650</c:v>
                </c:pt>
                <c:pt idx="41">
                  <c:v>825</c:v>
                </c:pt>
                <c:pt idx="42">
                  <c:v>875</c:v>
                </c:pt>
                <c:pt idx="43">
                  <c:v>825</c:v>
                </c:pt>
                <c:pt idx="44">
                  <c:v>1175</c:v>
                </c:pt>
                <c:pt idx="45">
                  <c:v>1225</c:v>
                </c:pt>
                <c:pt idx="46">
                  <c:v>1300</c:v>
                </c:pt>
                <c:pt idx="47">
                  <c:v>1100</c:v>
                </c:pt>
                <c:pt idx="48">
                  <c:v>1000</c:v>
                </c:pt>
                <c:pt idx="49">
                  <c:v>1700</c:v>
                </c:pt>
                <c:pt idx="50">
                  <c:v>2421.2170000000001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34216"/>
        <c:axId val="323539704"/>
      </c:lineChart>
      <c:catAx>
        <c:axId val="3235342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9704"/>
        <c:crosses val="autoZero"/>
        <c:auto val="1"/>
        <c:lblAlgn val="ctr"/>
        <c:lblOffset val="100"/>
        <c:noMultiLvlLbl val="0"/>
      </c:catAx>
      <c:valAx>
        <c:axId val="32353970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421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10924255723783705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63"/>
          <c:w val="0.84524590848569303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WAfr!$C$2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WAfr!$D$2:$BD$2</c:f>
              <c:numCache>
                <c:formatCode>_(* #,##0_);_(* \(#,##0\);_(* "-"??_);_(@_)</c:formatCode>
                <c:ptCount val="53"/>
                <c:pt idx="0">
                  <c:v>1593</c:v>
                </c:pt>
                <c:pt idx="1">
                  <c:v>1634</c:v>
                </c:pt>
                <c:pt idx="2">
                  <c:v>1612</c:v>
                </c:pt>
                <c:pt idx="3">
                  <c:v>1704</c:v>
                </c:pt>
                <c:pt idx="4">
                  <c:v>1813</c:v>
                </c:pt>
                <c:pt idx="5">
                  <c:v>1801</c:v>
                </c:pt>
                <c:pt idx="6">
                  <c:v>1905</c:v>
                </c:pt>
                <c:pt idx="7">
                  <c:v>1923</c:v>
                </c:pt>
                <c:pt idx="8">
                  <c:v>1811</c:v>
                </c:pt>
                <c:pt idx="9">
                  <c:v>2365</c:v>
                </c:pt>
                <c:pt idx="10">
                  <c:v>2331</c:v>
                </c:pt>
                <c:pt idx="11">
                  <c:v>1889</c:v>
                </c:pt>
                <c:pt idx="12">
                  <c:v>2054</c:v>
                </c:pt>
                <c:pt idx="13">
                  <c:v>2278</c:v>
                </c:pt>
                <c:pt idx="14">
                  <c:v>2435</c:v>
                </c:pt>
                <c:pt idx="15">
                  <c:v>2589</c:v>
                </c:pt>
                <c:pt idx="16">
                  <c:v>2523</c:v>
                </c:pt>
                <c:pt idx="17">
                  <c:v>2700</c:v>
                </c:pt>
                <c:pt idx="18">
                  <c:v>2931</c:v>
                </c:pt>
                <c:pt idx="19">
                  <c:v>3121</c:v>
                </c:pt>
                <c:pt idx="20">
                  <c:v>3166</c:v>
                </c:pt>
                <c:pt idx="21">
                  <c:v>3357</c:v>
                </c:pt>
                <c:pt idx="22">
                  <c:v>3370</c:v>
                </c:pt>
                <c:pt idx="23">
                  <c:v>3010</c:v>
                </c:pt>
                <c:pt idx="24">
                  <c:v>3791</c:v>
                </c:pt>
                <c:pt idx="25">
                  <c:v>4100</c:v>
                </c:pt>
                <c:pt idx="26">
                  <c:v>4016</c:v>
                </c:pt>
                <c:pt idx="27">
                  <c:v>3853</c:v>
                </c:pt>
                <c:pt idx="28">
                  <c:v>4819</c:v>
                </c:pt>
                <c:pt idx="29">
                  <c:v>4534</c:v>
                </c:pt>
                <c:pt idx="30">
                  <c:v>8059</c:v>
                </c:pt>
                <c:pt idx="31">
                  <c:v>8697</c:v>
                </c:pt>
                <c:pt idx="32">
                  <c:v>8613</c:v>
                </c:pt>
                <c:pt idx="33">
                  <c:v>9544</c:v>
                </c:pt>
                <c:pt idx="34">
                  <c:v>9611</c:v>
                </c:pt>
                <c:pt idx="35">
                  <c:v>9706</c:v>
                </c:pt>
                <c:pt idx="36">
                  <c:v>8313</c:v>
                </c:pt>
                <c:pt idx="37">
                  <c:v>8528</c:v>
                </c:pt>
                <c:pt idx="38">
                  <c:v>8640</c:v>
                </c:pt>
                <c:pt idx="39">
                  <c:v>9302</c:v>
                </c:pt>
                <c:pt idx="40">
                  <c:v>7709</c:v>
                </c:pt>
                <c:pt idx="41">
                  <c:v>8811</c:v>
                </c:pt>
                <c:pt idx="42">
                  <c:v>9567</c:v>
                </c:pt>
                <c:pt idx="43">
                  <c:v>10183</c:v>
                </c:pt>
                <c:pt idx="44">
                  <c:v>11154</c:v>
                </c:pt>
                <c:pt idx="45">
                  <c:v>12753</c:v>
                </c:pt>
                <c:pt idx="46">
                  <c:v>12918</c:v>
                </c:pt>
                <c:pt idx="47">
                  <c:v>11176</c:v>
                </c:pt>
                <c:pt idx="48">
                  <c:v>14457</c:v>
                </c:pt>
                <c:pt idx="49">
                  <c:v>15423</c:v>
                </c:pt>
                <c:pt idx="50">
                  <c:v>16218.67</c:v>
                </c:pt>
                <c:pt idx="51">
                  <c:v>17572.224999999999</c:v>
                </c:pt>
                <c:pt idx="52">
                  <c:v>18952.249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WAfr!$C$3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WAfr!$D$3:$BD$3</c:f>
              <c:numCache>
                <c:formatCode>_(* #,##0_);_(* \(#,##0\);_(* "-"??_);_(@_)</c:formatCode>
                <c:ptCount val="53"/>
                <c:pt idx="0">
                  <c:v>14</c:v>
                </c:pt>
                <c:pt idx="1">
                  <c:v>13</c:v>
                </c:pt>
                <c:pt idx="2">
                  <c:v>21</c:v>
                </c:pt>
                <c:pt idx="3">
                  <c:v>19</c:v>
                </c:pt>
                <c:pt idx="4">
                  <c:v>17</c:v>
                </c:pt>
                <c:pt idx="5">
                  <c:v>14</c:v>
                </c:pt>
                <c:pt idx="6">
                  <c:v>35</c:v>
                </c:pt>
                <c:pt idx="7">
                  <c:v>19</c:v>
                </c:pt>
                <c:pt idx="8">
                  <c:v>42</c:v>
                </c:pt>
                <c:pt idx="9">
                  <c:v>28</c:v>
                </c:pt>
                <c:pt idx="10">
                  <c:v>41</c:v>
                </c:pt>
                <c:pt idx="11">
                  <c:v>43</c:v>
                </c:pt>
                <c:pt idx="12">
                  <c:v>49</c:v>
                </c:pt>
                <c:pt idx="13">
                  <c:v>155</c:v>
                </c:pt>
                <c:pt idx="14">
                  <c:v>39</c:v>
                </c:pt>
                <c:pt idx="15">
                  <c:v>21</c:v>
                </c:pt>
                <c:pt idx="16">
                  <c:v>60</c:v>
                </c:pt>
                <c:pt idx="17">
                  <c:v>189</c:v>
                </c:pt>
                <c:pt idx="18">
                  <c:v>111</c:v>
                </c:pt>
                <c:pt idx="19">
                  <c:v>231</c:v>
                </c:pt>
                <c:pt idx="20">
                  <c:v>408</c:v>
                </c:pt>
                <c:pt idx="21">
                  <c:v>480</c:v>
                </c:pt>
                <c:pt idx="22">
                  <c:v>441</c:v>
                </c:pt>
                <c:pt idx="23">
                  <c:v>391</c:v>
                </c:pt>
                <c:pt idx="24">
                  <c:v>405</c:v>
                </c:pt>
                <c:pt idx="25">
                  <c:v>159</c:v>
                </c:pt>
                <c:pt idx="26">
                  <c:v>50</c:v>
                </c:pt>
                <c:pt idx="27">
                  <c:v>172</c:v>
                </c:pt>
                <c:pt idx="28">
                  <c:v>24</c:v>
                </c:pt>
                <c:pt idx="29">
                  <c:v>39</c:v>
                </c:pt>
                <c:pt idx="30">
                  <c:v>52</c:v>
                </c:pt>
                <c:pt idx="31">
                  <c:v>56</c:v>
                </c:pt>
                <c:pt idx="32">
                  <c:v>70</c:v>
                </c:pt>
                <c:pt idx="33">
                  <c:v>15</c:v>
                </c:pt>
                <c:pt idx="34">
                  <c:v>38</c:v>
                </c:pt>
                <c:pt idx="35">
                  <c:v>26</c:v>
                </c:pt>
                <c:pt idx="36">
                  <c:v>110</c:v>
                </c:pt>
                <c:pt idx="37">
                  <c:v>105</c:v>
                </c:pt>
                <c:pt idx="38">
                  <c:v>27</c:v>
                </c:pt>
                <c:pt idx="39">
                  <c:v>40</c:v>
                </c:pt>
                <c:pt idx="40">
                  <c:v>171</c:v>
                </c:pt>
                <c:pt idx="41">
                  <c:v>149</c:v>
                </c:pt>
                <c:pt idx="42">
                  <c:v>110</c:v>
                </c:pt>
                <c:pt idx="43">
                  <c:v>71</c:v>
                </c:pt>
                <c:pt idx="44">
                  <c:v>579</c:v>
                </c:pt>
                <c:pt idx="45">
                  <c:v>245</c:v>
                </c:pt>
                <c:pt idx="46">
                  <c:v>60</c:v>
                </c:pt>
                <c:pt idx="47">
                  <c:v>181</c:v>
                </c:pt>
                <c:pt idx="48">
                  <c:v>279</c:v>
                </c:pt>
                <c:pt idx="49">
                  <c:v>225</c:v>
                </c:pt>
                <c:pt idx="50">
                  <c:v>182.91399999999999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WAfr!$C$4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WAfr!$D$4:$BD$4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2</c:v>
                </c:pt>
                <c:pt idx="12">
                  <c:v>2</c:v>
                </c:pt>
                <c:pt idx="13">
                  <c:v>0</c:v>
                </c:pt>
                <c:pt idx="14">
                  <c:v>5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35</c:v>
                </c:pt>
                <c:pt idx="24">
                  <c:v>40</c:v>
                </c:pt>
                <c:pt idx="25">
                  <c:v>17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25</c:v>
                </c:pt>
                <c:pt idx="30">
                  <c:v>0</c:v>
                </c:pt>
                <c:pt idx="31">
                  <c:v>60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7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200</c:v>
                </c:pt>
                <c:pt idx="45">
                  <c:v>200</c:v>
                </c:pt>
                <c:pt idx="46">
                  <c:v>100</c:v>
                </c:pt>
                <c:pt idx="47">
                  <c:v>100</c:v>
                </c:pt>
                <c:pt idx="48">
                  <c:v>100</c:v>
                </c:pt>
                <c:pt idx="49">
                  <c:v>100</c:v>
                </c:pt>
                <c:pt idx="50">
                  <c:v>32.625999999999998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WAfr!$C$5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WAfr!$D$5:$BD$5</c:f>
              <c:numCache>
                <c:formatCode>_(* #,##0_);_(* \(#,##0\);_(* "-"??_);_(@_)</c:formatCode>
                <c:ptCount val="53"/>
                <c:pt idx="0">
                  <c:v>1603</c:v>
                </c:pt>
                <c:pt idx="1">
                  <c:v>1651</c:v>
                </c:pt>
                <c:pt idx="2">
                  <c:v>1626</c:v>
                </c:pt>
                <c:pt idx="3">
                  <c:v>1723</c:v>
                </c:pt>
                <c:pt idx="4">
                  <c:v>1829</c:v>
                </c:pt>
                <c:pt idx="5">
                  <c:v>1813</c:v>
                </c:pt>
                <c:pt idx="6">
                  <c:v>1939</c:v>
                </c:pt>
                <c:pt idx="7">
                  <c:v>1943</c:v>
                </c:pt>
                <c:pt idx="8">
                  <c:v>1847</c:v>
                </c:pt>
                <c:pt idx="9">
                  <c:v>2390</c:v>
                </c:pt>
                <c:pt idx="10">
                  <c:v>2371</c:v>
                </c:pt>
                <c:pt idx="11">
                  <c:v>1928</c:v>
                </c:pt>
                <c:pt idx="12">
                  <c:v>2106</c:v>
                </c:pt>
                <c:pt idx="13">
                  <c:v>2433</c:v>
                </c:pt>
                <c:pt idx="14">
                  <c:v>2468</c:v>
                </c:pt>
                <c:pt idx="15">
                  <c:v>2605</c:v>
                </c:pt>
                <c:pt idx="16">
                  <c:v>2588</c:v>
                </c:pt>
                <c:pt idx="17">
                  <c:v>2848</c:v>
                </c:pt>
                <c:pt idx="18">
                  <c:v>3021</c:v>
                </c:pt>
                <c:pt idx="19">
                  <c:v>3287</c:v>
                </c:pt>
                <c:pt idx="20">
                  <c:v>3539</c:v>
                </c:pt>
                <c:pt idx="21">
                  <c:v>3801</c:v>
                </c:pt>
                <c:pt idx="22">
                  <c:v>3829</c:v>
                </c:pt>
                <c:pt idx="23">
                  <c:v>3506</c:v>
                </c:pt>
                <c:pt idx="24">
                  <c:v>4121</c:v>
                </c:pt>
                <c:pt idx="25">
                  <c:v>4166</c:v>
                </c:pt>
                <c:pt idx="26">
                  <c:v>3994</c:v>
                </c:pt>
                <c:pt idx="27">
                  <c:v>4140</c:v>
                </c:pt>
                <c:pt idx="28">
                  <c:v>4773</c:v>
                </c:pt>
                <c:pt idx="29">
                  <c:v>4438</c:v>
                </c:pt>
                <c:pt idx="30">
                  <c:v>8176</c:v>
                </c:pt>
                <c:pt idx="31">
                  <c:v>8613</c:v>
                </c:pt>
                <c:pt idx="32">
                  <c:v>8783</c:v>
                </c:pt>
                <c:pt idx="33">
                  <c:v>9589</c:v>
                </c:pt>
                <c:pt idx="34">
                  <c:v>9649</c:v>
                </c:pt>
                <c:pt idx="35">
                  <c:v>9732</c:v>
                </c:pt>
                <c:pt idx="36">
                  <c:v>8516</c:v>
                </c:pt>
                <c:pt idx="37">
                  <c:v>8633</c:v>
                </c:pt>
                <c:pt idx="38">
                  <c:v>8667</c:v>
                </c:pt>
                <c:pt idx="39">
                  <c:v>9122</c:v>
                </c:pt>
                <c:pt idx="40">
                  <c:v>8100</c:v>
                </c:pt>
                <c:pt idx="41">
                  <c:v>8949</c:v>
                </c:pt>
                <c:pt idx="42">
                  <c:v>9564</c:v>
                </c:pt>
                <c:pt idx="43">
                  <c:v>10264</c:v>
                </c:pt>
                <c:pt idx="44">
                  <c:v>11393</c:v>
                </c:pt>
                <c:pt idx="45">
                  <c:v>12637</c:v>
                </c:pt>
                <c:pt idx="46">
                  <c:v>12859</c:v>
                </c:pt>
                <c:pt idx="47">
                  <c:v>11440</c:v>
                </c:pt>
                <c:pt idx="48">
                  <c:v>14347</c:v>
                </c:pt>
                <c:pt idx="49">
                  <c:v>15258</c:v>
                </c:pt>
                <c:pt idx="50">
                  <c:v>16368.957999999999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42056"/>
        <c:axId val="323534608"/>
      </c:lineChart>
      <c:catAx>
        <c:axId val="323542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4608"/>
        <c:crosses val="autoZero"/>
        <c:auto val="1"/>
        <c:lblAlgn val="ctr"/>
        <c:lblOffset val="100"/>
        <c:noMultiLvlLbl val="0"/>
      </c:catAx>
      <c:valAx>
        <c:axId val="32353460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4205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1155222740397489"/>
          <c:y val="0.91239507940295339"/>
          <c:w val="0.83754876098540654"/>
          <c:h val="4.7200880193006174E-2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74"/>
          <c:w val="0.84524590848569325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WAfr!$C$6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WAfr!$D$6:$BD$6</c:f>
              <c:numCache>
                <c:formatCode>_(* #,##0_);_(* \(#,##0\);_(* "-"??_);_(@_)</c:formatCode>
                <c:ptCount val="53"/>
                <c:pt idx="0">
                  <c:v>260</c:v>
                </c:pt>
                <c:pt idx="1">
                  <c:v>165</c:v>
                </c:pt>
                <c:pt idx="2">
                  <c:v>250</c:v>
                </c:pt>
                <c:pt idx="3">
                  <c:v>210</c:v>
                </c:pt>
                <c:pt idx="4">
                  <c:v>200</c:v>
                </c:pt>
                <c:pt idx="5">
                  <c:v>299</c:v>
                </c:pt>
                <c:pt idx="6">
                  <c:v>385</c:v>
                </c:pt>
                <c:pt idx="7">
                  <c:v>327</c:v>
                </c:pt>
                <c:pt idx="8">
                  <c:v>538</c:v>
                </c:pt>
                <c:pt idx="9">
                  <c:v>707</c:v>
                </c:pt>
                <c:pt idx="10">
                  <c:v>473</c:v>
                </c:pt>
                <c:pt idx="11">
                  <c:v>569</c:v>
                </c:pt>
                <c:pt idx="12">
                  <c:v>629</c:v>
                </c:pt>
                <c:pt idx="13">
                  <c:v>533</c:v>
                </c:pt>
                <c:pt idx="14">
                  <c:v>670</c:v>
                </c:pt>
                <c:pt idx="15">
                  <c:v>793</c:v>
                </c:pt>
                <c:pt idx="16">
                  <c:v>967</c:v>
                </c:pt>
                <c:pt idx="17">
                  <c:v>724</c:v>
                </c:pt>
                <c:pt idx="18">
                  <c:v>837</c:v>
                </c:pt>
                <c:pt idx="19">
                  <c:v>885</c:v>
                </c:pt>
                <c:pt idx="20">
                  <c:v>784</c:v>
                </c:pt>
                <c:pt idx="21">
                  <c:v>763</c:v>
                </c:pt>
                <c:pt idx="22">
                  <c:v>857</c:v>
                </c:pt>
                <c:pt idx="23">
                  <c:v>859</c:v>
                </c:pt>
                <c:pt idx="24">
                  <c:v>1216</c:v>
                </c:pt>
                <c:pt idx="25">
                  <c:v>1275</c:v>
                </c:pt>
                <c:pt idx="26">
                  <c:v>1656</c:v>
                </c:pt>
                <c:pt idx="27">
                  <c:v>1622</c:v>
                </c:pt>
                <c:pt idx="28">
                  <c:v>1976</c:v>
                </c:pt>
                <c:pt idx="29">
                  <c:v>1831</c:v>
                </c:pt>
                <c:pt idx="30">
                  <c:v>2119</c:v>
                </c:pt>
                <c:pt idx="31">
                  <c:v>2191</c:v>
                </c:pt>
                <c:pt idx="32">
                  <c:v>2367</c:v>
                </c:pt>
                <c:pt idx="33">
                  <c:v>2331</c:v>
                </c:pt>
                <c:pt idx="34">
                  <c:v>2436</c:v>
                </c:pt>
                <c:pt idx="35">
                  <c:v>2991</c:v>
                </c:pt>
                <c:pt idx="36">
                  <c:v>3323</c:v>
                </c:pt>
                <c:pt idx="37">
                  <c:v>3794</c:v>
                </c:pt>
                <c:pt idx="38">
                  <c:v>3709</c:v>
                </c:pt>
                <c:pt idx="39">
                  <c:v>3482</c:v>
                </c:pt>
                <c:pt idx="40">
                  <c:v>3014</c:v>
                </c:pt>
                <c:pt idx="41">
                  <c:v>4216</c:v>
                </c:pt>
                <c:pt idx="42">
                  <c:v>3782</c:v>
                </c:pt>
                <c:pt idx="43">
                  <c:v>4110</c:v>
                </c:pt>
                <c:pt idx="44">
                  <c:v>4490</c:v>
                </c:pt>
                <c:pt idx="45">
                  <c:v>3926</c:v>
                </c:pt>
                <c:pt idx="46">
                  <c:v>3518</c:v>
                </c:pt>
                <c:pt idx="47">
                  <c:v>2540</c:v>
                </c:pt>
                <c:pt idx="48">
                  <c:v>2472</c:v>
                </c:pt>
                <c:pt idx="49">
                  <c:v>2402</c:v>
                </c:pt>
                <c:pt idx="50">
                  <c:v>564</c:v>
                </c:pt>
                <c:pt idx="51">
                  <c:v>765</c:v>
                </c:pt>
                <c:pt idx="52">
                  <c:v>823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WAfr!$C$7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WAfr!$D$7:$BD$7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5</c:v>
                </c:pt>
                <c:pt idx="6">
                  <c:v>4</c:v>
                </c:pt>
                <c:pt idx="7">
                  <c:v>11</c:v>
                </c:pt>
                <c:pt idx="8">
                  <c:v>20</c:v>
                </c:pt>
                <c:pt idx="9">
                  <c:v>28</c:v>
                </c:pt>
                <c:pt idx="10">
                  <c:v>30</c:v>
                </c:pt>
                <c:pt idx="11">
                  <c:v>30</c:v>
                </c:pt>
                <c:pt idx="12">
                  <c:v>50</c:v>
                </c:pt>
                <c:pt idx="13">
                  <c:v>62</c:v>
                </c:pt>
                <c:pt idx="14">
                  <c:v>149</c:v>
                </c:pt>
                <c:pt idx="15">
                  <c:v>68</c:v>
                </c:pt>
                <c:pt idx="16">
                  <c:v>46</c:v>
                </c:pt>
                <c:pt idx="17">
                  <c:v>46</c:v>
                </c:pt>
                <c:pt idx="18">
                  <c:v>29</c:v>
                </c:pt>
                <c:pt idx="19">
                  <c:v>26</c:v>
                </c:pt>
                <c:pt idx="20">
                  <c:v>11</c:v>
                </c:pt>
                <c:pt idx="21">
                  <c:v>74</c:v>
                </c:pt>
                <c:pt idx="22">
                  <c:v>130</c:v>
                </c:pt>
                <c:pt idx="23">
                  <c:v>271</c:v>
                </c:pt>
                <c:pt idx="24">
                  <c:v>231</c:v>
                </c:pt>
                <c:pt idx="25">
                  <c:v>218</c:v>
                </c:pt>
                <c:pt idx="26">
                  <c:v>127</c:v>
                </c:pt>
                <c:pt idx="27">
                  <c:v>154</c:v>
                </c:pt>
                <c:pt idx="28">
                  <c:v>248</c:v>
                </c:pt>
                <c:pt idx="29">
                  <c:v>85</c:v>
                </c:pt>
                <c:pt idx="30">
                  <c:v>256</c:v>
                </c:pt>
                <c:pt idx="31">
                  <c:v>138</c:v>
                </c:pt>
                <c:pt idx="32">
                  <c:v>138</c:v>
                </c:pt>
                <c:pt idx="33">
                  <c:v>115</c:v>
                </c:pt>
                <c:pt idx="34">
                  <c:v>143</c:v>
                </c:pt>
                <c:pt idx="35">
                  <c:v>79</c:v>
                </c:pt>
                <c:pt idx="36">
                  <c:v>75</c:v>
                </c:pt>
                <c:pt idx="37">
                  <c:v>84</c:v>
                </c:pt>
                <c:pt idx="38">
                  <c:v>70</c:v>
                </c:pt>
                <c:pt idx="39">
                  <c:v>70</c:v>
                </c:pt>
                <c:pt idx="40">
                  <c:v>70</c:v>
                </c:pt>
                <c:pt idx="41">
                  <c:v>90</c:v>
                </c:pt>
                <c:pt idx="42">
                  <c:v>90</c:v>
                </c:pt>
                <c:pt idx="43">
                  <c:v>90</c:v>
                </c:pt>
                <c:pt idx="44">
                  <c:v>80</c:v>
                </c:pt>
                <c:pt idx="45">
                  <c:v>70</c:v>
                </c:pt>
                <c:pt idx="46">
                  <c:v>75</c:v>
                </c:pt>
                <c:pt idx="47">
                  <c:v>70</c:v>
                </c:pt>
                <c:pt idx="48">
                  <c:v>50</c:v>
                </c:pt>
                <c:pt idx="49">
                  <c:v>50</c:v>
                </c:pt>
                <c:pt idx="50">
                  <c:v>1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WAfr!$C$8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WAfr!$D$8:$BD$8</c:f>
              <c:numCache>
                <c:formatCode>_(* #,##0_);_(* \(#,##0\);_(* "-"??_);_(@_)</c:formatCode>
                <c:ptCount val="53"/>
                <c:pt idx="0">
                  <c:v>181</c:v>
                </c:pt>
                <c:pt idx="1">
                  <c:v>168</c:v>
                </c:pt>
                <c:pt idx="2">
                  <c:v>141</c:v>
                </c:pt>
                <c:pt idx="3">
                  <c:v>145</c:v>
                </c:pt>
                <c:pt idx="4">
                  <c:v>89</c:v>
                </c:pt>
                <c:pt idx="5">
                  <c:v>194</c:v>
                </c:pt>
                <c:pt idx="6">
                  <c:v>226</c:v>
                </c:pt>
                <c:pt idx="7">
                  <c:v>286</c:v>
                </c:pt>
                <c:pt idx="8">
                  <c:v>274</c:v>
                </c:pt>
                <c:pt idx="9">
                  <c:v>323</c:v>
                </c:pt>
                <c:pt idx="10">
                  <c:v>429</c:v>
                </c:pt>
                <c:pt idx="11">
                  <c:v>338</c:v>
                </c:pt>
                <c:pt idx="12">
                  <c:v>369</c:v>
                </c:pt>
                <c:pt idx="13">
                  <c:v>309</c:v>
                </c:pt>
                <c:pt idx="14">
                  <c:v>297</c:v>
                </c:pt>
                <c:pt idx="15">
                  <c:v>379</c:v>
                </c:pt>
                <c:pt idx="16">
                  <c:v>467</c:v>
                </c:pt>
                <c:pt idx="17">
                  <c:v>432</c:v>
                </c:pt>
                <c:pt idx="18">
                  <c:v>588</c:v>
                </c:pt>
                <c:pt idx="19">
                  <c:v>512</c:v>
                </c:pt>
                <c:pt idx="20">
                  <c:v>550</c:v>
                </c:pt>
                <c:pt idx="21">
                  <c:v>508</c:v>
                </c:pt>
                <c:pt idx="22">
                  <c:v>606</c:v>
                </c:pt>
                <c:pt idx="23">
                  <c:v>597</c:v>
                </c:pt>
                <c:pt idx="24">
                  <c:v>750</c:v>
                </c:pt>
                <c:pt idx="25">
                  <c:v>1116</c:v>
                </c:pt>
                <c:pt idx="26">
                  <c:v>1201</c:v>
                </c:pt>
                <c:pt idx="27">
                  <c:v>1329</c:v>
                </c:pt>
                <c:pt idx="28">
                  <c:v>1509</c:v>
                </c:pt>
                <c:pt idx="29">
                  <c:v>1627</c:v>
                </c:pt>
                <c:pt idx="30">
                  <c:v>1574</c:v>
                </c:pt>
                <c:pt idx="31">
                  <c:v>1738</c:v>
                </c:pt>
                <c:pt idx="32">
                  <c:v>1678</c:v>
                </c:pt>
                <c:pt idx="33">
                  <c:v>1703</c:v>
                </c:pt>
                <c:pt idx="34">
                  <c:v>2149</c:v>
                </c:pt>
                <c:pt idx="35">
                  <c:v>2186</c:v>
                </c:pt>
                <c:pt idx="36">
                  <c:v>2621</c:v>
                </c:pt>
                <c:pt idx="37">
                  <c:v>2819</c:v>
                </c:pt>
                <c:pt idx="38">
                  <c:v>3063</c:v>
                </c:pt>
                <c:pt idx="39">
                  <c:v>3183</c:v>
                </c:pt>
                <c:pt idx="40">
                  <c:v>2753</c:v>
                </c:pt>
                <c:pt idx="41">
                  <c:v>3021</c:v>
                </c:pt>
                <c:pt idx="42">
                  <c:v>3201</c:v>
                </c:pt>
                <c:pt idx="43">
                  <c:v>3821</c:v>
                </c:pt>
                <c:pt idx="44">
                  <c:v>3533</c:v>
                </c:pt>
                <c:pt idx="45">
                  <c:v>3851</c:v>
                </c:pt>
                <c:pt idx="46">
                  <c:v>3451</c:v>
                </c:pt>
                <c:pt idx="47">
                  <c:v>2426</c:v>
                </c:pt>
                <c:pt idx="48">
                  <c:v>1976</c:v>
                </c:pt>
                <c:pt idx="49">
                  <c:v>2241</c:v>
                </c:pt>
                <c:pt idx="50">
                  <c:v>546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WAfr!$C$9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WAfr!$D$9:$BD$9</c:f>
              <c:numCache>
                <c:formatCode>_(* #,##0_);_(* \(#,##0\);_(* "-"??_);_(@_)</c:formatCode>
                <c:ptCount val="53"/>
                <c:pt idx="0">
                  <c:v>30</c:v>
                </c:pt>
                <c:pt idx="1">
                  <c:v>36</c:v>
                </c:pt>
                <c:pt idx="2">
                  <c:v>47</c:v>
                </c:pt>
                <c:pt idx="3">
                  <c:v>82</c:v>
                </c:pt>
                <c:pt idx="4">
                  <c:v>96</c:v>
                </c:pt>
                <c:pt idx="5">
                  <c:v>107</c:v>
                </c:pt>
                <c:pt idx="6">
                  <c:v>126</c:v>
                </c:pt>
                <c:pt idx="7">
                  <c:v>150</c:v>
                </c:pt>
                <c:pt idx="8">
                  <c:v>172</c:v>
                </c:pt>
                <c:pt idx="9">
                  <c:v>245</c:v>
                </c:pt>
                <c:pt idx="10">
                  <c:v>269</c:v>
                </c:pt>
                <c:pt idx="11">
                  <c:v>241</c:v>
                </c:pt>
                <c:pt idx="12">
                  <c:v>280</c:v>
                </c:pt>
                <c:pt idx="13">
                  <c:v>369</c:v>
                </c:pt>
                <c:pt idx="14">
                  <c:v>402</c:v>
                </c:pt>
                <c:pt idx="15">
                  <c:v>432</c:v>
                </c:pt>
                <c:pt idx="16">
                  <c:v>446</c:v>
                </c:pt>
                <c:pt idx="17">
                  <c:v>380</c:v>
                </c:pt>
                <c:pt idx="18">
                  <c:v>388</c:v>
                </c:pt>
                <c:pt idx="19">
                  <c:v>384</c:v>
                </c:pt>
                <c:pt idx="20">
                  <c:v>343</c:v>
                </c:pt>
                <c:pt idx="21">
                  <c:v>340</c:v>
                </c:pt>
                <c:pt idx="22">
                  <c:v>379</c:v>
                </c:pt>
                <c:pt idx="23">
                  <c:v>466</c:v>
                </c:pt>
                <c:pt idx="24">
                  <c:v>480</c:v>
                </c:pt>
                <c:pt idx="25">
                  <c:v>470</c:v>
                </c:pt>
                <c:pt idx="26">
                  <c:v>463</c:v>
                </c:pt>
                <c:pt idx="27">
                  <c:v>522</c:v>
                </c:pt>
                <c:pt idx="28">
                  <c:v>633</c:v>
                </c:pt>
                <c:pt idx="29">
                  <c:v>527</c:v>
                </c:pt>
                <c:pt idx="30">
                  <c:v>616</c:v>
                </c:pt>
                <c:pt idx="31">
                  <c:v>581</c:v>
                </c:pt>
                <c:pt idx="32">
                  <c:v>631</c:v>
                </c:pt>
                <c:pt idx="33">
                  <c:v>719</c:v>
                </c:pt>
                <c:pt idx="34">
                  <c:v>715</c:v>
                </c:pt>
                <c:pt idx="35">
                  <c:v>785</c:v>
                </c:pt>
                <c:pt idx="36">
                  <c:v>719</c:v>
                </c:pt>
                <c:pt idx="37">
                  <c:v>660</c:v>
                </c:pt>
                <c:pt idx="38">
                  <c:v>499</c:v>
                </c:pt>
                <c:pt idx="39">
                  <c:v>459</c:v>
                </c:pt>
                <c:pt idx="40">
                  <c:v>594</c:v>
                </c:pt>
                <c:pt idx="41">
                  <c:v>584</c:v>
                </c:pt>
                <c:pt idx="42">
                  <c:v>639</c:v>
                </c:pt>
                <c:pt idx="43">
                  <c:v>598</c:v>
                </c:pt>
                <c:pt idx="44">
                  <c:v>543</c:v>
                </c:pt>
                <c:pt idx="45">
                  <c:v>498</c:v>
                </c:pt>
                <c:pt idx="46">
                  <c:v>501</c:v>
                </c:pt>
                <c:pt idx="47">
                  <c:v>491</c:v>
                </c:pt>
                <c:pt idx="48">
                  <c:v>463</c:v>
                </c:pt>
                <c:pt idx="49">
                  <c:v>438</c:v>
                </c:pt>
                <c:pt idx="50">
                  <c:v>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31080"/>
        <c:axId val="323535000"/>
      </c:lineChart>
      <c:catAx>
        <c:axId val="323531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5000"/>
        <c:crosses val="autoZero"/>
        <c:auto val="1"/>
        <c:lblAlgn val="ctr"/>
        <c:lblOffset val="100"/>
        <c:noMultiLvlLbl val="0"/>
      </c:catAx>
      <c:valAx>
        <c:axId val="32353500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108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92222095877489"/>
          <c:h val="0.10780694079906679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WAfr!$C$10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WAfr!$D$10:$BD$10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19</c:v>
                </c:pt>
                <c:pt idx="5">
                  <c:v>19</c:v>
                </c:pt>
                <c:pt idx="6">
                  <c:v>15</c:v>
                </c:pt>
                <c:pt idx="7">
                  <c:v>16</c:v>
                </c:pt>
                <c:pt idx="8">
                  <c:v>7</c:v>
                </c:pt>
                <c:pt idx="9">
                  <c:v>34</c:v>
                </c:pt>
                <c:pt idx="10">
                  <c:v>58</c:v>
                </c:pt>
                <c:pt idx="11">
                  <c:v>63</c:v>
                </c:pt>
                <c:pt idx="12">
                  <c:v>63</c:v>
                </c:pt>
                <c:pt idx="13">
                  <c:v>64</c:v>
                </c:pt>
                <c:pt idx="14">
                  <c:v>65</c:v>
                </c:pt>
                <c:pt idx="15">
                  <c:v>65</c:v>
                </c:pt>
                <c:pt idx="16">
                  <c:v>70</c:v>
                </c:pt>
                <c:pt idx="17">
                  <c:v>70</c:v>
                </c:pt>
                <c:pt idx="18">
                  <c:v>73</c:v>
                </c:pt>
                <c:pt idx="19">
                  <c:v>75</c:v>
                </c:pt>
                <c:pt idx="20">
                  <c:v>55</c:v>
                </c:pt>
                <c:pt idx="21">
                  <c:v>60</c:v>
                </c:pt>
                <c:pt idx="22">
                  <c:v>65</c:v>
                </c:pt>
                <c:pt idx="23">
                  <c:v>50</c:v>
                </c:pt>
                <c:pt idx="24">
                  <c:v>60</c:v>
                </c:pt>
                <c:pt idx="25">
                  <c:v>55</c:v>
                </c:pt>
                <c:pt idx="26">
                  <c:v>70</c:v>
                </c:pt>
                <c:pt idx="27">
                  <c:v>40</c:v>
                </c:pt>
                <c:pt idx="28">
                  <c:v>55</c:v>
                </c:pt>
                <c:pt idx="29">
                  <c:v>60</c:v>
                </c:pt>
                <c:pt idx="30">
                  <c:v>218</c:v>
                </c:pt>
                <c:pt idx="31">
                  <c:v>149</c:v>
                </c:pt>
                <c:pt idx="32">
                  <c:v>154</c:v>
                </c:pt>
                <c:pt idx="33">
                  <c:v>163</c:v>
                </c:pt>
                <c:pt idx="34">
                  <c:v>178</c:v>
                </c:pt>
                <c:pt idx="35">
                  <c:v>287</c:v>
                </c:pt>
                <c:pt idx="36">
                  <c:v>322</c:v>
                </c:pt>
                <c:pt idx="37">
                  <c:v>326</c:v>
                </c:pt>
                <c:pt idx="38">
                  <c:v>327</c:v>
                </c:pt>
                <c:pt idx="39">
                  <c:v>333</c:v>
                </c:pt>
                <c:pt idx="40">
                  <c:v>340</c:v>
                </c:pt>
                <c:pt idx="41">
                  <c:v>348</c:v>
                </c:pt>
                <c:pt idx="42">
                  <c:v>380</c:v>
                </c:pt>
                <c:pt idx="43">
                  <c:v>400</c:v>
                </c:pt>
                <c:pt idx="44">
                  <c:v>410</c:v>
                </c:pt>
                <c:pt idx="45">
                  <c:v>430</c:v>
                </c:pt>
                <c:pt idx="46">
                  <c:v>440</c:v>
                </c:pt>
                <c:pt idx="47">
                  <c:v>450</c:v>
                </c:pt>
                <c:pt idx="48">
                  <c:v>450</c:v>
                </c:pt>
                <c:pt idx="49">
                  <c:v>450</c:v>
                </c:pt>
                <c:pt idx="50">
                  <c:v>536</c:v>
                </c:pt>
                <c:pt idx="51">
                  <c:v>697</c:v>
                </c:pt>
                <c:pt idx="52">
                  <c:v>645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WAfr!$C$11</c:f>
              <c:strCache>
                <c:ptCount val="1"/>
                <c:pt idx="0">
                  <c:v>Imports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WAfr!$D$11:$BD$11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12</c:v>
                </c:pt>
                <c:pt idx="24">
                  <c:v>3</c:v>
                </c:pt>
                <c:pt idx="25">
                  <c:v>13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8</c:v>
                </c:pt>
                <c:pt idx="41">
                  <c:v>8</c:v>
                </c:pt>
                <c:pt idx="42">
                  <c:v>10</c:v>
                </c:pt>
                <c:pt idx="43">
                  <c:v>10</c:v>
                </c:pt>
                <c:pt idx="44">
                  <c:v>5</c:v>
                </c:pt>
                <c:pt idx="45">
                  <c:v>5</c:v>
                </c:pt>
                <c:pt idx="46">
                  <c:v>3</c:v>
                </c:pt>
                <c:pt idx="47">
                  <c:v>15</c:v>
                </c:pt>
                <c:pt idx="48">
                  <c:v>4</c:v>
                </c:pt>
                <c:pt idx="49">
                  <c:v>4</c:v>
                </c:pt>
                <c:pt idx="50">
                  <c:v>6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WAfr!$C$12</c:f>
              <c:strCache>
                <c:ptCount val="1"/>
                <c:pt idx="0">
                  <c:v>Exports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WAfr!$D$12:$BD$12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15</c:v>
                </c:pt>
                <c:pt idx="5">
                  <c:v>12</c:v>
                </c:pt>
                <c:pt idx="6">
                  <c:v>6</c:v>
                </c:pt>
                <c:pt idx="7">
                  <c:v>14</c:v>
                </c:pt>
                <c:pt idx="8">
                  <c:v>7</c:v>
                </c:pt>
                <c:pt idx="9">
                  <c:v>10</c:v>
                </c:pt>
                <c:pt idx="10">
                  <c:v>5</c:v>
                </c:pt>
                <c:pt idx="11">
                  <c:v>2</c:v>
                </c:pt>
                <c:pt idx="12">
                  <c:v>1</c:v>
                </c:pt>
                <c:pt idx="13">
                  <c:v>5</c:v>
                </c:pt>
                <c:pt idx="14">
                  <c:v>2</c:v>
                </c:pt>
                <c:pt idx="15">
                  <c:v>2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5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10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12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WAfr!$C$13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WAfr!$D$13:$BD$13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4</c:v>
                </c:pt>
                <c:pt idx="5">
                  <c:v>7</c:v>
                </c:pt>
                <c:pt idx="6">
                  <c:v>9</c:v>
                </c:pt>
                <c:pt idx="7">
                  <c:v>2</c:v>
                </c:pt>
                <c:pt idx="8">
                  <c:v>0</c:v>
                </c:pt>
                <c:pt idx="9">
                  <c:v>24</c:v>
                </c:pt>
                <c:pt idx="10">
                  <c:v>53</c:v>
                </c:pt>
                <c:pt idx="11">
                  <c:v>61</c:v>
                </c:pt>
                <c:pt idx="12">
                  <c:v>62</c:v>
                </c:pt>
                <c:pt idx="13">
                  <c:v>59</c:v>
                </c:pt>
                <c:pt idx="14">
                  <c:v>63</c:v>
                </c:pt>
                <c:pt idx="15">
                  <c:v>63</c:v>
                </c:pt>
                <c:pt idx="16">
                  <c:v>69</c:v>
                </c:pt>
                <c:pt idx="17">
                  <c:v>70</c:v>
                </c:pt>
                <c:pt idx="18">
                  <c:v>73</c:v>
                </c:pt>
                <c:pt idx="19">
                  <c:v>75</c:v>
                </c:pt>
                <c:pt idx="20">
                  <c:v>55</c:v>
                </c:pt>
                <c:pt idx="21">
                  <c:v>60</c:v>
                </c:pt>
                <c:pt idx="22">
                  <c:v>65</c:v>
                </c:pt>
                <c:pt idx="23">
                  <c:v>62</c:v>
                </c:pt>
                <c:pt idx="24">
                  <c:v>63</c:v>
                </c:pt>
                <c:pt idx="25">
                  <c:v>68</c:v>
                </c:pt>
                <c:pt idx="26">
                  <c:v>70</c:v>
                </c:pt>
                <c:pt idx="27">
                  <c:v>40</c:v>
                </c:pt>
                <c:pt idx="28">
                  <c:v>45</c:v>
                </c:pt>
                <c:pt idx="29">
                  <c:v>60</c:v>
                </c:pt>
                <c:pt idx="30">
                  <c:v>218</c:v>
                </c:pt>
                <c:pt idx="31">
                  <c:v>149</c:v>
                </c:pt>
                <c:pt idx="32">
                  <c:v>154</c:v>
                </c:pt>
                <c:pt idx="33">
                  <c:v>163</c:v>
                </c:pt>
                <c:pt idx="34">
                  <c:v>178</c:v>
                </c:pt>
                <c:pt idx="35">
                  <c:v>287</c:v>
                </c:pt>
                <c:pt idx="36">
                  <c:v>322</c:v>
                </c:pt>
                <c:pt idx="37">
                  <c:v>311</c:v>
                </c:pt>
                <c:pt idx="38">
                  <c:v>332</c:v>
                </c:pt>
                <c:pt idx="39">
                  <c:v>338</c:v>
                </c:pt>
                <c:pt idx="40">
                  <c:v>348</c:v>
                </c:pt>
                <c:pt idx="41">
                  <c:v>356</c:v>
                </c:pt>
                <c:pt idx="42">
                  <c:v>390</c:v>
                </c:pt>
                <c:pt idx="43">
                  <c:v>410</c:v>
                </c:pt>
                <c:pt idx="44">
                  <c:v>415</c:v>
                </c:pt>
                <c:pt idx="45">
                  <c:v>435</c:v>
                </c:pt>
                <c:pt idx="46">
                  <c:v>443</c:v>
                </c:pt>
                <c:pt idx="47">
                  <c:v>465</c:v>
                </c:pt>
                <c:pt idx="48">
                  <c:v>454</c:v>
                </c:pt>
                <c:pt idx="49">
                  <c:v>454</c:v>
                </c:pt>
                <c:pt idx="50">
                  <c:v>530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35392"/>
        <c:axId val="323531472"/>
      </c:lineChart>
      <c:catAx>
        <c:axId val="3235353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1472"/>
        <c:crosses val="autoZero"/>
        <c:auto val="1"/>
        <c:lblAlgn val="ctr"/>
        <c:lblOffset val="100"/>
        <c:noMultiLvlLbl val="0"/>
      </c:catAx>
      <c:valAx>
        <c:axId val="32353147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539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75652077829239028"/>
          <c:h val="0.10780700284804826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82"/>
          <c:w val="0.84524590848569359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WAfr!$C$14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WAfr!$D$14:$BD$14</c:f>
              <c:numCache>
                <c:formatCode>_(* #,##0_);_(* \(#,##0\);_(* "-"??_);_(@_)</c:formatCode>
                <c:ptCount val="53"/>
                <c:pt idx="0">
                  <c:v>1195</c:v>
                </c:pt>
                <c:pt idx="1">
                  <c:v>1051</c:v>
                </c:pt>
                <c:pt idx="2">
                  <c:v>1238</c:v>
                </c:pt>
                <c:pt idx="3">
                  <c:v>1146</c:v>
                </c:pt>
                <c:pt idx="4">
                  <c:v>1328</c:v>
                </c:pt>
                <c:pt idx="5">
                  <c:v>1237</c:v>
                </c:pt>
                <c:pt idx="6">
                  <c:v>1309</c:v>
                </c:pt>
                <c:pt idx="7">
                  <c:v>1461</c:v>
                </c:pt>
                <c:pt idx="8">
                  <c:v>1370</c:v>
                </c:pt>
                <c:pt idx="9">
                  <c:v>1458</c:v>
                </c:pt>
                <c:pt idx="10">
                  <c:v>1467</c:v>
                </c:pt>
                <c:pt idx="11">
                  <c:v>1598</c:v>
                </c:pt>
                <c:pt idx="12">
                  <c:v>1491</c:v>
                </c:pt>
                <c:pt idx="13">
                  <c:v>1491</c:v>
                </c:pt>
                <c:pt idx="14">
                  <c:v>1588</c:v>
                </c:pt>
                <c:pt idx="15">
                  <c:v>1833</c:v>
                </c:pt>
                <c:pt idx="16">
                  <c:v>1855</c:v>
                </c:pt>
                <c:pt idx="17">
                  <c:v>1882</c:v>
                </c:pt>
                <c:pt idx="18">
                  <c:v>1896</c:v>
                </c:pt>
                <c:pt idx="19">
                  <c:v>1825</c:v>
                </c:pt>
                <c:pt idx="20">
                  <c:v>1826</c:v>
                </c:pt>
                <c:pt idx="21">
                  <c:v>1936</c:v>
                </c:pt>
                <c:pt idx="22">
                  <c:v>2032</c:v>
                </c:pt>
                <c:pt idx="23">
                  <c:v>1981</c:v>
                </c:pt>
                <c:pt idx="24">
                  <c:v>2010</c:v>
                </c:pt>
                <c:pt idx="25">
                  <c:v>2224</c:v>
                </c:pt>
                <c:pt idx="26">
                  <c:v>2325</c:v>
                </c:pt>
                <c:pt idx="27">
                  <c:v>2884</c:v>
                </c:pt>
                <c:pt idx="28">
                  <c:v>3086</c:v>
                </c:pt>
                <c:pt idx="29">
                  <c:v>3735</c:v>
                </c:pt>
                <c:pt idx="30">
                  <c:v>3261</c:v>
                </c:pt>
                <c:pt idx="31">
                  <c:v>3735</c:v>
                </c:pt>
                <c:pt idx="32">
                  <c:v>3700</c:v>
                </c:pt>
                <c:pt idx="33">
                  <c:v>3653</c:v>
                </c:pt>
                <c:pt idx="34">
                  <c:v>3107</c:v>
                </c:pt>
                <c:pt idx="35">
                  <c:v>3582</c:v>
                </c:pt>
                <c:pt idx="36">
                  <c:v>4071</c:v>
                </c:pt>
                <c:pt idx="37">
                  <c:v>3973</c:v>
                </c:pt>
                <c:pt idx="38">
                  <c:v>4108</c:v>
                </c:pt>
                <c:pt idx="39">
                  <c:v>4380</c:v>
                </c:pt>
                <c:pt idx="40">
                  <c:v>4499</c:v>
                </c:pt>
                <c:pt idx="41">
                  <c:v>4741</c:v>
                </c:pt>
                <c:pt idx="42">
                  <c:v>4471</c:v>
                </c:pt>
                <c:pt idx="43">
                  <c:v>4587</c:v>
                </c:pt>
                <c:pt idx="44">
                  <c:v>4781</c:v>
                </c:pt>
                <c:pt idx="45">
                  <c:v>5399</c:v>
                </c:pt>
                <c:pt idx="46">
                  <c:v>5648</c:v>
                </c:pt>
                <c:pt idx="47">
                  <c:v>5725</c:v>
                </c:pt>
                <c:pt idx="48">
                  <c:v>6737</c:v>
                </c:pt>
                <c:pt idx="49">
                  <c:v>7575</c:v>
                </c:pt>
                <c:pt idx="50">
                  <c:v>12077</c:v>
                </c:pt>
                <c:pt idx="51">
                  <c:v>14601</c:v>
                </c:pt>
                <c:pt idx="52">
                  <c:v>14643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WAfr!$C$15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WAfr!$D$15:$BD$15</c:f>
              <c:numCache>
                <c:formatCode>_(* #,##0_);_(* \(#,##0\);_(* "-"??_);_(@_)</c:formatCode>
                <c:ptCount val="53"/>
                <c:pt idx="0">
                  <c:v>243</c:v>
                </c:pt>
                <c:pt idx="1">
                  <c:v>309</c:v>
                </c:pt>
                <c:pt idx="2">
                  <c:v>269</c:v>
                </c:pt>
                <c:pt idx="3">
                  <c:v>398</c:v>
                </c:pt>
                <c:pt idx="4">
                  <c:v>423</c:v>
                </c:pt>
                <c:pt idx="5">
                  <c:v>454</c:v>
                </c:pt>
                <c:pt idx="6">
                  <c:v>363</c:v>
                </c:pt>
                <c:pt idx="7">
                  <c:v>397</c:v>
                </c:pt>
                <c:pt idx="8">
                  <c:v>360</c:v>
                </c:pt>
                <c:pt idx="9">
                  <c:v>435</c:v>
                </c:pt>
                <c:pt idx="10">
                  <c:v>512</c:v>
                </c:pt>
                <c:pt idx="11">
                  <c:v>473</c:v>
                </c:pt>
                <c:pt idx="12">
                  <c:v>574</c:v>
                </c:pt>
                <c:pt idx="13">
                  <c:v>598</c:v>
                </c:pt>
                <c:pt idx="14">
                  <c:v>321</c:v>
                </c:pt>
                <c:pt idx="15">
                  <c:v>335</c:v>
                </c:pt>
                <c:pt idx="16">
                  <c:v>699</c:v>
                </c:pt>
                <c:pt idx="17">
                  <c:v>1232</c:v>
                </c:pt>
                <c:pt idx="18">
                  <c:v>1793</c:v>
                </c:pt>
                <c:pt idx="19">
                  <c:v>1218</c:v>
                </c:pt>
                <c:pt idx="20">
                  <c:v>1555</c:v>
                </c:pt>
                <c:pt idx="21">
                  <c:v>1854</c:v>
                </c:pt>
                <c:pt idx="22">
                  <c:v>1797</c:v>
                </c:pt>
                <c:pt idx="23">
                  <c:v>2011</c:v>
                </c:pt>
                <c:pt idx="24">
                  <c:v>1878</c:v>
                </c:pt>
                <c:pt idx="25">
                  <c:v>1496</c:v>
                </c:pt>
                <c:pt idx="26">
                  <c:v>1659</c:v>
                </c:pt>
                <c:pt idx="27">
                  <c:v>1937</c:v>
                </c:pt>
                <c:pt idx="28">
                  <c:v>1559</c:v>
                </c:pt>
                <c:pt idx="29">
                  <c:v>1603</c:v>
                </c:pt>
                <c:pt idx="30">
                  <c:v>1516</c:v>
                </c:pt>
                <c:pt idx="31">
                  <c:v>1538</c:v>
                </c:pt>
                <c:pt idx="32">
                  <c:v>2077</c:v>
                </c:pt>
                <c:pt idx="33">
                  <c:v>1893</c:v>
                </c:pt>
                <c:pt idx="34">
                  <c:v>1683</c:v>
                </c:pt>
                <c:pt idx="35">
                  <c:v>1879</c:v>
                </c:pt>
                <c:pt idx="36">
                  <c:v>1985</c:v>
                </c:pt>
                <c:pt idx="37">
                  <c:v>2705</c:v>
                </c:pt>
                <c:pt idx="38">
                  <c:v>2867</c:v>
                </c:pt>
                <c:pt idx="39">
                  <c:v>3028</c:v>
                </c:pt>
                <c:pt idx="40">
                  <c:v>3825</c:v>
                </c:pt>
                <c:pt idx="41">
                  <c:v>4990</c:v>
                </c:pt>
                <c:pt idx="42">
                  <c:v>5194</c:v>
                </c:pt>
                <c:pt idx="43">
                  <c:v>4958</c:v>
                </c:pt>
                <c:pt idx="44">
                  <c:v>4882</c:v>
                </c:pt>
                <c:pt idx="45">
                  <c:v>4960</c:v>
                </c:pt>
                <c:pt idx="46">
                  <c:v>4790</c:v>
                </c:pt>
                <c:pt idx="47">
                  <c:v>5190</c:v>
                </c:pt>
                <c:pt idx="48">
                  <c:v>4908</c:v>
                </c:pt>
                <c:pt idx="49">
                  <c:v>5265</c:v>
                </c:pt>
                <c:pt idx="50">
                  <c:v>6111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WAfr!$C$16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WAfr!$D$16:$BD$16</c:f>
              <c:numCache>
                <c:formatCode>_(* #,##0_);_(* \(#,##0\);_(* "-"??_);_(@_)</c:formatCode>
                <c:ptCount val="53"/>
                <c:pt idx="0">
                  <c:v>9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5</c:v>
                </c:pt>
                <c:pt idx="15">
                  <c:v>5</c:v>
                </c:pt>
                <c:pt idx="16">
                  <c:v>30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5</c:v>
                </c:pt>
                <c:pt idx="21">
                  <c:v>5</c:v>
                </c:pt>
                <c:pt idx="22">
                  <c:v>12</c:v>
                </c:pt>
                <c:pt idx="23">
                  <c:v>10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7</c:v>
                </c:pt>
                <c:pt idx="36">
                  <c:v>1</c:v>
                </c:pt>
                <c:pt idx="37">
                  <c:v>1</c:v>
                </c:pt>
                <c:pt idx="38">
                  <c:v>3</c:v>
                </c:pt>
                <c:pt idx="39">
                  <c:v>10</c:v>
                </c:pt>
                <c:pt idx="40">
                  <c:v>0</c:v>
                </c:pt>
                <c:pt idx="41">
                  <c:v>4</c:v>
                </c:pt>
                <c:pt idx="42">
                  <c:v>3</c:v>
                </c:pt>
                <c:pt idx="43">
                  <c:v>1</c:v>
                </c:pt>
                <c:pt idx="44">
                  <c:v>26</c:v>
                </c:pt>
                <c:pt idx="45">
                  <c:v>1</c:v>
                </c:pt>
                <c:pt idx="46">
                  <c:v>0</c:v>
                </c:pt>
                <c:pt idx="47">
                  <c:v>0</c:v>
                </c:pt>
                <c:pt idx="48">
                  <c:v>2</c:v>
                </c:pt>
                <c:pt idx="49">
                  <c:v>10</c:v>
                </c:pt>
                <c:pt idx="50">
                  <c:v>145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WAfr!$C$17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WAfr!$D$17:$BD$17</c:f>
              <c:numCache>
                <c:formatCode>_(* #,##0_);_(* \(#,##0\);_(* "-"??_);_(@_)</c:formatCode>
                <c:ptCount val="53"/>
                <c:pt idx="0">
                  <c:v>1429</c:v>
                </c:pt>
                <c:pt idx="1">
                  <c:v>1359</c:v>
                </c:pt>
                <c:pt idx="2">
                  <c:v>1507</c:v>
                </c:pt>
                <c:pt idx="3">
                  <c:v>1544</c:v>
                </c:pt>
                <c:pt idx="4">
                  <c:v>1751</c:v>
                </c:pt>
                <c:pt idx="5">
                  <c:v>1691</c:v>
                </c:pt>
                <c:pt idx="6">
                  <c:v>1672</c:v>
                </c:pt>
                <c:pt idx="7">
                  <c:v>1858</c:v>
                </c:pt>
                <c:pt idx="8">
                  <c:v>1730</c:v>
                </c:pt>
                <c:pt idx="9">
                  <c:v>1892</c:v>
                </c:pt>
                <c:pt idx="10">
                  <c:v>1958</c:v>
                </c:pt>
                <c:pt idx="11">
                  <c:v>2071</c:v>
                </c:pt>
                <c:pt idx="12">
                  <c:v>2028</c:v>
                </c:pt>
                <c:pt idx="13">
                  <c:v>2077</c:v>
                </c:pt>
                <c:pt idx="14">
                  <c:v>1888</c:v>
                </c:pt>
                <c:pt idx="15">
                  <c:v>2159</c:v>
                </c:pt>
                <c:pt idx="16">
                  <c:v>2489</c:v>
                </c:pt>
                <c:pt idx="17">
                  <c:v>3000</c:v>
                </c:pt>
                <c:pt idx="18">
                  <c:v>3431</c:v>
                </c:pt>
                <c:pt idx="19">
                  <c:v>3301</c:v>
                </c:pt>
                <c:pt idx="20">
                  <c:v>3380</c:v>
                </c:pt>
                <c:pt idx="21">
                  <c:v>3762</c:v>
                </c:pt>
                <c:pt idx="22">
                  <c:v>3858</c:v>
                </c:pt>
                <c:pt idx="23">
                  <c:v>4078</c:v>
                </c:pt>
                <c:pt idx="24">
                  <c:v>3933</c:v>
                </c:pt>
                <c:pt idx="25">
                  <c:v>3716</c:v>
                </c:pt>
                <c:pt idx="26">
                  <c:v>3926</c:v>
                </c:pt>
                <c:pt idx="27">
                  <c:v>4183</c:v>
                </c:pt>
                <c:pt idx="28">
                  <c:v>4399</c:v>
                </c:pt>
                <c:pt idx="29">
                  <c:v>4736</c:v>
                </c:pt>
                <c:pt idx="30">
                  <c:v>5781</c:v>
                </c:pt>
                <c:pt idx="31">
                  <c:v>5213</c:v>
                </c:pt>
                <c:pt idx="32">
                  <c:v>5760</c:v>
                </c:pt>
                <c:pt idx="33">
                  <c:v>5523</c:v>
                </c:pt>
                <c:pt idx="34">
                  <c:v>5226</c:v>
                </c:pt>
                <c:pt idx="35">
                  <c:v>5297</c:v>
                </c:pt>
                <c:pt idx="36">
                  <c:v>5986</c:v>
                </c:pt>
                <c:pt idx="37">
                  <c:v>6523</c:v>
                </c:pt>
                <c:pt idx="38">
                  <c:v>7016</c:v>
                </c:pt>
                <c:pt idx="39">
                  <c:v>7295</c:v>
                </c:pt>
                <c:pt idx="40">
                  <c:v>8015</c:v>
                </c:pt>
                <c:pt idx="41">
                  <c:v>8890</c:v>
                </c:pt>
                <c:pt idx="42">
                  <c:v>9376</c:v>
                </c:pt>
                <c:pt idx="43">
                  <c:v>10009</c:v>
                </c:pt>
                <c:pt idx="44">
                  <c:v>10281</c:v>
                </c:pt>
                <c:pt idx="45">
                  <c:v>10428</c:v>
                </c:pt>
                <c:pt idx="46">
                  <c:v>10678</c:v>
                </c:pt>
                <c:pt idx="47">
                  <c:v>10672</c:v>
                </c:pt>
                <c:pt idx="48">
                  <c:v>11858</c:v>
                </c:pt>
                <c:pt idx="49">
                  <c:v>12835</c:v>
                </c:pt>
                <c:pt idx="50">
                  <c:v>18043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32256"/>
        <c:axId val="323542840"/>
      </c:lineChart>
      <c:catAx>
        <c:axId val="323532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42840"/>
        <c:crosses val="autoZero"/>
        <c:auto val="1"/>
        <c:lblAlgn val="ctr"/>
        <c:lblOffset val="100"/>
        <c:noMultiLvlLbl val="0"/>
      </c:catAx>
      <c:valAx>
        <c:axId val="32354284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225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3493853384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4"/>
          <c:w val="0.84524590848569392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WAfr!$C$18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WAfr!$D$18:$BD$18</c:f>
              <c:numCache>
                <c:formatCode>_(* #,##0_);_(* \(#,##0\);_(* "-"??_);_(@_)</c:formatCode>
                <c:ptCount val="53"/>
                <c:pt idx="0">
                  <c:v>4675</c:v>
                </c:pt>
                <c:pt idx="1">
                  <c:v>4824</c:v>
                </c:pt>
                <c:pt idx="2">
                  <c:v>5506</c:v>
                </c:pt>
                <c:pt idx="3">
                  <c:v>4727</c:v>
                </c:pt>
                <c:pt idx="4">
                  <c:v>4917</c:v>
                </c:pt>
                <c:pt idx="5">
                  <c:v>5191</c:v>
                </c:pt>
                <c:pt idx="6">
                  <c:v>4146</c:v>
                </c:pt>
                <c:pt idx="7">
                  <c:v>4499</c:v>
                </c:pt>
                <c:pt idx="8">
                  <c:v>4220</c:v>
                </c:pt>
                <c:pt idx="9">
                  <c:v>5088</c:v>
                </c:pt>
                <c:pt idx="10">
                  <c:v>5095</c:v>
                </c:pt>
                <c:pt idx="11">
                  <c:v>4824</c:v>
                </c:pt>
                <c:pt idx="12">
                  <c:v>3292</c:v>
                </c:pt>
                <c:pt idx="13">
                  <c:v>3992</c:v>
                </c:pt>
                <c:pt idx="14">
                  <c:v>5901</c:v>
                </c:pt>
                <c:pt idx="15">
                  <c:v>4805</c:v>
                </c:pt>
                <c:pt idx="16">
                  <c:v>4936</c:v>
                </c:pt>
                <c:pt idx="17">
                  <c:v>4832</c:v>
                </c:pt>
                <c:pt idx="18">
                  <c:v>4986</c:v>
                </c:pt>
                <c:pt idx="19">
                  <c:v>5046</c:v>
                </c:pt>
                <c:pt idx="20">
                  <c:v>4950</c:v>
                </c:pt>
                <c:pt idx="21">
                  <c:v>4922</c:v>
                </c:pt>
                <c:pt idx="22">
                  <c:v>5297</c:v>
                </c:pt>
                <c:pt idx="23">
                  <c:v>3788</c:v>
                </c:pt>
                <c:pt idx="24">
                  <c:v>4800</c:v>
                </c:pt>
                <c:pt idx="25">
                  <c:v>4946</c:v>
                </c:pt>
                <c:pt idx="26">
                  <c:v>5421</c:v>
                </c:pt>
                <c:pt idx="27">
                  <c:v>4668</c:v>
                </c:pt>
                <c:pt idx="28">
                  <c:v>5603</c:v>
                </c:pt>
                <c:pt idx="29">
                  <c:v>5654</c:v>
                </c:pt>
                <c:pt idx="30">
                  <c:v>5922</c:v>
                </c:pt>
                <c:pt idx="31">
                  <c:v>6567</c:v>
                </c:pt>
                <c:pt idx="32">
                  <c:v>6729</c:v>
                </c:pt>
                <c:pt idx="33">
                  <c:v>8608</c:v>
                </c:pt>
                <c:pt idx="34">
                  <c:v>8956</c:v>
                </c:pt>
                <c:pt idx="35">
                  <c:v>8928</c:v>
                </c:pt>
                <c:pt idx="36">
                  <c:v>9078</c:v>
                </c:pt>
                <c:pt idx="37">
                  <c:v>9001</c:v>
                </c:pt>
                <c:pt idx="38">
                  <c:v>10060</c:v>
                </c:pt>
                <c:pt idx="39">
                  <c:v>9760</c:v>
                </c:pt>
                <c:pt idx="40">
                  <c:v>10720</c:v>
                </c:pt>
                <c:pt idx="41">
                  <c:v>11121</c:v>
                </c:pt>
                <c:pt idx="42">
                  <c:v>11350</c:v>
                </c:pt>
                <c:pt idx="43">
                  <c:v>13025</c:v>
                </c:pt>
                <c:pt idx="44">
                  <c:v>13234</c:v>
                </c:pt>
                <c:pt idx="45">
                  <c:v>14527</c:v>
                </c:pt>
                <c:pt idx="46">
                  <c:v>14672</c:v>
                </c:pt>
                <c:pt idx="47">
                  <c:v>14258</c:v>
                </c:pt>
                <c:pt idx="48">
                  <c:v>16110</c:v>
                </c:pt>
                <c:pt idx="49">
                  <c:v>15865</c:v>
                </c:pt>
                <c:pt idx="50">
                  <c:v>10739</c:v>
                </c:pt>
                <c:pt idx="51">
                  <c:v>12402</c:v>
                </c:pt>
                <c:pt idx="52">
                  <c:v>12334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WAfr!$C$19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WAfr!$D$19:$BD$19</c:f>
              <c:numCache>
                <c:formatCode>_(* #,##0_);_(* \(#,##0\);_(* "-"??_);_(@_)</c:formatCode>
                <c:ptCount val="53"/>
                <c:pt idx="0">
                  <c:v>48</c:v>
                </c:pt>
                <c:pt idx="1">
                  <c:v>39</c:v>
                </c:pt>
                <c:pt idx="2">
                  <c:v>58</c:v>
                </c:pt>
                <c:pt idx="3">
                  <c:v>15</c:v>
                </c:pt>
                <c:pt idx="4">
                  <c:v>11</c:v>
                </c:pt>
                <c:pt idx="5">
                  <c:v>14</c:v>
                </c:pt>
                <c:pt idx="6">
                  <c:v>51</c:v>
                </c:pt>
                <c:pt idx="7">
                  <c:v>10</c:v>
                </c:pt>
                <c:pt idx="8">
                  <c:v>7</c:v>
                </c:pt>
                <c:pt idx="9">
                  <c:v>27</c:v>
                </c:pt>
                <c:pt idx="10">
                  <c:v>43</c:v>
                </c:pt>
                <c:pt idx="11">
                  <c:v>57</c:v>
                </c:pt>
                <c:pt idx="12">
                  <c:v>72</c:v>
                </c:pt>
                <c:pt idx="13">
                  <c:v>189</c:v>
                </c:pt>
                <c:pt idx="14">
                  <c:v>81</c:v>
                </c:pt>
                <c:pt idx="15">
                  <c:v>64</c:v>
                </c:pt>
                <c:pt idx="16">
                  <c:v>81</c:v>
                </c:pt>
                <c:pt idx="17">
                  <c:v>106</c:v>
                </c:pt>
                <c:pt idx="18">
                  <c:v>115</c:v>
                </c:pt>
                <c:pt idx="19">
                  <c:v>83</c:v>
                </c:pt>
                <c:pt idx="20">
                  <c:v>70</c:v>
                </c:pt>
                <c:pt idx="21">
                  <c:v>110</c:v>
                </c:pt>
                <c:pt idx="22">
                  <c:v>107</c:v>
                </c:pt>
                <c:pt idx="23">
                  <c:v>179</c:v>
                </c:pt>
                <c:pt idx="24">
                  <c:v>291</c:v>
                </c:pt>
                <c:pt idx="25">
                  <c:v>176</c:v>
                </c:pt>
                <c:pt idx="26">
                  <c:v>110</c:v>
                </c:pt>
                <c:pt idx="27">
                  <c:v>177</c:v>
                </c:pt>
                <c:pt idx="28">
                  <c:v>38</c:v>
                </c:pt>
                <c:pt idx="29">
                  <c:v>11</c:v>
                </c:pt>
                <c:pt idx="30">
                  <c:v>92</c:v>
                </c:pt>
                <c:pt idx="31">
                  <c:v>24</c:v>
                </c:pt>
                <c:pt idx="32">
                  <c:v>25</c:v>
                </c:pt>
                <c:pt idx="33">
                  <c:v>33</c:v>
                </c:pt>
                <c:pt idx="34">
                  <c:v>6</c:v>
                </c:pt>
                <c:pt idx="35">
                  <c:v>2</c:v>
                </c:pt>
                <c:pt idx="36">
                  <c:v>10</c:v>
                </c:pt>
                <c:pt idx="37">
                  <c:v>0</c:v>
                </c:pt>
                <c:pt idx="38">
                  <c:v>20</c:v>
                </c:pt>
                <c:pt idx="39">
                  <c:v>0</c:v>
                </c:pt>
                <c:pt idx="40">
                  <c:v>25</c:v>
                </c:pt>
                <c:pt idx="41">
                  <c:v>28</c:v>
                </c:pt>
                <c:pt idx="42">
                  <c:v>25</c:v>
                </c:pt>
                <c:pt idx="43">
                  <c:v>55</c:v>
                </c:pt>
                <c:pt idx="44">
                  <c:v>68</c:v>
                </c:pt>
                <c:pt idx="45">
                  <c:v>50</c:v>
                </c:pt>
                <c:pt idx="46">
                  <c:v>50</c:v>
                </c:pt>
                <c:pt idx="47">
                  <c:v>67</c:v>
                </c:pt>
                <c:pt idx="48">
                  <c:v>50</c:v>
                </c:pt>
                <c:pt idx="49">
                  <c:v>52</c:v>
                </c:pt>
                <c:pt idx="50">
                  <c:v>79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WAfr!$C$20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WAfr!$D$20:$BD$20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3</c:v>
                </c:pt>
                <c:pt idx="6">
                  <c:v>4</c:v>
                </c:pt>
                <c:pt idx="7">
                  <c:v>0</c:v>
                </c:pt>
                <c:pt idx="8">
                  <c:v>2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5</c:v>
                </c:pt>
                <c:pt idx="16">
                  <c:v>5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50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100</c:v>
                </c:pt>
                <c:pt idx="41">
                  <c:v>50</c:v>
                </c:pt>
                <c:pt idx="42">
                  <c:v>50</c:v>
                </c:pt>
                <c:pt idx="43">
                  <c:v>50</c:v>
                </c:pt>
                <c:pt idx="44">
                  <c:v>50</c:v>
                </c:pt>
                <c:pt idx="45">
                  <c:v>50</c:v>
                </c:pt>
                <c:pt idx="46">
                  <c:v>50</c:v>
                </c:pt>
                <c:pt idx="47">
                  <c:v>50</c:v>
                </c:pt>
                <c:pt idx="48">
                  <c:v>50</c:v>
                </c:pt>
                <c:pt idx="49">
                  <c:v>50</c:v>
                </c:pt>
                <c:pt idx="50">
                  <c:v>5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WAfr!$C$21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WAfr!$D$21:$BD$21</c:f>
              <c:numCache>
                <c:formatCode>_(* #,##0_);_(* \(#,##0\);_(* "-"??_);_(@_)</c:formatCode>
                <c:ptCount val="53"/>
                <c:pt idx="0">
                  <c:v>4723</c:v>
                </c:pt>
                <c:pt idx="1">
                  <c:v>4863</c:v>
                </c:pt>
                <c:pt idx="2">
                  <c:v>5544</c:v>
                </c:pt>
                <c:pt idx="3">
                  <c:v>4742</c:v>
                </c:pt>
                <c:pt idx="4">
                  <c:v>4927</c:v>
                </c:pt>
                <c:pt idx="5">
                  <c:v>5202</c:v>
                </c:pt>
                <c:pt idx="6">
                  <c:v>4193</c:v>
                </c:pt>
                <c:pt idx="7">
                  <c:v>4509</c:v>
                </c:pt>
                <c:pt idx="8">
                  <c:v>4225</c:v>
                </c:pt>
                <c:pt idx="9">
                  <c:v>5114</c:v>
                </c:pt>
                <c:pt idx="10">
                  <c:v>5138</c:v>
                </c:pt>
                <c:pt idx="11">
                  <c:v>4881</c:v>
                </c:pt>
                <c:pt idx="12">
                  <c:v>3364</c:v>
                </c:pt>
                <c:pt idx="13">
                  <c:v>4181</c:v>
                </c:pt>
                <c:pt idx="14">
                  <c:v>5982</c:v>
                </c:pt>
                <c:pt idx="15">
                  <c:v>4864</c:v>
                </c:pt>
                <c:pt idx="16">
                  <c:v>5012</c:v>
                </c:pt>
                <c:pt idx="17">
                  <c:v>4938</c:v>
                </c:pt>
                <c:pt idx="18">
                  <c:v>5091</c:v>
                </c:pt>
                <c:pt idx="19">
                  <c:v>5109</c:v>
                </c:pt>
                <c:pt idx="20">
                  <c:v>4990</c:v>
                </c:pt>
                <c:pt idx="21">
                  <c:v>5085</c:v>
                </c:pt>
                <c:pt idx="22">
                  <c:v>5309</c:v>
                </c:pt>
                <c:pt idx="23">
                  <c:v>4088</c:v>
                </c:pt>
                <c:pt idx="24">
                  <c:v>5049</c:v>
                </c:pt>
                <c:pt idx="25">
                  <c:v>4805</c:v>
                </c:pt>
                <c:pt idx="26">
                  <c:v>5531</c:v>
                </c:pt>
                <c:pt idx="27">
                  <c:v>5045</c:v>
                </c:pt>
                <c:pt idx="28">
                  <c:v>5436</c:v>
                </c:pt>
                <c:pt idx="29">
                  <c:v>5640</c:v>
                </c:pt>
                <c:pt idx="30">
                  <c:v>6138</c:v>
                </c:pt>
                <c:pt idx="31">
                  <c:v>6605</c:v>
                </c:pt>
                <c:pt idx="32">
                  <c:v>6754</c:v>
                </c:pt>
                <c:pt idx="33">
                  <c:v>8643</c:v>
                </c:pt>
                <c:pt idx="34">
                  <c:v>8962</c:v>
                </c:pt>
                <c:pt idx="35">
                  <c:v>8930</c:v>
                </c:pt>
                <c:pt idx="36">
                  <c:v>9088</c:v>
                </c:pt>
                <c:pt idx="37">
                  <c:v>9001</c:v>
                </c:pt>
                <c:pt idx="38">
                  <c:v>10080</c:v>
                </c:pt>
                <c:pt idx="39">
                  <c:v>9760</c:v>
                </c:pt>
                <c:pt idx="40">
                  <c:v>10645</c:v>
                </c:pt>
                <c:pt idx="41">
                  <c:v>11099</c:v>
                </c:pt>
                <c:pt idx="42">
                  <c:v>11325</c:v>
                </c:pt>
                <c:pt idx="43">
                  <c:v>12985</c:v>
                </c:pt>
                <c:pt idx="44">
                  <c:v>13266</c:v>
                </c:pt>
                <c:pt idx="45">
                  <c:v>14482</c:v>
                </c:pt>
                <c:pt idx="46">
                  <c:v>14651</c:v>
                </c:pt>
                <c:pt idx="47">
                  <c:v>14297</c:v>
                </c:pt>
                <c:pt idx="48">
                  <c:v>15858</c:v>
                </c:pt>
                <c:pt idx="49">
                  <c:v>16090</c:v>
                </c:pt>
                <c:pt idx="50">
                  <c:v>10813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36960"/>
        <c:axId val="323532648"/>
      </c:lineChart>
      <c:catAx>
        <c:axId val="323536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2648"/>
        <c:crosses val="autoZero"/>
        <c:auto val="1"/>
        <c:lblAlgn val="ctr"/>
        <c:lblOffset val="100"/>
        <c:noMultiLvlLbl val="0"/>
      </c:catAx>
      <c:valAx>
        <c:axId val="32353264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696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599"/>
          <c:w val="0.84524590848569414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WAfr!$C$22</c:f>
              <c:strCache>
                <c:ptCount val="1"/>
                <c:pt idx="0">
                  <c:v>Total Sugar 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WAfr!$D$22:$BD$22</c:f>
              <c:numCache>
                <c:formatCode>_(* #,##0_);_(* \(#,##0\);_(* "-"??_);_(@_)</c:formatCode>
                <c:ptCount val="53"/>
                <c:pt idx="0">
                  <c:v>293</c:v>
                </c:pt>
                <c:pt idx="1">
                  <c:v>323</c:v>
                </c:pt>
                <c:pt idx="2">
                  <c:v>422</c:v>
                </c:pt>
                <c:pt idx="3">
                  <c:v>530</c:v>
                </c:pt>
                <c:pt idx="4">
                  <c:v>673</c:v>
                </c:pt>
                <c:pt idx="5">
                  <c:v>576</c:v>
                </c:pt>
                <c:pt idx="6">
                  <c:v>734</c:v>
                </c:pt>
                <c:pt idx="7">
                  <c:v>844</c:v>
                </c:pt>
                <c:pt idx="8">
                  <c:v>837</c:v>
                </c:pt>
                <c:pt idx="9">
                  <c:v>904</c:v>
                </c:pt>
                <c:pt idx="10">
                  <c:v>981</c:v>
                </c:pt>
                <c:pt idx="11">
                  <c:v>1100</c:v>
                </c:pt>
                <c:pt idx="12">
                  <c:v>1119</c:v>
                </c:pt>
                <c:pt idx="13">
                  <c:v>1212</c:v>
                </c:pt>
                <c:pt idx="14">
                  <c:v>1712</c:v>
                </c:pt>
                <c:pt idx="15">
                  <c:v>2313</c:v>
                </c:pt>
                <c:pt idx="16">
                  <c:v>2763</c:v>
                </c:pt>
                <c:pt idx="17">
                  <c:v>2679</c:v>
                </c:pt>
                <c:pt idx="18">
                  <c:v>3409</c:v>
                </c:pt>
                <c:pt idx="19">
                  <c:v>4100</c:v>
                </c:pt>
                <c:pt idx="20">
                  <c:v>4471</c:v>
                </c:pt>
                <c:pt idx="21">
                  <c:v>4582</c:v>
                </c:pt>
                <c:pt idx="22">
                  <c:v>4740</c:v>
                </c:pt>
                <c:pt idx="23">
                  <c:v>4342</c:v>
                </c:pt>
                <c:pt idx="24">
                  <c:v>4135</c:v>
                </c:pt>
                <c:pt idx="25">
                  <c:v>4439</c:v>
                </c:pt>
                <c:pt idx="26">
                  <c:v>4530</c:v>
                </c:pt>
                <c:pt idx="27">
                  <c:v>4587</c:v>
                </c:pt>
                <c:pt idx="28">
                  <c:v>4679</c:v>
                </c:pt>
                <c:pt idx="29">
                  <c:v>4743</c:v>
                </c:pt>
                <c:pt idx="30">
                  <c:v>4826</c:v>
                </c:pt>
                <c:pt idx="31">
                  <c:v>4805</c:v>
                </c:pt>
                <c:pt idx="32">
                  <c:v>4764</c:v>
                </c:pt>
                <c:pt idx="33">
                  <c:v>4410</c:v>
                </c:pt>
                <c:pt idx="34">
                  <c:v>4398</c:v>
                </c:pt>
                <c:pt idx="35">
                  <c:v>4634</c:v>
                </c:pt>
                <c:pt idx="36">
                  <c:v>4759</c:v>
                </c:pt>
                <c:pt idx="37">
                  <c:v>4570</c:v>
                </c:pt>
                <c:pt idx="38">
                  <c:v>4885</c:v>
                </c:pt>
                <c:pt idx="39">
                  <c:v>5284</c:v>
                </c:pt>
                <c:pt idx="40">
                  <c:v>5304</c:v>
                </c:pt>
                <c:pt idx="41">
                  <c:v>5304</c:v>
                </c:pt>
                <c:pt idx="42">
                  <c:v>5116</c:v>
                </c:pt>
                <c:pt idx="43">
                  <c:v>5336</c:v>
                </c:pt>
                <c:pt idx="44">
                  <c:v>5445</c:v>
                </c:pt>
                <c:pt idx="45">
                  <c:v>5480</c:v>
                </c:pt>
                <c:pt idx="46">
                  <c:v>6243</c:v>
                </c:pt>
                <c:pt idx="47">
                  <c:v>6154</c:v>
                </c:pt>
                <c:pt idx="48">
                  <c:v>6151</c:v>
                </c:pt>
                <c:pt idx="49">
                  <c:v>6319</c:v>
                </c:pt>
                <c:pt idx="50">
                  <c:v>6510</c:v>
                </c:pt>
                <c:pt idx="51">
                  <c:v>6526</c:v>
                </c:pt>
                <c:pt idx="52">
                  <c:v>6610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WAfr!$C$23</c:f>
              <c:strCache>
                <c:ptCount val="1"/>
                <c:pt idx="0">
                  <c:v>Total Imports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WAfr!$D$23:$BD$23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175</c:v>
                </c:pt>
                <c:pt idx="13">
                  <c:v>345</c:v>
                </c:pt>
                <c:pt idx="14">
                  <c:v>361</c:v>
                </c:pt>
                <c:pt idx="15">
                  <c:v>411</c:v>
                </c:pt>
                <c:pt idx="16">
                  <c:v>587</c:v>
                </c:pt>
                <c:pt idx="17">
                  <c:v>783</c:v>
                </c:pt>
                <c:pt idx="18">
                  <c:v>809</c:v>
                </c:pt>
                <c:pt idx="19">
                  <c:v>911</c:v>
                </c:pt>
                <c:pt idx="20">
                  <c:v>1164</c:v>
                </c:pt>
                <c:pt idx="21">
                  <c:v>1240</c:v>
                </c:pt>
                <c:pt idx="22">
                  <c:v>1194</c:v>
                </c:pt>
                <c:pt idx="23">
                  <c:v>910</c:v>
                </c:pt>
                <c:pt idx="24">
                  <c:v>982</c:v>
                </c:pt>
                <c:pt idx="25">
                  <c:v>970</c:v>
                </c:pt>
                <c:pt idx="26">
                  <c:v>975</c:v>
                </c:pt>
                <c:pt idx="27">
                  <c:v>887</c:v>
                </c:pt>
                <c:pt idx="28">
                  <c:v>800</c:v>
                </c:pt>
                <c:pt idx="29">
                  <c:v>804</c:v>
                </c:pt>
                <c:pt idx="30">
                  <c:v>913</c:v>
                </c:pt>
                <c:pt idx="31">
                  <c:v>991</c:v>
                </c:pt>
                <c:pt idx="32">
                  <c:v>890</c:v>
                </c:pt>
                <c:pt idx="33">
                  <c:v>977</c:v>
                </c:pt>
                <c:pt idx="34">
                  <c:v>961</c:v>
                </c:pt>
                <c:pt idx="35">
                  <c:v>1038</c:v>
                </c:pt>
                <c:pt idx="36">
                  <c:v>1127</c:v>
                </c:pt>
                <c:pt idx="37">
                  <c:v>1354</c:v>
                </c:pt>
                <c:pt idx="38">
                  <c:v>1309</c:v>
                </c:pt>
                <c:pt idx="39">
                  <c:v>1546</c:v>
                </c:pt>
                <c:pt idx="40">
                  <c:v>1411</c:v>
                </c:pt>
                <c:pt idx="41">
                  <c:v>1725</c:v>
                </c:pt>
                <c:pt idx="42">
                  <c:v>2196</c:v>
                </c:pt>
                <c:pt idx="43">
                  <c:v>2310</c:v>
                </c:pt>
                <c:pt idx="44">
                  <c:v>2401</c:v>
                </c:pt>
                <c:pt idx="45">
                  <c:v>2169</c:v>
                </c:pt>
                <c:pt idx="46">
                  <c:v>2474</c:v>
                </c:pt>
                <c:pt idx="47">
                  <c:v>2732</c:v>
                </c:pt>
                <c:pt idx="48">
                  <c:v>2354</c:v>
                </c:pt>
                <c:pt idx="49">
                  <c:v>2444</c:v>
                </c:pt>
                <c:pt idx="50">
                  <c:v>2598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WAfr!$C$24</c:f>
              <c:strCache>
                <c:ptCount val="1"/>
                <c:pt idx="0">
                  <c:v>Total Exports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WAfr!$D$24:$BD$24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20</c:v>
                </c:pt>
                <c:pt idx="18">
                  <c:v>4</c:v>
                </c:pt>
                <c:pt idx="19">
                  <c:v>36</c:v>
                </c:pt>
                <c:pt idx="20">
                  <c:v>53</c:v>
                </c:pt>
                <c:pt idx="21">
                  <c:v>78</c:v>
                </c:pt>
                <c:pt idx="22">
                  <c:v>175</c:v>
                </c:pt>
                <c:pt idx="23">
                  <c:v>31</c:v>
                </c:pt>
                <c:pt idx="24">
                  <c:v>21</c:v>
                </c:pt>
                <c:pt idx="25">
                  <c:v>70</c:v>
                </c:pt>
                <c:pt idx="26">
                  <c:v>30</c:v>
                </c:pt>
                <c:pt idx="27">
                  <c:v>37</c:v>
                </c:pt>
                <c:pt idx="28">
                  <c:v>20</c:v>
                </c:pt>
                <c:pt idx="29">
                  <c:v>45</c:v>
                </c:pt>
                <c:pt idx="30">
                  <c:v>43</c:v>
                </c:pt>
                <c:pt idx="31">
                  <c:v>46</c:v>
                </c:pt>
                <c:pt idx="32">
                  <c:v>45</c:v>
                </c:pt>
                <c:pt idx="33">
                  <c:v>50</c:v>
                </c:pt>
                <c:pt idx="34">
                  <c:v>50</c:v>
                </c:pt>
                <c:pt idx="35">
                  <c:v>17</c:v>
                </c:pt>
                <c:pt idx="36">
                  <c:v>28</c:v>
                </c:pt>
                <c:pt idx="37">
                  <c:v>35</c:v>
                </c:pt>
                <c:pt idx="38">
                  <c:v>44</c:v>
                </c:pt>
                <c:pt idx="39">
                  <c:v>67</c:v>
                </c:pt>
                <c:pt idx="40">
                  <c:v>200</c:v>
                </c:pt>
                <c:pt idx="41">
                  <c:v>238</c:v>
                </c:pt>
                <c:pt idx="42">
                  <c:v>451</c:v>
                </c:pt>
                <c:pt idx="43">
                  <c:v>416</c:v>
                </c:pt>
                <c:pt idx="44">
                  <c:v>404</c:v>
                </c:pt>
                <c:pt idx="45">
                  <c:v>164</c:v>
                </c:pt>
                <c:pt idx="46">
                  <c:v>386</c:v>
                </c:pt>
                <c:pt idx="47">
                  <c:v>446</c:v>
                </c:pt>
                <c:pt idx="48">
                  <c:v>288</c:v>
                </c:pt>
                <c:pt idx="49">
                  <c:v>314</c:v>
                </c:pt>
                <c:pt idx="50">
                  <c:v>359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WAfr!$C$25</c:f>
              <c:strCache>
                <c:ptCount val="1"/>
                <c:pt idx="0">
                  <c:v>Human Dom.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WAfr!$D$25:$BD$25</c:f>
              <c:numCache>
                <c:formatCode>_(* #,##0_);_(* \(#,##0\);_(* "-"??_);_(@_)</c:formatCode>
                <c:ptCount val="53"/>
                <c:pt idx="0">
                  <c:v>293</c:v>
                </c:pt>
                <c:pt idx="1">
                  <c:v>323</c:v>
                </c:pt>
                <c:pt idx="2">
                  <c:v>422</c:v>
                </c:pt>
                <c:pt idx="3">
                  <c:v>530</c:v>
                </c:pt>
                <c:pt idx="4">
                  <c:v>673</c:v>
                </c:pt>
                <c:pt idx="5">
                  <c:v>576</c:v>
                </c:pt>
                <c:pt idx="6">
                  <c:v>734</c:v>
                </c:pt>
                <c:pt idx="7">
                  <c:v>844</c:v>
                </c:pt>
                <c:pt idx="8">
                  <c:v>837</c:v>
                </c:pt>
                <c:pt idx="9">
                  <c:v>904</c:v>
                </c:pt>
                <c:pt idx="10">
                  <c:v>981</c:v>
                </c:pt>
                <c:pt idx="11">
                  <c:v>1100</c:v>
                </c:pt>
                <c:pt idx="12">
                  <c:v>1294</c:v>
                </c:pt>
                <c:pt idx="13">
                  <c:v>1557</c:v>
                </c:pt>
                <c:pt idx="14">
                  <c:v>2073</c:v>
                </c:pt>
                <c:pt idx="15">
                  <c:v>2724</c:v>
                </c:pt>
                <c:pt idx="16">
                  <c:v>3349</c:v>
                </c:pt>
                <c:pt idx="17">
                  <c:v>3442</c:v>
                </c:pt>
                <c:pt idx="18">
                  <c:v>4214</c:v>
                </c:pt>
                <c:pt idx="19">
                  <c:v>4975</c:v>
                </c:pt>
                <c:pt idx="20">
                  <c:v>5582</c:v>
                </c:pt>
                <c:pt idx="21">
                  <c:v>5744</c:v>
                </c:pt>
                <c:pt idx="22">
                  <c:v>5759</c:v>
                </c:pt>
                <c:pt idx="23">
                  <c:v>5221</c:v>
                </c:pt>
                <c:pt idx="24">
                  <c:v>5096</c:v>
                </c:pt>
                <c:pt idx="25">
                  <c:v>5339</c:v>
                </c:pt>
                <c:pt idx="26">
                  <c:v>5475</c:v>
                </c:pt>
                <c:pt idx="27">
                  <c:v>5437</c:v>
                </c:pt>
                <c:pt idx="28">
                  <c:v>5459</c:v>
                </c:pt>
                <c:pt idx="29">
                  <c:v>5502</c:v>
                </c:pt>
                <c:pt idx="30">
                  <c:v>5696</c:v>
                </c:pt>
                <c:pt idx="31">
                  <c:v>5750</c:v>
                </c:pt>
                <c:pt idx="32">
                  <c:v>5609</c:v>
                </c:pt>
                <c:pt idx="33">
                  <c:v>5337</c:v>
                </c:pt>
                <c:pt idx="34">
                  <c:v>5309</c:v>
                </c:pt>
                <c:pt idx="35">
                  <c:v>5655</c:v>
                </c:pt>
                <c:pt idx="36">
                  <c:v>5858</c:v>
                </c:pt>
                <c:pt idx="37">
                  <c:v>5889</c:v>
                </c:pt>
                <c:pt idx="38">
                  <c:v>6150</c:v>
                </c:pt>
                <c:pt idx="39">
                  <c:v>6763</c:v>
                </c:pt>
                <c:pt idx="40">
                  <c:v>6515</c:v>
                </c:pt>
                <c:pt idx="41">
                  <c:v>6791</c:v>
                </c:pt>
                <c:pt idx="42">
                  <c:v>6861</c:v>
                </c:pt>
                <c:pt idx="43">
                  <c:v>7230</c:v>
                </c:pt>
                <c:pt idx="44">
                  <c:v>7442</c:v>
                </c:pt>
                <c:pt idx="45">
                  <c:v>7485</c:v>
                </c:pt>
                <c:pt idx="46">
                  <c:v>8331</c:v>
                </c:pt>
                <c:pt idx="47">
                  <c:v>8440</c:v>
                </c:pt>
                <c:pt idx="48">
                  <c:v>8217</c:v>
                </c:pt>
                <c:pt idx="49">
                  <c:v>8449</c:v>
                </c:pt>
                <c:pt idx="50">
                  <c:v>8749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36176"/>
        <c:axId val="323536568"/>
      </c:lineChart>
      <c:catAx>
        <c:axId val="323536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6568"/>
        <c:crosses val="autoZero"/>
        <c:auto val="1"/>
        <c:lblAlgn val="ctr"/>
        <c:lblOffset val="100"/>
        <c:noMultiLvlLbl val="0"/>
      </c:catAx>
      <c:valAx>
        <c:axId val="32353656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617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11058013765978368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1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56663813009069"/>
          <c:y val="0.16144916311690607"/>
          <c:w val="0.84524590848569436"/>
          <c:h val="0.58597765443254024"/>
        </c:manualLayout>
      </c:layout>
      <c:lineChart>
        <c:grouping val="standard"/>
        <c:varyColors val="0"/>
        <c:ser>
          <c:idx val="0"/>
          <c:order val="0"/>
          <c:tx>
            <c:strRef>
              <c:f>WAfr!$C$26</c:f>
              <c:strCache>
                <c:ptCount val="1"/>
                <c:pt idx="0">
                  <c:v>Production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WAfr!$D$26:$BD$26</c:f>
              <c:numCache>
                <c:formatCode>_(* #,##0_);_(* \(#,##0\);_(* "-"??_);_(@_)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5</c:v>
                </c:pt>
                <c:pt idx="9">
                  <c:v>6</c:v>
                </c:pt>
                <c:pt idx="10">
                  <c:v>6</c:v>
                </c:pt>
                <c:pt idx="11">
                  <c:v>7</c:v>
                </c:pt>
                <c:pt idx="12">
                  <c:v>6</c:v>
                </c:pt>
                <c:pt idx="13">
                  <c:v>4</c:v>
                </c:pt>
                <c:pt idx="14">
                  <c:v>6</c:v>
                </c:pt>
                <c:pt idx="15">
                  <c:v>18</c:v>
                </c:pt>
                <c:pt idx="16">
                  <c:v>20</c:v>
                </c:pt>
                <c:pt idx="17">
                  <c:v>21</c:v>
                </c:pt>
                <c:pt idx="18">
                  <c:v>22</c:v>
                </c:pt>
                <c:pt idx="19">
                  <c:v>23</c:v>
                </c:pt>
                <c:pt idx="20">
                  <c:v>24</c:v>
                </c:pt>
                <c:pt idx="21">
                  <c:v>25</c:v>
                </c:pt>
                <c:pt idx="22">
                  <c:v>30</c:v>
                </c:pt>
                <c:pt idx="23">
                  <c:v>35</c:v>
                </c:pt>
                <c:pt idx="24">
                  <c:v>42</c:v>
                </c:pt>
                <c:pt idx="25">
                  <c:v>10</c:v>
                </c:pt>
                <c:pt idx="26">
                  <c:v>15</c:v>
                </c:pt>
                <c:pt idx="27">
                  <c:v>30</c:v>
                </c:pt>
                <c:pt idx="28">
                  <c:v>50</c:v>
                </c:pt>
                <c:pt idx="29">
                  <c:v>60</c:v>
                </c:pt>
                <c:pt idx="30">
                  <c:v>50</c:v>
                </c:pt>
                <c:pt idx="31">
                  <c:v>60</c:v>
                </c:pt>
                <c:pt idx="32">
                  <c:v>40</c:v>
                </c:pt>
                <c:pt idx="33">
                  <c:v>30</c:v>
                </c:pt>
                <c:pt idx="34">
                  <c:v>30</c:v>
                </c:pt>
                <c:pt idx="35">
                  <c:v>50</c:v>
                </c:pt>
                <c:pt idx="36">
                  <c:v>35</c:v>
                </c:pt>
                <c:pt idx="37">
                  <c:v>20</c:v>
                </c:pt>
                <c:pt idx="38">
                  <c:v>40</c:v>
                </c:pt>
                <c:pt idx="39">
                  <c:v>45</c:v>
                </c:pt>
                <c:pt idx="40">
                  <c:v>45</c:v>
                </c:pt>
                <c:pt idx="41">
                  <c:v>50</c:v>
                </c:pt>
                <c:pt idx="42">
                  <c:v>75</c:v>
                </c:pt>
                <c:pt idx="43">
                  <c:v>60</c:v>
                </c:pt>
                <c:pt idx="44">
                  <c:v>70</c:v>
                </c:pt>
                <c:pt idx="45">
                  <c:v>85</c:v>
                </c:pt>
                <c:pt idx="46">
                  <c:v>100</c:v>
                </c:pt>
                <c:pt idx="47">
                  <c:v>100</c:v>
                </c:pt>
                <c:pt idx="48">
                  <c:v>100</c:v>
                </c:pt>
                <c:pt idx="49">
                  <c:v>100</c:v>
                </c:pt>
                <c:pt idx="50">
                  <c:v>204</c:v>
                </c:pt>
                <c:pt idx="51">
                  <c:v>169</c:v>
                </c:pt>
                <c:pt idx="52">
                  <c:v>145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WAfr!$C$27</c:f>
              <c:strCache>
                <c:ptCount val="1"/>
                <c:pt idx="0">
                  <c:v>Imports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WAfr!$D$27:$BD$27</c:f>
              <c:numCache>
                <c:formatCode>_(* #,##0_);_(* \(#,##0\);_(* "-"??_);_(@_)</c:formatCode>
                <c:ptCount val="53"/>
                <c:pt idx="0">
                  <c:v>276</c:v>
                </c:pt>
                <c:pt idx="1">
                  <c:v>288</c:v>
                </c:pt>
                <c:pt idx="2">
                  <c:v>268</c:v>
                </c:pt>
                <c:pt idx="3">
                  <c:v>247</c:v>
                </c:pt>
                <c:pt idx="4">
                  <c:v>336</c:v>
                </c:pt>
                <c:pt idx="5">
                  <c:v>421</c:v>
                </c:pt>
                <c:pt idx="6">
                  <c:v>499</c:v>
                </c:pt>
                <c:pt idx="7">
                  <c:v>411</c:v>
                </c:pt>
                <c:pt idx="8">
                  <c:v>421</c:v>
                </c:pt>
                <c:pt idx="9">
                  <c:v>635</c:v>
                </c:pt>
                <c:pt idx="10">
                  <c:v>841</c:v>
                </c:pt>
                <c:pt idx="11">
                  <c:v>760</c:v>
                </c:pt>
                <c:pt idx="12">
                  <c:v>791</c:v>
                </c:pt>
                <c:pt idx="13">
                  <c:v>708</c:v>
                </c:pt>
                <c:pt idx="14">
                  <c:v>756</c:v>
                </c:pt>
                <c:pt idx="15">
                  <c:v>914</c:v>
                </c:pt>
                <c:pt idx="16">
                  <c:v>1278</c:v>
                </c:pt>
                <c:pt idx="17">
                  <c:v>1643</c:v>
                </c:pt>
                <c:pt idx="18">
                  <c:v>1850</c:v>
                </c:pt>
                <c:pt idx="19">
                  <c:v>1905</c:v>
                </c:pt>
                <c:pt idx="20">
                  <c:v>1983</c:v>
                </c:pt>
                <c:pt idx="21">
                  <c:v>2163</c:v>
                </c:pt>
                <c:pt idx="22">
                  <c:v>2163</c:v>
                </c:pt>
                <c:pt idx="23">
                  <c:v>2364</c:v>
                </c:pt>
                <c:pt idx="24">
                  <c:v>2476</c:v>
                </c:pt>
                <c:pt idx="25">
                  <c:v>2003</c:v>
                </c:pt>
                <c:pt idx="26">
                  <c:v>1753</c:v>
                </c:pt>
                <c:pt idx="27">
                  <c:v>1213</c:v>
                </c:pt>
                <c:pt idx="28">
                  <c:v>1218</c:v>
                </c:pt>
                <c:pt idx="29">
                  <c:v>1207</c:v>
                </c:pt>
                <c:pt idx="30">
                  <c:v>1729</c:v>
                </c:pt>
                <c:pt idx="31">
                  <c:v>1667</c:v>
                </c:pt>
                <c:pt idx="32">
                  <c:v>1837</c:v>
                </c:pt>
                <c:pt idx="33">
                  <c:v>1893</c:v>
                </c:pt>
                <c:pt idx="34">
                  <c:v>1690</c:v>
                </c:pt>
                <c:pt idx="35">
                  <c:v>1619</c:v>
                </c:pt>
                <c:pt idx="36">
                  <c:v>2270</c:v>
                </c:pt>
                <c:pt idx="37">
                  <c:v>2515</c:v>
                </c:pt>
                <c:pt idx="38">
                  <c:v>2934</c:v>
                </c:pt>
                <c:pt idx="39">
                  <c:v>2547</c:v>
                </c:pt>
                <c:pt idx="40">
                  <c:v>3406</c:v>
                </c:pt>
                <c:pt idx="41">
                  <c:v>4023</c:v>
                </c:pt>
                <c:pt idx="42">
                  <c:v>3895</c:v>
                </c:pt>
                <c:pt idx="43">
                  <c:v>3700</c:v>
                </c:pt>
                <c:pt idx="44">
                  <c:v>4798</c:v>
                </c:pt>
                <c:pt idx="45">
                  <c:v>5568</c:v>
                </c:pt>
                <c:pt idx="46">
                  <c:v>4892</c:v>
                </c:pt>
                <c:pt idx="47">
                  <c:v>4409</c:v>
                </c:pt>
                <c:pt idx="48">
                  <c:v>5380</c:v>
                </c:pt>
                <c:pt idx="49">
                  <c:v>6446</c:v>
                </c:pt>
                <c:pt idx="50">
                  <c:v>5637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WAfr!$C$28</c:f>
              <c:strCache>
                <c:ptCount val="1"/>
                <c:pt idx="0">
                  <c:v>Exports</c:v>
                </c:pt>
              </c:strCache>
            </c:strRef>
          </c:tx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WAfr!$D$28:$BD$28</c:f>
              <c:numCache>
                <c:formatCode>_(* #,##0_);_(* \(#,##0\);_(* "-"??_);_(@_)</c:formatCode>
                <c:ptCount val="53"/>
                <c:pt idx="0">
                  <c:v>19</c:v>
                </c:pt>
                <c:pt idx="1">
                  <c:v>21</c:v>
                </c:pt>
                <c:pt idx="2">
                  <c:v>22</c:v>
                </c:pt>
                <c:pt idx="3">
                  <c:v>22</c:v>
                </c:pt>
                <c:pt idx="4">
                  <c:v>52</c:v>
                </c:pt>
                <c:pt idx="5">
                  <c:v>28</c:v>
                </c:pt>
                <c:pt idx="6">
                  <c:v>29</c:v>
                </c:pt>
                <c:pt idx="7">
                  <c:v>14</c:v>
                </c:pt>
                <c:pt idx="8">
                  <c:v>24</c:v>
                </c:pt>
                <c:pt idx="9">
                  <c:v>30</c:v>
                </c:pt>
                <c:pt idx="10">
                  <c:v>19</c:v>
                </c:pt>
                <c:pt idx="11">
                  <c:v>16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26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60</c:v>
                </c:pt>
                <c:pt idx="46">
                  <c:v>85</c:v>
                </c:pt>
                <c:pt idx="47">
                  <c:v>58</c:v>
                </c:pt>
                <c:pt idx="48">
                  <c:v>138</c:v>
                </c:pt>
                <c:pt idx="49">
                  <c:v>171</c:v>
                </c:pt>
                <c:pt idx="50">
                  <c:v>11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WAfr!$C$29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WAfr!$D$1:$BD$1</c:f>
              <c:numCache>
                <c:formatCode>General</c:formatCode>
                <c:ptCount val="53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</c:numCache>
            </c:numRef>
          </c:cat>
          <c:val>
            <c:numRef>
              <c:f>WAfr!$D$29:$BD$29</c:f>
              <c:numCache>
                <c:formatCode>_(* #,##0_);_(* \(#,##0\);_(* "-"??_);_(@_)</c:formatCode>
                <c:ptCount val="53"/>
                <c:pt idx="0">
                  <c:v>257</c:v>
                </c:pt>
                <c:pt idx="1">
                  <c:v>267</c:v>
                </c:pt>
                <c:pt idx="2">
                  <c:v>246</c:v>
                </c:pt>
                <c:pt idx="3">
                  <c:v>225</c:v>
                </c:pt>
                <c:pt idx="4">
                  <c:v>284</c:v>
                </c:pt>
                <c:pt idx="5">
                  <c:v>383</c:v>
                </c:pt>
                <c:pt idx="6">
                  <c:v>460</c:v>
                </c:pt>
                <c:pt idx="7">
                  <c:v>398</c:v>
                </c:pt>
                <c:pt idx="8">
                  <c:v>398</c:v>
                </c:pt>
                <c:pt idx="9">
                  <c:v>598</c:v>
                </c:pt>
                <c:pt idx="10">
                  <c:v>825</c:v>
                </c:pt>
                <c:pt idx="11">
                  <c:v>727</c:v>
                </c:pt>
                <c:pt idx="12">
                  <c:v>790</c:v>
                </c:pt>
                <c:pt idx="13">
                  <c:v>725</c:v>
                </c:pt>
                <c:pt idx="14">
                  <c:v>778</c:v>
                </c:pt>
                <c:pt idx="15">
                  <c:v>913</c:v>
                </c:pt>
                <c:pt idx="16">
                  <c:v>1268</c:v>
                </c:pt>
                <c:pt idx="17">
                  <c:v>1606</c:v>
                </c:pt>
                <c:pt idx="18">
                  <c:v>1820</c:v>
                </c:pt>
                <c:pt idx="19">
                  <c:v>1946</c:v>
                </c:pt>
                <c:pt idx="20">
                  <c:v>2012</c:v>
                </c:pt>
                <c:pt idx="21">
                  <c:v>2183</c:v>
                </c:pt>
                <c:pt idx="22">
                  <c:v>2228</c:v>
                </c:pt>
                <c:pt idx="23">
                  <c:v>2364</c:v>
                </c:pt>
                <c:pt idx="24">
                  <c:v>2500</c:v>
                </c:pt>
                <c:pt idx="25">
                  <c:v>2057</c:v>
                </c:pt>
                <c:pt idx="26">
                  <c:v>1673</c:v>
                </c:pt>
                <c:pt idx="27">
                  <c:v>1406</c:v>
                </c:pt>
                <c:pt idx="28">
                  <c:v>1273</c:v>
                </c:pt>
                <c:pt idx="29">
                  <c:v>1279</c:v>
                </c:pt>
                <c:pt idx="30">
                  <c:v>1759</c:v>
                </c:pt>
                <c:pt idx="31">
                  <c:v>1727</c:v>
                </c:pt>
                <c:pt idx="32">
                  <c:v>1797</c:v>
                </c:pt>
                <c:pt idx="33">
                  <c:v>1868</c:v>
                </c:pt>
                <c:pt idx="34">
                  <c:v>1845</c:v>
                </c:pt>
                <c:pt idx="35">
                  <c:v>1669</c:v>
                </c:pt>
                <c:pt idx="36">
                  <c:v>2305</c:v>
                </c:pt>
                <c:pt idx="37">
                  <c:v>2535</c:v>
                </c:pt>
                <c:pt idx="38">
                  <c:v>2824</c:v>
                </c:pt>
                <c:pt idx="39">
                  <c:v>2592</c:v>
                </c:pt>
                <c:pt idx="40">
                  <c:v>3451</c:v>
                </c:pt>
                <c:pt idx="41">
                  <c:v>4073</c:v>
                </c:pt>
                <c:pt idx="42">
                  <c:v>3970</c:v>
                </c:pt>
                <c:pt idx="43">
                  <c:v>3760</c:v>
                </c:pt>
                <c:pt idx="44">
                  <c:v>4868</c:v>
                </c:pt>
                <c:pt idx="45">
                  <c:v>5596</c:v>
                </c:pt>
                <c:pt idx="46">
                  <c:v>4903</c:v>
                </c:pt>
                <c:pt idx="47">
                  <c:v>4493</c:v>
                </c:pt>
                <c:pt idx="48">
                  <c:v>5281</c:v>
                </c:pt>
                <c:pt idx="49">
                  <c:v>6199</c:v>
                </c:pt>
                <c:pt idx="50">
                  <c:v>5830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537744"/>
        <c:axId val="323540488"/>
      </c:lineChart>
      <c:catAx>
        <c:axId val="323537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40488"/>
        <c:crosses val="autoZero"/>
        <c:auto val="1"/>
        <c:lblAlgn val="ctr"/>
        <c:lblOffset val="100"/>
        <c:noMultiLvlLbl val="0"/>
      </c:catAx>
      <c:valAx>
        <c:axId val="32354048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3235377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8.8348738803250781E-2"/>
          <c:y val="0.89219305920093317"/>
          <c:w val="0.21982563313998332"/>
          <c:h val="0.10780700639640785"/>
        </c:manualLayout>
      </c:layout>
      <c:overlay val="0"/>
      <c:txPr>
        <a:bodyPr/>
        <a:lstStyle/>
        <a:p>
          <a:pPr>
            <a:defRPr sz="800" cap="small" baseline="0">
              <a:latin typeface="Times New Roman" pitchFamily="18" charset="0"/>
              <a:cs typeface="Times New Roman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67" l="0.70000000000000062" r="0.70000000000000062" t="0.75000000000000167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.xml"/><Relationship Id="rId7" Type="http://schemas.openxmlformats.org/officeDocument/2006/relationships/chart" Target="../charts/chart14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chart" Target="../charts/chart11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7" Type="http://schemas.openxmlformats.org/officeDocument/2006/relationships/chart" Target="../charts/chart21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5" Type="http://schemas.openxmlformats.org/officeDocument/2006/relationships/chart" Target="../charts/chart19.xml"/><Relationship Id="rId4" Type="http://schemas.openxmlformats.org/officeDocument/2006/relationships/chart" Target="../charts/chart18.xml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4.xml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6" Type="http://schemas.openxmlformats.org/officeDocument/2006/relationships/chart" Target="../charts/chart27.xml"/><Relationship Id="rId5" Type="http://schemas.openxmlformats.org/officeDocument/2006/relationships/chart" Target="../charts/chart26.xml"/><Relationship Id="rId4" Type="http://schemas.openxmlformats.org/officeDocument/2006/relationships/chart" Target="../charts/chart25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0.xml"/><Relationship Id="rId7" Type="http://schemas.openxmlformats.org/officeDocument/2006/relationships/chart" Target="../charts/chart34.xml"/><Relationship Id="rId2" Type="http://schemas.openxmlformats.org/officeDocument/2006/relationships/chart" Target="../charts/chart29.xml"/><Relationship Id="rId1" Type="http://schemas.openxmlformats.org/officeDocument/2006/relationships/chart" Target="../charts/chart28.xml"/><Relationship Id="rId6" Type="http://schemas.openxmlformats.org/officeDocument/2006/relationships/chart" Target="../charts/chart33.xml"/><Relationship Id="rId5" Type="http://schemas.openxmlformats.org/officeDocument/2006/relationships/chart" Target="../charts/chart32.xml"/><Relationship Id="rId4" Type="http://schemas.openxmlformats.org/officeDocument/2006/relationships/chart" Target="../charts/chart31.xml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7.xml"/><Relationship Id="rId7" Type="http://schemas.openxmlformats.org/officeDocument/2006/relationships/chart" Target="../charts/chart41.xml"/><Relationship Id="rId2" Type="http://schemas.openxmlformats.org/officeDocument/2006/relationships/chart" Target="../charts/chart36.xml"/><Relationship Id="rId1" Type="http://schemas.openxmlformats.org/officeDocument/2006/relationships/chart" Target="../charts/chart35.xml"/><Relationship Id="rId6" Type="http://schemas.openxmlformats.org/officeDocument/2006/relationships/chart" Target="../charts/chart40.xml"/><Relationship Id="rId5" Type="http://schemas.openxmlformats.org/officeDocument/2006/relationships/chart" Target="../charts/chart39.xml"/><Relationship Id="rId4" Type="http://schemas.openxmlformats.org/officeDocument/2006/relationships/chart" Target="../charts/chart38.xml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4.xml"/><Relationship Id="rId2" Type="http://schemas.openxmlformats.org/officeDocument/2006/relationships/chart" Target="../charts/chart43.xml"/><Relationship Id="rId1" Type="http://schemas.openxmlformats.org/officeDocument/2006/relationships/chart" Target="../charts/chart42.xml"/><Relationship Id="rId6" Type="http://schemas.openxmlformats.org/officeDocument/2006/relationships/chart" Target="../charts/chart47.xml"/><Relationship Id="rId5" Type="http://schemas.openxmlformats.org/officeDocument/2006/relationships/chart" Target="../charts/chart46.xml"/><Relationship Id="rId4" Type="http://schemas.openxmlformats.org/officeDocument/2006/relationships/chart" Target="../charts/chart45.xml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0.xml"/><Relationship Id="rId7" Type="http://schemas.openxmlformats.org/officeDocument/2006/relationships/chart" Target="../charts/chart54.xml"/><Relationship Id="rId2" Type="http://schemas.openxmlformats.org/officeDocument/2006/relationships/chart" Target="../charts/chart49.xml"/><Relationship Id="rId1" Type="http://schemas.openxmlformats.org/officeDocument/2006/relationships/chart" Target="../charts/chart48.xml"/><Relationship Id="rId6" Type="http://schemas.openxmlformats.org/officeDocument/2006/relationships/chart" Target="../charts/chart53.xml"/><Relationship Id="rId5" Type="http://schemas.openxmlformats.org/officeDocument/2006/relationships/chart" Target="../charts/chart52.xml"/><Relationship Id="rId4" Type="http://schemas.openxmlformats.org/officeDocument/2006/relationships/chart" Target="../charts/chart51.xml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7.xml"/><Relationship Id="rId2" Type="http://schemas.openxmlformats.org/officeDocument/2006/relationships/chart" Target="../charts/chart56.xml"/><Relationship Id="rId1" Type="http://schemas.openxmlformats.org/officeDocument/2006/relationships/chart" Target="../charts/chart55.xml"/><Relationship Id="rId6" Type="http://schemas.openxmlformats.org/officeDocument/2006/relationships/chart" Target="../charts/chart60.xml"/><Relationship Id="rId5" Type="http://schemas.openxmlformats.org/officeDocument/2006/relationships/chart" Target="../charts/chart59.xml"/><Relationship Id="rId4" Type="http://schemas.openxmlformats.org/officeDocument/2006/relationships/chart" Target="../charts/chart58.xml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3.xml"/><Relationship Id="rId7" Type="http://schemas.openxmlformats.org/officeDocument/2006/relationships/chart" Target="../charts/chart67.xml"/><Relationship Id="rId2" Type="http://schemas.openxmlformats.org/officeDocument/2006/relationships/chart" Target="../charts/chart62.xml"/><Relationship Id="rId1" Type="http://schemas.openxmlformats.org/officeDocument/2006/relationships/chart" Target="../charts/chart61.xml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chart" Target="../charts/chart64.xml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0.xml"/><Relationship Id="rId7" Type="http://schemas.openxmlformats.org/officeDocument/2006/relationships/chart" Target="../charts/chart74.xml"/><Relationship Id="rId2" Type="http://schemas.openxmlformats.org/officeDocument/2006/relationships/chart" Target="../charts/chart69.xml"/><Relationship Id="rId1" Type="http://schemas.openxmlformats.org/officeDocument/2006/relationships/chart" Target="../charts/chart68.xml"/><Relationship Id="rId6" Type="http://schemas.openxmlformats.org/officeDocument/2006/relationships/chart" Target="../charts/chart73.xml"/><Relationship Id="rId5" Type="http://schemas.openxmlformats.org/officeDocument/2006/relationships/chart" Target="../charts/chart72.xml"/><Relationship Id="rId4" Type="http://schemas.openxmlformats.org/officeDocument/2006/relationships/chart" Target="../charts/chart71.xml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7.xml"/><Relationship Id="rId7" Type="http://schemas.openxmlformats.org/officeDocument/2006/relationships/chart" Target="../charts/chart81.xml"/><Relationship Id="rId2" Type="http://schemas.openxmlformats.org/officeDocument/2006/relationships/chart" Target="../charts/chart76.xml"/><Relationship Id="rId1" Type="http://schemas.openxmlformats.org/officeDocument/2006/relationships/chart" Target="../charts/chart75.xml"/><Relationship Id="rId6" Type="http://schemas.openxmlformats.org/officeDocument/2006/relationships/chart" Target="../charts/chart80.xml"/><Relationship Id="rId5" Type="http://schemas.openxmlformats.org/officeDocument/2006/relationships/chart" Target="../charts/chart79.xml"/><Relationship Id="rId4" Type="http://schemas.openxmlformats.org/officeDocument/2006/relationships/chart" Target="../charts/chart78.xml"/></Relationships>
</file>

<file path=xl/drawings/_rels/drawing9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4.xml"/><Relationship Id="rId7" Type="http://schemas.openxmlformats.org/officeDocument/2006/relationships/chart" Target="../charts/chart88.xml"/><Relationship Id="rId2" Type="http://schemas.openxmlformats.org/officeDocument/2006/relationships/chart" Target="../charts/chart83.xml"/><Relationship Id="rId1" Type="http://schemas.openxmlformats.org/officeDocument/2006/relationships/chart" Target="../charts/chart82.xml"/><Relationship Id="rId6" Type="http://schemas.openxmlformats.org/officeDocument/2006/relationships/chart" Target="../charts/chart87.xml"/><Relationship Id="rId5" Type="http://schemas.openxmlformats.org/officeDocument/2006/relationships/chart" Target="../charts/chart86.xml"/><Relationship Id="rId4" Type="http://schemas.openxmlformats.org/officeDocument/2006/relationships/chart" Target="../charts/chart85.xml"/></Relationships>
</file>

<file path=xl/drawings/_rels/drawing10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1.xml"/><Relationship Id="rId7" Type="http://schemas.openxmlformats.org/officeDocument/2006/relationships/chart" Target="../charts/chart95.xml"/><Relationship Id="rId2" Type="http://schemas.openxmlformats.org/officeDocument/2006/relationships/chart" Target="../charts/chart90.xml"/><Relationship Id="rId1" Type="http://schemas.openxmlformats.org/officeDocument/2006/relationships/chart" Target="../charts/chart89.xml"/><Relationship Id="rId6" Type="http://schemas.openxmlformats.org/officeDocument/2006/relationships/chart" Target="../charts/chart94.xml"/><Relationship Id="rId5" Type="http://schemas.openxmlformats.org/officeDocument/2006/relationships/chart" Target="../charts/chart93.xml"/><Relationship Id="rId4" Type="http://schemas.openxmlformats.org/officeDocument/2006/relationships/chart" Target="../charts/chart92.xml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8.xml"/><Relationship Id="rId2" Type="http://schemas.openxmlformats.org/officeDocument/2006/relationships/chart" Target="../charts/chart97.xml"/><Relationship Id="rId1" Type="http://schemas.openxmlformats.org/officeDocument/2006/relationships/chart" Target="../charts/chart96.xml"/><Relationship Id="rId6" Type="http://schemas.openxmlformats.org/officeDocument/2006/relationships/chart" Target="../charts/chart101.xml"/><Relationship Id="rId5" Type="http://schemas.openxmlformats.org/officeDocument/2006/relationships/chart" Target="../charts/chart100.xml"/><Relationship Id="rId4" Type="http://schemas.openxmlformats.org/officeDocument/2006/relationships/chart" Target="../charts/chart99.xml"/></Relationships>
</file>

<file path=xl/drawings/_rels/drawing11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4.xml"/><Relationship Id="rId7" Type="http://schemas.openxmlformats.org/officeDocument/2006/relationships/chart" Target="../charts/chart108.xml"/><Relationship Id="rId2" Type="http://schemas.openxmlformats.org/officeDocument/2006/relationships/chart" Target="../charts/chart103.xml"/><Relationship Id="rId1" Type="http://schemas.openxmlformats.org/officeDocument/2006/relationships/chart" Target="../charts/chart102.xml"/><Relationship Id="rId6" Type="http://schemas.openxmlformats.org/officeDocument/2006/relationships/chart" Target="../charts/chart107.xml"/><Relationship Id="rId5" Type="http://schemas.openxmlformats.org/officeDocument/2006/relationships/chart" Target="../charts/chart106.xml"/><Relationship Id="rId4" Type="http://schemas.openxmlformats.org/officeDocument/2006/relationships/chart" Target="../charts/chart105.xml"/></Relationships>
</file>

<file path=xl/drawings/_rels/drawing12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1.xml"/><Relationship Id="rId7" Type="http://schemas.openxmlformats.org/officeDocument/2006/relationships/chart" Target="../charts/chart115.xml"/><Relationship Id="rId2" Type="http://schemas.openxmlformats.org/officeDocument/2006/relationships/chart" Target="../charts/chart110.xml"/><Relationship Id="rId1" Type="http://schemas.openxmlformats.org/officeDocument/2006/relationships/chart" Target="../charts/chart109.xml"/><Relationship Id="rId6" Type="http://schemas.openxmlformats.org/officeDocument/2006/relationships/chart" Target="../charts/chart114.xml"/><Relationship Id="rId5" Type="http://schemas.openxmlformats.org/officeDocument/2006/relationships/chart" Target="../charts/chart113.xml"/><Relationship Id="rId4" Type="http://schemas.openxmlformats.org/officeDocument/2006/relationships/chart" Target="../charts/chart112.xml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8.xml"/><Relationship Id="rId2" Type="http://schemas.openxmlformats.org/officeDocument/2006/relationships/chart" Target="../charts/chart117.xml"/><Relationship Id="rId1" Type="http://schemas.openxmlformats.org/officeDocument/2006/relationships/chart" Target="../charts/chart116.xml"/><Relationship Id="rId6" Type="http://schemas.openxmlformats.org/officeDocument/2006/relationships/chart" Target="../charts/chart121.xml"/><Relationship Id="rId5" Type="http://schemas.openxmlformats.org/officeDocument/2006/relationships/chart" Target="../charts/chart120.xml"/><Relationship Id="rId4" Type="http://schemas.openxmlformats.org/officeDocument/2006/relationships/chart" Target="../charts/chart119.xml"/></Relationships>
</file>

<file path=xl/drawings/_rels/drawing14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4.xml"/><Relationship Id="rId2" Type="http://schemas.openxmlformats.org/officeDocument/2006/relationships/chart" Target="../charts/chart123.xml"/><Relationship Id="rId1" Type="http://schemas.openxmlformats.org/officeDocument/2006/relationships/chart" Target="../charts/chart122.xml"/><Relationship Id="rId6" Type="http://schemas.openxmlformats.org/officeDocument/2006/relationships/chart" Target="../charts/chart127.xml"/><Relationship Id="rId5" Type="http://schemas.openxmlformats.org/officeDocument/2006/relationships/chart" Target="../charts/chart126.xml"/><Relationship Id="rId4" Type="http://schemas.openxmlformats.org/officeDocument/2006/relationships/chart" Target="../charts/chart125.xml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0.xml"/><Relationship Id="rId2" Type="http://schemas.openxmlformats.org/officeDocument/2006/relationships/chart" Target="../charts/chart129.xml"/><Relationship Id="rId1" Type="http://schemas.openxmlformats.org/officeDocument/2006/relationships/chart" Target="../charts/chart128.xml"/><Relationship Id="rId6" Type="http://schemas.openxmlformats.org/officeDocument/2006/relationships/chart" Target="../charts/chart133.xml"/><Relationship Id="rId5" Type="http://schemas.openxmlformats.org/officeDocument/2006/relationships/chart" Target="../charts/chart132.xml"/><Relationship Id="rId4" Type="http://schemas.openxmlformats.org/officeDocument/2006/relationships/chart" Target="../charts/chart131.xml"/></Relationships>
</file>

<file path=xl/drawings/_rels/drawing15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6.xml"/><Relationship Id="rId7" Type="http://schemas.openxmlformats.org/officeDocument/2006/relationships/chart" Target="../charts/chart140.xml"/><Relationship Id="rId2" Type="http://schemas.openxmlformats.org/officeDocument/2006/relationships/chart" Target="../charts/chart135.xml"/><Relationship Id="rId1" Type="http://schemas.openxmlformats.org/officeDocument/2006/relationships/chart" Target="../charts/chart134.xml"/><Relationship Id="rId6" Type="http://schemas.openxmlformats.org/officeDocument/2006/relationships/chart" Target="../charts/chart139.xml"/><Relationship Id="rId5" Type="http://schemas.openxmlformats.org/officeDocument/2006/relationships/chart" Target="../charts/chart138.xml"/><Relationship Id="rId4" Type="http://schemas.openxmlformats.org/officeDocument/2006/relationships/chart" Target="../charts/chart13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561973</xdr:colOff>
      <xdr:row>34</xdr:row>
      <xdr:rowOff>171450</xdr:rowOff>
    </xdr:from>
    <xdr:to>
      <xdr:col>6</xdr:col>
      <xdr:colOff>742950</xdr:colOff>
      <xdr:row>54</xdr:row>
      <xdr:rowOff>133350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628650</xdr:colOff>
      <xdr:row>56</xdr:row>
      <xdr:rowOff>66675</xdr:rowOff>
    </xdr:from>
    <xdr:to>
      <xdr:col>7</xdr:col>
      <xdr:colOff>114301</xdr:colOff>
      <xdr:row>76</xdr:row>
      <xdr:rowOff>28575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695325</xdr:colOff>
      <xdr:row>78</xdr:row>
      <xdr:rowOff>180975</xdr:rowOff>
    </xdr:from>
    <xdr:to>
      <xdr:col>7</xdr:col>
      <xdr:colOff>180976</xdr:colOff>
      <xdr:row>97</xdr:row>
      <xdr:rowOff>142875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101</xdr:row>
      <xdr:rowOff>0</xdr:rowOff>
    </xdr:from>
    <xdr:to>
      <xdr:col>7</xdr:col>
      <xdr:colOff>307672</xdr:colOff>
      <xdr:row>120</xdr:row>
      <xdr:rowOff>157619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124</xdr:row>
      <xdr:rowOff>0</xdr:rowOff>
    </xdr:from>
    <xdr:to>
      <xdr:col>7</xdr:col>
      <xdr:colOff>307672</xdr:colOff>
      <xdr:row>143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147</xdr:row>
      <xdr:rowOff>0</xdr:rowOff>
    </xdr:from>
    <xdr:to>
      <xdr:col>7</xdr:col>
      <xdr:colOff>307672</xdr:colOff>
      <xdr:row>166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169</xdr:row>
      <xdr:rowOff>0</xdr:rowOff>
    </xdr:from>
    <xdr:to>
      <xdr:col>7</xdr:col>
      <xdr:colOff>307672</xdr:colOff>
      <xdr:row>188</xdr:row>
      <xdr:rowOff>157620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Argentina: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Argentina: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LB.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Argentina: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Argentina: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Argentina: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Argentina: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Argentina: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65241</xdr:colOff>
      <xdr:row>31</xdr:row>
      <xdr:rowOff>26096</xdr:rowOff>
    </xdr:from>
    <xdr:to>
      <xdr:col>7</xdr:col>
      <xdr:colOff>195720</xdr:colOff>
      <xdr:row>50</xdr:row>
      <xdr:rowOff>183716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54</xdr:row>
      <xdr:rowOff>0</xdr:rowOff>
    </xdr:from>
    <xdr:to>
      <xdr:col>7</xdr:col>
      <xdr:colOff>130479</xdr:colOff>
      <xdr:row>73</xdr:row>
      <xdr:rowOff>157619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76</xdr:row>
      <xdr:rowOff>0</xdr:rowOff>
    </xdr:from>
    <xdr:to>
      <xdr:col>7</xdr:col>
      <xdr:colOff>130479</xdr:colOff>
      <xdr:row>95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98</xdr:row>
      <xdr:rowOff>0</xdr:rowOff>
    </xdr:from>
    <xdr:to>
      <xdr:col>7</xdr:col>
      <xdr:colOff>130479</xdr:colOff>
      <xdr:row>117</xdr:row>
      <xdr:rowOff>157620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121</xdr:row>
      <xdr:rowOff>0</xdr:rowOff>
    </xdr:from>
    <xdr:to>
      <xdr:col>7</xdr:col>
      <xdr:colOff>130479</xdr:colOff>
      <xdr:row>140</xdr:row>
      <xdr:rowOff>157620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144</xdr:row>
      <xdr:rowOff>0</xdr:rowOff>
    </xdr:from>
    <xdr:to>
      <xdr:col>7</xdr:col>
      <xdr:colOff>130479</xdr:colOff>
      <xdr:row>163</xdr:row>
      <xdr:rowOff>157619</xdr:rowOff>
    </xdr:to>
    <xdr:graphicFrame macro="">
      <xdr:nvGraphicFramePr>
        <xdr:cNvPr id="12" name="Chart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167</xdr:row>
      <xdr:rowOff>0</xdr:rowOff>
    </xdr:from>
    <xdr:to>
      <xdr:col>7</xdr:col>
      <xdr:colOff>130479</xdr:colOff>
      <xdr:row>186</xdr:row>
      <xdr:rowOff>157619</xdr:rowOff>
    </xdr:to>
    <xdr:graphicFrame macro="">
      <xdr:nvGraphicFramePr>
        <xdr:cNvPr id="13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Australia: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Australia: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Australia: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Australia: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Australia: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Australia: sugar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Australia: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31</xdr:row>
      <xdr:rowOff>0</xdr:rowOff>
    </xdr:from>
    <xdr:to>
      <xdr:col>7</xdr:col>
      <xdr:colOff>130479</xdr:colOff>
      <xdr:row>50</xdr:row>
      <xdr:rowOff>157620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54</xdr:row>
      <xdr:rowOff>0</xdr:rowOff>
    </xdr:from>
    <xdr:to>
      <xdr:col>7</xdr:col>
      <xdr:colOff>130479</xdr:colOff>
      <xdr:row>73</xdr:row>
      <xdr:rowOff>157619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76</xdr:row>
      <xdr:rowOff>0</xdr:rowOff>
    </xdr:from>
    <xdr:to>
      <xdr:col>7</xdr:col>
      <xdr:colOff>130479</xdr:colOff>
      <xdr:row>95</xdr:row>
      <xdr:rowOff>157620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98</xdr:row>
      <xdr:rowOff>0</xdr:rowOff>
    </xdr:from>
    <xdr:to>
      <xdr:col>7</xdr:col>
      <xdr:colOff>130479</xdr:colOff>
      <xdr:row>117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121</xdr:row>
      <xdr:rowOff>0</xdr:rowOff>
    </xdr:from>
    <xdr:to>
      <xdr:col>7</xdr:col>
      <xdr:colOff>130479</xdr:colOff>
      <xdr:row>140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144</xdr:row>
      <xdr:rowOff>0</xdr:rowOff>
    </xdr:from>
    <xdr:to>
      <xdr:col>7</xdr:col>
      <xdr:colOff>130479</xdr:colOff>
      <xdr:row>163</xdr:row>
      <xdr:rowOff>157619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167</xdr:row>
      <xdr:rowOff>0</xdr:rowOff>
    </xdr:from>
    <xdr:to>
      <xdr:col>7</xdr:col>
      <xdr:colOff>130479</xdr:colOff>
      <xdr:row>186</xdr:row>
      <xdr:rowOff>157619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brazil: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brazil: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brazil: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brazil: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brazil: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brazil: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brazil: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0</xdr:rowOff>
    </xdr:from>
    <xdr:to>
      <xdr:col>7</xdr:col>
      <xdr:colOff>130479</xdr:colOff>
      <xdr:row>44</xdr:row>
      <xdr:rowOff>157620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48</xdr:row>
      <xdr:rowOff>0</xdr:rowOff>
    </xdr:from>
    <xdr:to>
      <xdr:col>7</xdr:col>
      <xdr:colOff>130479</xdr:colOff>
      <xdr:row>67</xdr:row>
      <xdr:rowOff>157619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70</xdr:row>
      <xdr:rowOff>0</xdr:rowOff>
    </xdr:from>
    <xdr:to>
      <xdr:col>7</xdr:col>
      <xdr:colOff>130479</xdr:colOff>
      <xdr:row>89</xdr:row>
      <xdr:rowOff>157620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92</xdr:row>
      <xdr:rowOff>0</xdr:rowOff>
    </xdr:from>
    <xdr:to>
      <xdr:col>7</xdr:col>
      <xdr:colOff>130479</xdr:colOff>
      <xdr:row>111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115</xdr:row>
      <xdr:rowOff>0</xdr:rowOff>
    </xdr:from>
    <xdr:to>
      <xdr:col>7</xdr:col>
      <xdr:colOff>130479</xdr:colOff>
      <xdr:row>134</xdr:row>
      <xdr:rowOff>157619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138</xdr:row>
      <xdr:rowOff>0</xdr:rowOff>
    </xdr:from>
    <xdr:to>
      <xdr:col>7</xdr:col>
      <xdr:colOff>130479</xdr:colOff>
      <xdr:row>157</xdr:row>
      <xdr:rowOff>157619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26.xml><?xml version="1.0" encoding="utf-8"?>
<c:userShapes xmlns:c="http://schemas.openxmlformats.org/drawingml/2006/chart">
  <cdr:relSizeAnchor xmlns:cdr="http://schemas.openxmlformats.org/drawingml/2006/chartDrawing">
    <cdr:from>
      <cdr:x>0.01814</cdr:x>
      <cdr:y>0.02667</cdr:y>
    </cdr:from>
    <cdr:to>
      <cdr:x>0.99093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85618" y="101821"/>
          <a:ext cx="4591264" cy="32584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canada: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canada: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Canada: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Canada: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canada: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3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canada: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32</xdr:row>
      <xdr:rowOff>0</xdr:rowOff>
    </xdr:from>
    <xdr:to>
      <xdr:col>7</xdr:col>
      <xdr:colOff>104774</xdr:colOff>
      <xdr:row>51</xdr:row>
      <xdr:rowOff>157620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685800</xdr:colOff>
      <xdr:row>55</xdr:row>
      <xdr:rowOff>9525</xdr:rowOff>
    </xdr:from>
    <xdr:to>
      <xdr:col>7</xdr:col>
      <xdr:colOff>76199</xdr:colOff>
      <xdr:row>74</xdr:row>
      <xdr:rowOff>167144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77</xdr:row>
      <xdr:rowOff>0</xdr:rowOff>
    </xdr:from>
    <xdr:to>
      <xdr:col>7</xdr:col>
      <xdr:colOff>130479</xdr:colOff>
      <xdr:row>96</xdr:row>
      <xdr:rowOff>157620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99</xdr:row>
      <xdr:rowOff>0</xdr:rowOff>
    </xdr:from>
    <xdr:to>
      <xdr:col>7</xdr:col>
      <xdr:colOff>130479</xdr:colOff>
      <xdr:row>118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122</xdr:row>
      <xdr:rowOff>0</xdr:rowOff>
    </xdr:from>
    <xdr:to>
      <xdr:col>7</xdr:col>
      <xdr:colOff>130479</xdr:colOff>
      <xdr:row>141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145</xdr:row>
      <xdr:rowOff>0</xdr:rowOff>
    </xdr:from>
    <xdr:to>
      <xdr:col>7</xdr:col>
      <xdr:colOff>130479</xdr:colOff>
      <xdr:row>164</xdr:row>
      <xdr:rowOff>157619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168</xdr:row>
      <xdr:rowOff>0</xdr:rowOff>
    </xdr:from>
    <xdr:to>
      <xdr:col>7</xdr:col>
      <xdr:colOff>130479</xdr:colOff>
      <xdr:row>187</xdr:row>
      <xdr:rowOff>157619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china: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China: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china: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china: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3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china: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china: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3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china: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29</xdr:row>
      <xdr:rowOff>0</xdr:rowOff>
    </xdr:from>
    <xdr:to>
      <xdr:col>7</xdr:col>
      <xdr:colOff>130479</xdr:colOff>
      <xdr:row>48</xdr:row>
      <xdr:rowOff>157620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-1</xdr:colOff>
      <xdr:row>52</xdr:row>
      <xdr:rowOff>0</xdr:rowOff>
    </xdr:from>
    <xdr:to>
      <xdr:col>7</xdr:col>
      <xdr:colOff>104383</xdr:colOff>
      <xdr:row>71</xdr:row>
      <xdr:rowOff>157619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74</xdr:row>
      <xdr:rowOff>0</xdr:rowOff>
    </xdr:from>
    <xdr:to>
      <xdr:col>7</xdr:col>
      <xdr:colOff>130479</xdr:colOff>
      <xdr:row>93</xdr:row>
      <xdr:rowOff>157620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96</xdr:row>
      <xdr:rowOff>0</xdr:rowOff>
    </xdr:from>
    <xdr:to>
      <xdr:col>7</xdr:col>
      <xdr:colOff>130479</xdr:colOff>
      <xdr:row>115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119</xdr:row>
      <xdr:rowOff>0</xdr:rowOff>
    </xdr:from>
    <xdr:to>
      <xdr:col>7</xdr:col>
      <xdr:colOff>130479</xdr:colOff>
      <xdr:row>138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142</xdr:row>
      <xdr:rowOff>0</xdr:rowOff>
    </xdr:from>
    <xdr:to>
      <xdr:col>7</xdr:col>
      <xdr:colOff>130479</xdr:colOff>
      <xdr:row>161</xdr:row>
      <xdr:rowOff>157619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165</xdr:row>
      <xdr:rowOff>0</xdr:rowOff>
    </xdr:from>
    <xdr:to>
      <xdr:col>7</xdr:col>
      <xdr:colOff>130479</xdr:colOff>
      <xdr:row>184</xdr:row>
      <xdr:rowOff>157619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4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egypt: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egypt: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4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egypt: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Egypt: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4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EGYPT: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egypt: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4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egypt: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</xdr:colOff>
      <xdr:row>26</xdr:row>
      <xdr:rowOff>0</xdr:rowOff>
    </xdr:from>
    <xdr:to>
      <xdr:col>6</xdr:col>
      <xdr:colOff>363455</xdr:colOff>
      <xdr:row>45</xdr:row>
      <xdr:rowOff>157620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49</xdr:row>
      <xdr:rowOff>0</xdr:rowOff>
    </xdr:from>
    <xdr:to>
      <xdr:col>6</xdr:col>
      <xdr:colOff>288257</xdr:colOff>
      <xdr:row>68</xdr:row>
      <xdr:rowOff>157620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71</xdr:row>
      <xdr:rowOff>0</xdr:rowOff>
    </xdr:from>
    <xdr:to>
      <xdr:col>6</xdr:col>
      <xdr:colOff>288257</xdr:colOff>
      <xdr:row>90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814637</xdr:colOff>
      <xdr:row>94</xdr:row>
      <xdr:rowOff>0</xdr:rowOff>
    </xdr:from>
    <xdr:to>
      <xdr:col>6</xdr:col>
      <xdr:colOff>288257</xdr:colOff>
      <xdr:row>113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87731</xdr:colOff>
      <xdr:row>117</xdr:row>
      <xdr:rowOff>0</xdr:rowOff>
    </xdr:from>
    <xdr:to>
      <xdr:col>6</xdr:col>
      <xdr:colOff>401053</xdr:colOff>
      <xdr:row>136</xdr:row>
      <xdr:rowOff>157619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814637</xdr:colOff>
      <xdr:row>140</xdr:row>
      <xdr:rowOff>0</xdr:rowOff>
    </xdr:from>
    <xdr:to>
      <xdr:col>6</xdr:col>
      <xdr:colOff>363453</xdr:colOff>
      <xdr:row>159</xdr:row>
      <xdr:rowOff>157619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4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EU-27: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EU-27: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5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eu-27: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EU-27: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5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eu-27: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mt)*</a:t>
          </a:r>
          <a:endParaRPr lang="en-US" sz="1000" b="1" cap="all">
            <a:latin typeface="Times New Roman" pitchFamily="18" charset="0"/>
          </a:endParaRPr>
        </a:p>
      </cdr:txBody>
    </cdr:sp>
  </cdr:relSizeAnchor>
  <cdr:relSizeAnchor xmlns:cdr="http://schemas.openxmlformats.org/drawingml/2006/chartDrawing">
    <cdr:from>
      <cdr:x>0.06493</cdr:x>
      <cdr:y>0.88717</cdr:y>
    </cdr:from>
    <cdr:to>
      <cdr:x>0.95671</cdr:x>
      <cdr:y>0.95774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375986" y="3308683"/>
          <a:ext cx="5163553" cy="2631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900">
              <a:latin typeface="Times New Roman" pitchFamily="18" charset="0"/>
              <a:cs typeface="Times New Roman" pitchFamily="18" charset="0"/>
            </a:rPr>
            <a:t>*Import</a:t>
          </a:r>
          <a:r>
            <a:rPr lang="en-US" sz="900" baseline="0">
              <a:latin typeface="Times New Roman" pitchFamily="18" charset="0"/>
              <a:cs typeface="Times New Roman" pitchFamily="18" charset="0"/>
            </a:rPr>
            <a:t>s (EU-28), exports (EU-29, human domestic consumption (EU-30)</a:t>
          </a:r>
          <a:endParaRPr lang="en-US" sz="900">
            <a:latin typeface="Times New Roman" pitchFamily="18" charset="0"/>
            <a:cs typeface="Times New Roman" pitchFamily="18" charset="0"/>
          </a:endParaRPr>
        </a:p>
      </cdr:txBody>
    </cdr:sp>
  </cdr:relSizeAnchor>
</c:userShapes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eu-27: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30</xdr:row>
      <xdr:rowOff>0</xdr:rowOff>
    </xdr:from>
    <xdr:to>
      <xdr:col>7</xdr:col>
      <xdr:colOff>130479</xdr:colOff>
      <xdr:row>49</xdr:row>
      <xdr:rowOff>157620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53</xdr:row>
      <xdr:rowOff>0</xdr:rowOff>
    </xdr:from>
    <xdr:to>
      <xdr:col>7</xdr:col>
      <xdr:colOff>130479</xdr:colOff>
      <xdr:row>72</xdr:row>
      <xdr:rowOff>157619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75</xdr:row>
      <xdr:rowOff>0</xdr:rowOff>
    </xdr:from>
    <xdr:to>
      <xdr:col>7</xdr:col>
      <xdr:colOff>130479</xdr:colOff>
      <xdr:row>94</xdr:row>
      <xdr:rowOff>157620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97</xdr:row>
      <xdr:rowOff>0</xdr:rowOff>
    </xdr:from>
    <xdr:to>
      <xdr:col>7</xdr:col>
      <xdr:colOff>130479</xdr:colOff>
      <xdr:row>116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120</xdr:row>
      <xdr:rowOff>0</xdr:rowOff>
    </xdr:from>
    <xdr:to>
      <xdr:col>7</xdr:col>
      <xdr:colOff>130479</xdr:colOff>
      <xdr:row>139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143</xdr:row>
      <xdr:rowOff>0</xdr:rowOff>
    </xdr:from>
    <xdr:to>
      <xdr:col>7</xdr:col>
      <xdr:colOff>130479</xdr:colOff>
      <xdr:row>162</xdr:row>
      <xdr:rowOff>157619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166</xdr:row>
      <xdr:rowOff>0</xdr:rowOff>
    </xdr:from>
    <xdr:to>
      <xdr:col>7</xdr:col>
      <xdr:colOff>130479</xdr:colOff>
      <xdr:row>185</xdr:row>
      <xdr:rowOff>157619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india: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5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india: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india: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5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india: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india: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6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india: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india: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0</xdr:rowOff>
    </xdr:from>
    <xdr:to>
      <xdr:col>7</xdr:col>
      <xdr:colOff>130479</xdr:colOff>
      <xdr:row>46</xdr:row>
      <xdr:rowOff>157620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50</xdr:row>
      <xdr:rowOff>0</xdr:rowOff>
    </xdr:from>
    <xdr:to>
      <xdr:col>7</xdr:col>
      <xdr:colOff>130479</xdr:colOff>
      <xdr:row>69</xdr:row>
      <xdr:rowOff>157619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72</xdr:row>
      <xdr:rowOff>0</xdr:rowOff>
    </xdr:from>
    <xdr:to>
      <xdr:col>7</xdr:col>
      <xdr:colOff>130479</xdr:colOff>
      <xdr:row>91</xdr:row>
      <xdr:rowOff>157620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94</xdr:row>
      <xdr:rowOff>0</xdr:rowOff>
    </xdr:from>
    <xdr:to>
      <xdr:col>7</xdr:col>
      <xdr:colOff>130479</xdr:colOff>
      <xdr:row>113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118</xdr:row>
      <xdr:rowOff>0</xdr:rowOff>
    </xdr:from>
    <xdr:to>
      <xdr:col>7</xdr:col>
      <xdr:colOff>130479</xdr:colOff>
      <xdr:row>137</xdr:row>
      <xdr:rowOff>157619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141</xdr:row>
      <xdr:rowOff>0</xdr:rowOff>
    </xdr:from>
    <xdr:to>
      <xdr:col>7</xdr:col>
      <xdr:colOff>130479</xdr:colOff>
      <xdr:row>160</xdr:row>
      <xdr:rowOff>157619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6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indonesia: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6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indonesia: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6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indonesia: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6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indonesia: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6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indonesia: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6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indonesia: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29</xdr:row>
      <xdr:rowOff>0</xdr:rowOff>
    </xdr:from>
    <xdr:to>
      <xdr:col>7</xdr:col>
      <xdr:colOff>130479</xdr:colOff>
      <xdr:row>48</xdr:row>
      <xdr:rowOff>157620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52</xdr:row>
      <xdr:rowOff>0</xdr:rowOff>
    </xdr:from>
    <xdr:to>
      <xdr:col>7</xdr:col>
      <xdr:colOff>130479</xdr:colOff>
      <xdr:row>71</xdr:row>
      <xdr:rowOff>157619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74</xdr:row>
      <xdr:rowOff>0</xdr:rowOff>
    </xdr:from>
    <xdr:to>
      <xdr:col>7</xdr:col>
      <xdr:colOff>130479</xdr:colOff>
      <xdr:row>93</xdr:row>
      <xdr:rowOff>157620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96</xdr:row>
      <xdr:rowOff>0</xdr:rowOff>
    </xdr:from>
    <xdr:to>
      <xdr:col>7</xdr:col>
      <xdr:colOff>130479</xdr:colOff>
      <xdr:row>115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119</xdr:row>
      <xdr:rowOff>0</xdr:rowOff>
    </xdr:from>
    <xdr:to>
      <xdr:col>7</xdr:col>
      <xdr:colOff>130479</xdr:colOff>
      <xdr:row>138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142</xdr:row>
      <xdr:rowOff>0</xdr:rowOff>
    </xdr:from>
    <xdr:to>
      <xdr:col>7</xdr:col>
      <xdr:colOff>130479</xdr:colOff>
      <xdr:row>161</xdr:row>
      <xdr:rowOff>157619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165</xdr:row>
      <xdr:rowOff>0</xdr:rowOff>
    </xdr:from>
    <xdr:to>
      <xdr:col>7</xdr:col>
      <xdr:colOff>130479</xdr:colOff>
      <xdr:row>184</xdr:row>
      <xdr:rowOff>157619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7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japan: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7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japan: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7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japan: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7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japan: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7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japan: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7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japan: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7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japan: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28</xdr:row>
      <xdr:rowOff>0</xdr:rowOff>
    </xdr:from>
    <xdr:to>
      <xdr:col>7</xdr:col>
      <xdr:colOff>130479</xdr:colOff>
      <xdr:row>47</xdr:row>
      <xdr:rowOff>157620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51</xdr:row>
      <xdr:rowOff>0</xdr:rowOff>
    </xdr:from>
    <xdr:to>
      <xdr:col>7</xdr:col>
      <xdr:colOff>130479</xdr:colOff>
      <xdr:row>70</xdr:row>
      <xdr:rowOff>157619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73</xdr:row>
      <xdr:rowOff>0</xdr:rowOff>
    </xdr:from>
    <xdr:to>
      <xdr:col>7</xdr:col>
      <xdr:colOff>130479</xdr:colOff>
      <xdr:row>92</xdr:row>
      <xdr:rowOff>157620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95</xdr:row>
      <xdr:rowOff>0</xdr:rowOff>
    </xdr:from>
    <xdr:to>
      <xdr:col>7</xdr:col>
      <xdr:colOff>130479</xdr:colOff>
      <xdr:row>114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3</xdr:colOff>
      <xdr:row>118</xdr:row>
      <xdr:rowOff>0</xdr:rowOff>
    </xdr:from>
    <xdr:to>
      <xdr:col>5</xdr:col>
      <xdr:colOff>247650</xdr:colOff>
      <xdr:row>137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141</xdr:row>
      <xdr:rowOff>0</xdr:rowOff>
    </xdr:from>
    <xdr:to>
      <xdr:col>5</xdr:col>
      <xdr:colOff>295275</xdr:colOff>
      <xdr:row>160</xdr:row>
      <xdr:rowOff>157619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164</xdr:row>
      <xdr:rowOff>0</xdr:rowOff>
    </xdr:from>
    <xdr:to>
      <xdr:col>7</xdr:col>
      <xdr:colOff>130479</xdr:colOff>
      <xdr:row>183</xdr:row>
      <xdr:rowOff>157619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7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Korea</a:t>
          </a:r>
          <a:r>
            <a:rPr lang="en-US" sz="1000" b="1" cap="all">
              <a:latin typeface="Times New Roman" pitchFamily="18" charset="0"/>
            </a:rPr>
            <a:t>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8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Korea</a:t>
          </a:r>
          <a:r>
            <a:rPr lang="en-US" sz="1000" b="1" cap="all">
              <a:latin typeface="Times New Roman" pitchFamily="18" charset="0"/>
            </a:rPr>
            <a:t>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8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 korea: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8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Korea</a:t>
          </a:r>
          <a:r>
            <a:rPr lang="en-US" sz="1000" b="1" cap="all">
              <a:latin typeface="Times New Roman" pitchFamily="18" charset="0"/>
            </a:rPr>
            <a:t>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8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korea</a:t>
          </a:r>
          <a:r>
            <a:rPr lang="en-US" sz="1000" b="1" cap="all">
              <a:latin typeface="Times New Roman" pitchFamily="18" charset="0"/>
            </a:rPr>
            <a:t>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8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 korea: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8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korea</a:t>
          </a:r>
          <a:r>
            <a:rPr lang="en-US" sz="1000" b="1" cap="all">
              <a:latin typeface="Times New Roman" pitchFamily="18" charset="0"/>
            </a:rPr>
            <a:t>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8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30</xdr:row>
      <xdr:rowOff>0</xdr:rowOff>
    </xdr:from>
    <xdr:to>
      <xdr:col>7</xdr:col>
      <xdr:colOff>209549</xdr:colOff>
      <xdr:row>49</xdr:row>
      <xdr:rowOff>157620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53</xdr:row>
      <xdr:rowOff>0</xdr:rowOff>
    </xdr:from>
    <xdr:to>
      <xdr:col>7</xdr:col>
      <xdr:colOff>130479</xdr:colOff>
      <xdr:row>72</xdr:row>
      <xdr:rowOff>157619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75</xdr:row>
      <xdr:rowOff>0</xdr:rowOff>
    </xdr:from>
    <xdr:to>
      <xdr:col>7</xdr:col>
      <xdr:colOff>130479</xdr:colOff>
      <xdr:row>94</xdr:row>
      <xdr:rowOff>157620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97</xdr:row>
      <xdr:rowOff>0</xdr:rowOff>
    </xdr:from>
    <xdr:to>
      <xdr:col>7</xdr:col>
      <xdr:colOff>130479</xdr:colOff>
      <xdr:row>116</xdr:row>
      <xdr:rowOff>157620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120</xdr:row>
      <xdr:rowOff>0</xdr:rowOff>
    </xdr:from>
    <xdr:to>
      <xdr:col>7</xdr:col>
      <xdr:colOff>130479</xdr:colOff>
      <xdr:row>139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143</xdr:row>
      <xdr:rowOff>0</xdr:rowOff>
    </xdr:from>
    <xdr:to>
      <xdr:col>7</xdr:col>
      <xdr:colOff>130479</xdr:colOff>
      <xdr:row>162</xdr:row>
      <xdr:rowOff>157619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166</xdr:row>
      <xdr:rowOff>0</xdr:rowOff>
    </xdr:from>
    <xdr:to>
      <xdr:col>7</xdr:col>
      <xdr:colOff>130479</xdr:colOff>
      <xdr:row>185</xdr:row>
      <xdr:rowOff>157619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8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mexico: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8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mexico: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8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mexico: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9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mexico: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9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mexico: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9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mexico: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9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mexico: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9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561973</xdr:colOff>
      <xdr:row>32</xdr:row>
      <xdr:rowOff>171450</xdr:rowOff>
    </xdr:from>
    <xdr:to>
      <xdr:col>6</xdr:col>
      <xdr:colOff>742950</xdr:colOff>
      <xdr:row>52</xdr:row>
      <xdr:rowOff>133350</xdr:rowOff>
    </xdr:to>
    <xdr:graphicFrame macro="">
      <xdr:nvGraphicFramePr>
        <xdr:cNvPr id="12" name="Chart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628650</xdr:colOff>
      <xdr:row>54</xdr:row>
      <xdr:rowOff>66675</xdr:rowOff>
    </xdr:from>
    <xdr:to>
      <xdr:col>7</xdr:col>
      <xdr:colOff>114301</xdr:colOff>
      <xdr:row>74</xdr:row>
      <xdr:rowOff>28575</xdr:rowOff>
    </xdr:to>
    <xdr:graphicFrame macro="">
      <xdr:nvGraphicFramePr>
        <xdr:cNvPr id="13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695325</xdr:colOff>
      <xdr:row>76</xdr:row>
      <xdr:rowOff>180975</xdr:rowOff>
    </xdr:from>
    <xdr:to>
      <xdr:col>7</xdr:col>
      <xdr:colOff>180976</xdr:colOff>
      <xdr:row>95</xdr:row>
      <xdr:rowOff>142875</xdr:rowOff>
    </xdr:to>
    <xdr:graphicFrame macro="">
      <xdr:nvGraphicFramePr>
        <xdr:cNvPr id="14" name="Chart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99</xdr:row>
      <xdr:rowOff>0</xdr:rowOff>
    </xdr:from>
    <xdr:to>
      <xdr:col>7</xdr:col>
      <xdr:colOff>307672</xdr:colOff>
      <xdr:row>118</xdr:row>
      <xdr:rowOff>157619</xdr:rowOff>
    </xdr:to>
    <xdr:graphicFrame macro="">
      <xdr:nvGraphicFramePr>
        <xdr:cNvPr id="15" name="Chart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122</xdr:row>
      <xdr:rowOff>0</xdr:rowOff>
    </xdr:from>
    <xdr:to>
      <xdr:col>7</xdr:col>
      <xdr:colOff>307672</xdr:colOff>
      <xdr:row>141</xdr:row>
      <xdr:rowOff>157620</xdr:rowOff>
    </xdr:to>
    <xdr:graphicFrame macro="">
      <xdr:nvGraphicFramePr>
        <xdr:cNvPr id="16" name="Chart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2</xdr:colOff>
      <xdr:row>145</xdr:row>
      <xdr:rowOff>0</xdr:rowOff>
    </xdr:from>
    <xdr:to>
      <xdr:col>7</xdr:col>
      <xdr:colOff>10824</xdr:colOff>
      <xdr:row>164</xdr:row>
      <xdr:rowOff>157620</xdr:rowOff>
    </xdr:to>
    <xdr:graphicFrame macro="">
      <xdr:nvGraphicFramePr>
        <xdr:cNvPr id="17" name="Chart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167</xdr:row>
      <xdr:rowOff>0</xdr:rowOff>
    </xdr:from>
    <xdr:to>
      <xdr:col>7</xdr:col>
      <xdr:colOff>307672</xdr:colOff>
      <xdr:row>186</xdr:row>
      <xdr:rowOff>157620</xdr:rowOff>
    </xdr:to>
    <xdr:graphicFrame macro="">
      <xdr:nvGraphicFramePr>
        <xdr:cNvPr id="18" name="Chart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9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nigeria: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9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Nigeria: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LB.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9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nigeria: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9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nigeria: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9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nigeria: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0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nigeria: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0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nigeria: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0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561973</xdr:colOff>
      <xdr:row>32</xdr:row>
      <xdr:rowOff>171450</xdr:rowOff>
    </xdr:from>
    <xdr:to>
      <xdr:col>6</xdr:col>
      <xdr:colOff>742950</xdr:colOff>
      <xdr:row>52</xdr:row>
      <xdr:rowOff>133350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628650</xdr:colOff>
      <xdr:row>54</xdr:row>
      <xdr:rowOff>66675</xdr:rowOff>
    </xdr:from>
    <xdr:to>
      <xdr:col>7</xdr:col>
      <xdr:colOff>114301</xdr:colOff>
      <xdr:row>74</xdr:row>
      <xdr:rowOff>28575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695327</xdr:colOff>
      <xdr:row>76</xdr:row>
      <xdr:rowOff>180975</xdr:rowOff>
    </xdr:from>
    <xdr:to>
      <xdr:col>5</xdr:col>
      <xdr:colOff>342900</xdr:colOff>
      <xdr:row>95</xdr:row>
      <xdr:rowOff>142875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99</xdr:row>
      <xdr:rowOff>0</xdr:rowOff>
    </xdr:from>
    <xdr:to>
      <xdr:col>7</xdr:col>
      <xdr:colOff>307672</xdr:colOff>
      <xdr:row>118</xdr:row>
      <xdr:rowOff>157619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122</xdr:row>
      <xdr:rowOff>0</xdr:rowOff>
    </xdr:from>
    <xdr:to>
      <xdr:col>7</xdr:col>
      <xdr:colOff>307672</xdr:colOff>
      <xdr:row>141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</xdr:colOff>
      <xdr:row>145</xdr:row>
      <xdr:rowOff>0</xdr:rowOff>
    </xdr:from>
    <xdr:to>
      <xdr:col>7</xdr:col>
      <xdr:colOff>59532</xdr:colOff>
      <xdr:row>164</xdr:row>
      <xdr:rowOff>157620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167</xdr:row>
      <xdr:rowOff>0</xdr:rowOff>
    </xdr:from>
    <xdr:to>
      <xdr:col>7</xdr:col>
      <xdr:colOff>307672</xdr:colOff>
      <xdr:row>186</xdr:row>
      <xdr:rowOff>157620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10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Pakistan: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0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pakistan: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LB.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0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pakistan: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0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pakistan: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0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pakistan: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0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pakistan: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0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pakistan: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561973</xdr:colOff>
      <xdr:row>27</xdr:row>
      <xdr:rowOff>171450</xdr:rowOff>
    </xdr:from>
    <xdr:to>
      <xdr:col>6</xdr:col>
      <xdr:colOff>742950</xdr:colOff>
      <xdr:row>47</xdr:row>
      <xdr:rowOff>133350</xdr:rowOff>
    </xdr:to>
    <xdr:graphicFrame macro="">
      <xdr:nvGraphicFramePr>
        <xdr:cNvPr id="12" name="Chart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628650</xdr:colOff>
      <xdr:row>49</xdr:row>
      <xdr:rowOff>66675</xdr:rowOff>
    </xdr:from>
    <xdr:to>
      <xdr:col>7</xdr:col>
      <xdr:colOff>114301</xdr:colOff>
      <xdr:row>69</xdr:row>
      <xdr:rowOff>28575</xdr:rowOff>
    </xdr:to>
    <xdr:graphicFrame macro="">
      <xdr:nvGraphicFramePr>
        <xdr:cNvPr id="13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695325</xdr:colOff>
      <xdr:row>71</xdr:row>
      <xdr:rowOff>180975</xdr:rowOff>
    </xdr:from>
    <xdr:to>
      <xdr:col>7</xdr:col>
      <xdr:colOff>180976</xdr:colOff>
      <xdr:row>90</xdr:row>
      <xdr:rowOff>142875</xdr:rowOff>
    </xdr:to>
    <xdr:graphicFrame macro="">
      <xdr:nvGraphicFramePr>
        <xdr:cNvPr id="14" name="Chart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94</xdr:row>
      <xdr:rowOff>0</xdr:rowOff>
    </xdr:from>
    <xdr:to>
      <xdr:col>7</xdr:col>
      <xdr:colOff>307672</xdr:colOff>
      <xdr:row>113</xdr:row>
      <xdr:rowOff>157619</xdr:rowOff>
    </xdr:to>
    <xdr:graphicFrame macro="">
      <xdr:nvGraphicFramePr>
        <xdr:cNvPr id="15" name="Chart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116</xdr:row>
      <xdr:rowOff>0</xdr:rowOff>
    </xdr:from>
    <xdr:to>
      <xdr:col>7</xdr:col>
      <xdr:colOff>307672</xdr:colOff>
      <xdr:row>135</xdr:row>
      <xdr:rowOff>157620</xdr:rowOff>
    </xdr:to>
    <xdr:graphicFrame macro="">
      <xdr:nvGraphicFramePr>
        <xdr:cNvPr id="17" name="Chart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138</xdr:row>
      <xdr:rowOff>0</xdr:rowOff>
    </xdr:from>
    <xdr:to>
      <xdr:col>7</xdr:col>
      <xdr:colOff>307672</xdr:colOff>
      <xdr:row>157</xdr:row>
      <xdr:rowOff>157620</xdr:rowOff>
    </xdr:to>
    <xdr:graphicFrame macro="">
      <xdr:nvGraphicFramePr>
        <xdr:cNvPr id="18" name="Chart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1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russia: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1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russia: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LB.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1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russia: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1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russia: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1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russia: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1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russia: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561973</xdr:colOff>
      <xdr:row>32</xdr:row>
      <xdr:rowOff>171450</xdr:rowOff>
    </xdr:from>
    <xdr:to>
      <xdr:col>6</xdr:col>
      <xdr:colOff>742950</xdr:colOff>
      <xdr:row>52</xdr:row>
      <xdr:rowOff>133350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628650</xdr:colOff>
      <xdr:row>54</xdr:row>
      <xdr:rowOff>66675</xdr:rowOff>
    </xdr:from>
    <xdr:to>
      <xdr:col>7</xdr:col>
      <xdr:colOff>114301</xdr:colOff>
      <xdr:row>74</xdr:row>
      <xdr:rowOff>28575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695325</xdr:colOff>
      <xdr:row>76</xdr:row>
      <xdr:rowOff>180975</xdr:rowOff>
    </xdr:from>
    <xdr:to>
      <xdr:col>7</xdr:col>
      <xdr:colOff>180976</xdr:colOff>
      <xdr:row>95</xdr:row>
      <xdr:rowOff>142875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99</xdr:row>
      <xdr:rowOff>0</xdr:rowOff>
    </xdr:from>
    <xdr:to>
      <xdr:col>7</xdr:col>
      <xdr:colOff>307672</xdr:colOff>
      <xdr:row>118</xdr:row>
      <xdr:rowOff>157619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122</xdr:row>
      <xdr:rowOff>0</xdr:rowOff>
    </xdr:from>
    <xdr:to>
      <xdr:col>7</xdr:col>
      <xdr:colOff>307672</xdr:colOff>
      <xdr:row>141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809625</xdr:colOff>
      <xdr:row>145</xdr:row>
      <xdr:rowOff>28575</xdr:rowOff>
    </xdr:from>
    <xdr:to>
      <xdr:col>7</xdr:col>
      <xdr:colOff>298147</xdr:colOff>
      <xdr:row>164</xdr:row>
      <xdr:rowOff>186195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167</xdr:row>
      <xdr:rowOff>0</xdr:rowOff>
    </xdr:from>
    <xdr:to>
      <xdr:col>7</xdr:col>
      <xdr:colOff>307672</xdr:colOff>
      <xdr:row>186</xdr:row>
      <xdr:rowOff>157620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11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1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LB.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2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2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2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2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2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south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561973</xdr:colOff>
      <xdr:row>31</xdr:row>
      <xdr:rowOff>171450</xdr:rowOff>
    </xdr:from>
    <xdr:to>
      <xdr:col>6</xdr:col>
      <xdr:colOff>742950</xdr:colOff>
      <xdr:row>51</xdr:row>
      <xdr:rowOff>133350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628650</xdr:colOff>
      <xdr:row>53</xdr:row>
      <xdr:rowOff>66675</xdr:rowOff>
    </xdr:from>
    <xdr:to>
      <xdr:col>7</xdr:col>
      <xdr:colOff>114301</xdr:colOff>
      <xdr:row>73</xdr:row>
      <xdr:rowOff>28575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695325</xdr:colOff>
      <xdr:row>75</xdr:row>
      <xdr:rowOff>180975</xdr:rowOff>
    </xdr:from>
    <xdr:to>
      <xdr:col>7</xdr:col>
      <xdr:colOff>180976</xdr:colOff>
      <xdr:row>94</xdr:row>
      <xdr:rowOff>142875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98</xdr:row>
      <xdr:rowOff>0</xdr:rowOff>
    </xdr:from>
    <xdr:to>
      <xdr:col>7</xdr:col>
      <xdr:colOff>307672</xdr:colOff>
      <xdr:row>117</xdr:row>
      <xdr:rowOff>157619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121</xdr:row>
      <xdr:rowOff>0</xdr:rowOff>
    </xdr:from>
    <xdr:to>
      <xdr:col>7</xdr:col>
      <xdr:colOff>307672</xdr:colOff>
      <xdr:row>140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144</xdr:row>
      <xdr:rowOff>0</xdr:rowOff>
    </xdr:from>
    <xdr:to>
      <xdr:col>7</xdr:col>
      <xdr:colOff>307672</xdr:colOff>
      <xdr:row>163</xdr:row>
      <xdr:rowOff>157620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166</xdr:row>
      <xdr:rowOff>0</xdr:rowOff>
    </xdr:from>
    <xdr:to>
      <xdr:col>7</xdr:col>
      <xdr:colOff>307672</xdr:colOff>
      <xdr:row>185</xdr:row>
      <xdr:rowOff>157620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12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thailand: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2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thailand: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LB.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2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thailand: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2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thailand: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3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thailand: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3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thailand: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3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thailand: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561973</xdr:colOff>
      <xdr:row>30</xdr:row>
      <xdr:rowOff>171450</xdr:rowOff>
    </xdr:from>
    <xdr:to>
      <xdr:col>6</xdr:col>
      <xdr:colOff>742950</xdr:colOff>
      <xdr:row>50</xdr:row>
      <xdr:rowOff>133350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628650</xdr:colOff>
      <xdr:row>52</xdr:row>
      <xdr:rowOff>66675</xdr:rowOff>
    </xdr:from>
    <xdr:to>
      <xdr:col>7</xdr:col>
      <xdr:colOff>114301</xdr:colOff>
      <xdr:row>72</xdr:row>
      <xdr:rowOff>28575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695325</xdr:colOff>
      <xdr:row>74</xdr:row>
      <xdr:rowOff>180975</xdr:rowOff>
    </xdr:from>
    <xdr:to>
      <xdr:col>7</xdr:col>
      <xdr:colOff>180976</xdr:colOff>
      <xdr:row>93</xdr:row>
      <xdr:rowOff>142875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97</xdr:row>
      <xdr:rowOff>0</xdr:rowOff>
    </xdr:from>
    <xdr:to>
      <xdr:col>7</xdr:col>
      <xdr:colOff>307672</xdr:colOff>
      <xdr:row>116</xdr:row>
      <xdr:rowOff>157619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121</xdr:row>
      <xdr:rowOff>0</xdr:rowOff>
    </xdr:from>
    <xdr:to>
      <xdr:col>7</xdr:col>
      <xdr:colOff>307672</xdr:colOff>
      <xdr:row>140</xdr:row>
      <xdr:rowOff>157620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143</xdr:row>
      <xdr:rowOff>0</xdr:rowOff>
    </xdr:from>
    <xdr:to>
      <xdr:col>7</xdr:col>
      <xdr:colOff>307672</xdr:colOff>
      <xdr:row>162</xdr:row>
      <xdr:rowOff>157620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3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turkey: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3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turkey: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LB.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3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turkey: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3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turkey: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3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turkey: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3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turkey: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561973</xdr:colOff>
      <xdr:row>26</xdr:row>
      <xdr:rowOff>171450</xdr:rowOff>
    </xdr:from>
    <xdr:to>
      <xdr:col>6</xdr:col>
      <xdr:colOff>742950</xdr:colOff>
      <xdr:row>46</xdr:row>
      <xdr:rowOff>133350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628650</xdr:colOff>
      <xdr:row>48</xdr:row>
      <xdr:rowOff>66675</xdr:rowOff>
    </xdr:from>
    <xdr:to>
      <xdr:col>7</xdr:col>
      <xdr:colOff>114301</xdr:colOff>
      <xdr:row>68</xdr:row>
      <xdr:rowOff>28575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695325</xdr:colOff>
      <xdr:row>70</xdr:row>
      <xdr:rowOff>180975</xdr:rowOff>
    </xdr:from>
    <xdr:to>
      <xdr:col>7</xdr:col>
      <xdr:colOff>180976</xdr:colOff>
      <xdr:row>89</xdr:row>
      <xdr:rowOff>142875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93</xdr:row>
      <xdr:rowOff>0</xdr:rowOff>
    </xdr:from>
    <xdr:to>
      <xdr:col>7</xdr:col>
      <xdr:colOff>307672</xdr:colOff>
      <xdr:row>112</xdr:row>
      <xdr:rowOff>157619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117</xdr:row>
      <xdr:rowOff>0</xdr:rowOff>
    </xdr:from>
    <xdr:to>
      <xdr:col>7</xdr:col>
      <xdr:colOff>307672</xdr:colOff>
      <xdr:row>136</xdr:row>
      <xdr:rowOff>157620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139</xdr:row>
      <xdr:rowOff>0</xdr:rowOff>
    </xdr:from>
    <xdr:to>
      <xdr:col>7</xdr:col>
      <xdr:colOff>307672</xdr:colOff>
      <xdr:row>158</xdr:row>
      <xdr:rowOff>157620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4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uzbekistan: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4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uzbekistan: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LB.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4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uzbekistan: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44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uzbekistan: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4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uzbekistan: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4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uzbekistan: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4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561973</xdr:colOff>
      <xdr:row>29</xdr:row>
      <xdr:rowOff>171450</xdr:rowOff>
    </xdr:from>
    <xdr:to>
      <xdr:col>6</xdr:col>
      <xdr:colOff>742950</xdr:colOff>
      <xdr:row>49</xdr:row>
      <xdr:rowOff>133350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628650</xdr:colOff>
      <xdr:row>51</xdr:row>
      <xdr:rowOff>66675</xdr:rowOff>
    </xdr:from>
    <xdr:to>
      <xdr:col>7</xdr:col>
      <xdr:colOff>70037</xdr:colOff>
      <xdr:row>71</xdr:row>
      <xdr:rowOff>28575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695326</xdr:colOff>
      <xdr:row>73</xdr:row>
      <xdr:rowOff>180975</xdr:rowOff>
    </xdr:from>
    <xdr:to>
      <xdr:col>7</xdr:col>
      <xdr:colOff>98052</xdr:colOff>
      <xdr:row>92</xdr:row>
      <xdr:rowOff>142875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96</xdr:row>
      <xdr:rowOff>0</xdr:rowOff>
    </xdr:from>
    <xdr:to>
      <xdr:col>7</xdr:col>
      <xdr:colOff>307672</xdr:colOff>
      <xdr:row>115</xdr:row>
      <xdr:rowOff>157619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119</xdr:row>
      <xdr:rowOff>0</xdr:rowOff>
    </xdr:from>
    <xdr:to>
      <xdr:col>7</xdr:col>
      <xdr:colOff>224118</xdr:colOff>
      <xdr:row>138</xdr:row>
      <xdr:rowOff>157620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141</xdr:row>
      <xdr:rowOff>0</xdr:rowOff>
    </xdr:from>
    <xdr:to>
      <xdr:col>7</xdr:col>
      <xdr:colOff>307672</xdr:colOff>
      <xdr:row>160</xdr:row>
      <xdr:rowOff>157620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4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vietnam: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4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vietnam: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LB.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5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vietnam: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5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vietnam: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52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vietnam: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53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vietnam: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561973</xdr:colOff>
      <xdr:row>33</xdr:row>
      <xdr:rowOff>171450</xdr:rowOff>
    </xdr:from>
    <xdr:to>
      <xdr:col>6</xdr:col>
      <xdr:colOff>742950</xdr:colOff>
      <xdr:row>53</xdr:row>
      <xdr:rowOff>133350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628650</xdr:colOff>
      <xdr:row>55</xdr:row>
      <xdr:rowOff>66675</xdr:rowOff>
    </xdr:from>
    <xdr:to>
      <xdr:col>7</xdr:col>
      <xdr:colOff>114301</xdr:colOff>
      <xdr:row>75</xdr:row>
      <xdr:rowOff>28575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695325</xdr:colOff>
      <xdr:row>77</xdr:row>
      <xdr:rowOff>180975</xdr:rowOff>
    </xdr:from>
    <xdr:to>
      <xdr:col>7</xdr:col>
      <xdr:colOff>180976</xdr:colOff>
      <xdr:row>96</xdr:row>
      <xdr:rowOff>142875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100</xdr:row>
      <xdr:rowOff>0</xdr:rowOff>
    </xdr:from>
    <xdr:to>
      <xdr:col>7</xdr:col>
      <xdr:colOff>307672</xdr:colOff>
      <xdr:row>119</xdr:row>
      <xdr:rowOff>157619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123</xdr:row>
      <xdr:rowOff>0</xdr:rowOff>
    </xdr:from>
    <xdr:to>
      <xdr:col>7</xdr:col>
      <xdr:colOff>307672</xdr:colOff>
      <xdr:row>142</xdr:row>
      <xdr:rowOff>157620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146</xdr:row>
      <xdr:rowOff>0</xdr:rowOff>
    </xdr:from>
    <xdr:to>
      <xdr:col>7</xdr:col>
      <xdr:colOff>228600</xdr:colOff>
      <xdr:row>165</xdr:row>
      <xdr:rowOff>157620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168</xdr:row>
      <xdr:rowOff>0</xdr:rowOff>
    </xdr:from>
    <xdr:to>
      <xdr:col>7</xdr:col>
      <xdr:colOff>307672</xdr:colOff>
      <xdr:row>187</xdr:row>
      <xdr:rowOff>157620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155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west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Corn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56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west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Cotton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480 LB. Bales)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57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west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Soybeans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58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west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RICE (MILLED)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59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west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Sorghum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60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west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Sugar (centrifugal)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drawings/drawing161.xml><?xml version="1.0" encoding="utf-8"?>
<c:userShapes xmlns:c="http://schemas.openxmlformats.org/drawingml/2006/chart">
  <cdr:relSizeAnchor xmlns:cdr="http://schemas.openxmlformats.org/drawingml/2006/chartDrawing">
    <cdr:from>
      <cdr:x>0.03333</cdr:x>
      <cdr:y>0.02667</cdr:y>
    </cdr:from>
    <cdr:to>
      <cdr:x>0.96875</cdr:x>
      <cdr:y>0.11202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12090" y="92963"/>
          <a:ext cx="5951777" cy="297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 cap="all">
              <a:latin typeface="Times New Roman" pitchFamily="18" charset="0"/>
            </a:rPr>
            <a:t>            west</a:t>
          </a:r>
          <a:r>
            <a:rPr lang="en-US" sz="1000" b="1" cap="all" baseline="0">
              <a:latin typeface="Times New Roman" pitchFamily="18" charset="0"/>
            </a:rPr>
            <a:t> africa</a:t>
          </a:r>
          <a:r>
            <a:rPr lang="en-US" sz="1000" b="1" cap="all">
              <a:latin typeface="Times New Roman" pitchFamily="18" charset="0"/>
            </a:rPr>
            <a:t>: wheat Production Supply &amp; Distribution</a:t>
          </a:r>
          <a:r>
            <a:rPr lang="en-US" sz="1000" b="1" cap="all" baseline="0">
              <a:latin typeface="Times New Roman" pitchFamily="18" charset="0"/>
            </a:rPr>
            <a:t> </a:t>
          </a:r>
          <a:r>
            <a:rPr lang="en-US" sz="1000" b="1" cap="all">
              <a:latin typeface="Times New Roman" pitchFamily="18" charset="0"/>
            </a:rPr>
            <a:t>(1000</a:t>
          </a:r>
          <a:r>
            <a:rPr lang="en-US" sz="1000" b="1" cap="all" baseline="0">
              <a:latin typeface="Times New Roman" pitchFamily="18" charset="0"/>
            </a:rPr>
            <a:t> MT)</a:t>
          </a:r>
          <a:endParaRPr lang="en-US" sz="1000" b="1" cap="all">
            <a:latin typeface="Times New Roman" pitchFamily="18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6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4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2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0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7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5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3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0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7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575"/>
  <sheetViews>
    <sheetView showGridLines="0" zoomScale="90" zoomScaleNormal="90" workbookViewId="0">
      <pane xSplit="6" ySplit="15" topLeftCell="AU28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4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x14ac:dyDescent="0.25">
      <c r="A2" s="12" t="s">
        <v>4</v>
      </c>
      <c r="B2" s="2" t="s">
        <v>5</v>
      </c>
      <c r="C2" s="2" t="s">
        <v>6</v>
      </c>
      <c r="D2" s="3">
        <v>4850</v>
      </c>
      <c r="E2" s="3">
        <v>5220</v>
      </c>
      <c r="F2" s="3">
        <v>4360</v>
      </c>
      <c r="G2" s="3">
        <v>5350</v>
      </c>
      <c r="H2" s="3">
        <v>5140</v>
      </c>
      <c r="I2" s="3">
        <v>7040</v>
      </c>
      <c r="J2" s="3">
        <v>8000</v>
      </c>
      <c r="K2" s="3">
        <v>6560</v>
      </c>
      <c r="L2" s="3">
        <v>6860</v>
      </c>
      <c r="M2" s="3">
        <v>9360</v>
      </c>
      <c r="N2" s="3">
        <v>9930</v>
      </c>
      <c r="O2" s="3">
        <v>5860</v>
      </c>
      <c r="P2" s="3">
        <v>9000</v>
      </c>
      <c r="Q2" s="3">
        <v>9900</v>
      </c>
      <c r="R2" s="3">
        <v>7700</v>
      </c>
      <c r="S2" s="3">
        <v>5855</v>
      </c>
      <c r="T2" s="3">
        <v>8300</v>
      </c>
      <c r="U2" s="3">
        <v>9700</v>
      </c>
      <c r="V2" s="3">
        <v>9000</v>
      </c>
      <c r="W2" s="3">
        <v>6400</v>
      </c>
      <c r="X2" s="3">
        <v>12900</v>
      </c>
      <c r="Y2" s="3">
        <v>9600</v>
      </c>
      <c r="Z2" s="3">
        <v>9000</v>
      </c>
      <c r="AA2" s="3">
        <v>9500</v>
      </c>
      <c r="AB2" s="3">
        <v>11900</v>
      </c>
      <c r="AC2" s="3">
        <v>12400</v>
      </c>
      <c r="AD2" s="3">
        <v>9250</v>
      </c>
      <c r="AE2" s="3">
        <v>9200</v>
      </c>
      <c r="AF2" s="3">
        <v>4900</v>
      </c>
      <c r="AG2" s="3">
        <v>5200</v>
      </c>
      <c r="AH2" s="3">
        <v>7685</v>
      </c>
      <c r="AI2" s="3">
        <v>10600</v>
      </c>
      <c r="AJ2" s="3">
        <v>10200</v>
      </c>
      <c r="AK2" s="3">
        <v>10000</v>
      </c>
      <c r="AL2" s="3">
        <v>11404</v>
      </c>
      <c r="AM2" s="3">
        <v>11100</v>
      </c>
      <c r="AN2" s="3">
        <v>15537</v>
      </c>
      <c r="AO2" s="3">
        <v>19361</v>
      </c>
      <c r="AP2" s="3">
        <v>13504</v>
      </c>
      <c r="AQ2" s="3">
        <v>17200</v>
      </c>
      <c r="AR2" s="3">
        <v>15359</v>
      </c>
      <c r="AS2" s="3">
        <v>14712</v>
      </c>
      <c r="AT2" s="3">
        <v>15500</v>
      </c>
      <c r="AU2" s="3">
        <v>14951</v>
      </c>
      <c r="AV2" s="3">
        <v>20483</v>
      </c>
      <c r="AW2" s="3">
        <v>15800</v>
      </c>
      <c r="AX2" s="3">
        <v>22500</v>
      </c>
      <c r="AY2" s="3">
        <v>22017</v>
      </c>
      <c r="AZ2" s="3">
        <v>15500</v>
      </c>
      <c r="BA2" s="3">
        <v>22800</v>
      </c>
      <c r="BB2" s="3">
        <f>23799830/1000</f>
        <v>23799.83</v>
      </c>
      <c r="BC2" s="8">
        <f>23799830/1000</f>
        <v>23799.83</v>
      </c>
      <c r="BD2" s="8">
        <f>32119211/1000</f>
        <v>32119.210999999999</v>
      </c>
    </row>
    <row r="3" spans="1:56" s="5" customFormat="1" x14ac:dyDescent="0.25">
      <c r="A3" s="14"/>
      <c r="B3" s="6"/>
      <c r="C3" s="6" t="s">
        <v>7</v>
      </c>
      <c r="D3" s="7">
        <v>0</v>
      </c>
      <c r="E3" s="7">
        <v>0</v>
      </c>
      <c r="F3" s="7">
        <v>0</v>
      </c>
      <c r="G3" s="7">
        <v>0</v>
      </c>
      <c r="H3" s="7">
        <v>0</v>
      </c>
      <c r="I3" s="7">
        <v>1</v>
      </c>
      <c r="J3" s="7">
        <v>0</v>
      </c>
      <c r="K3" s="7">
        <v>1</v>
      </c>
      <c r="L3" s="7">
        <v>0</v>
      </c>
      <c r="M3" s="7">
        <v>0</v>
      </c>
      <c r="N3" s="7">
        <v>1</v>
      </c>
      <c r="O3" s="7">
        <v>1</v>
      </c>
      <c r="P3" s="7">
        <v>0</v>
      </c>
      <c r="Q3" s="7">
        <v>0</v>
      </c>
      <c r="R3" s="7">
        <v>0</v>
      </c>
      <c r="S3" s="7">
        <v>0</v>
      </c>
      <c r="T3" s="7">
        <v>0</v>
      </c>
      <c r="U3" s="7">
        <v>0</v>
      </c>
      <c r="V3" s="7">
        <v>0</v>
      </c>
      <c r="W3" s="7">
        <v>0</v>
      </c>
      <c r="X3" s="7">
        <v>0</v>
      </c>
      <c r="Y3" s="7">
        <v>0</v>
      </c>
      <c r="Z3" s="7">
        <v>0</v>
      </c>
      <c r="AA3" s="7">
        <v>0</v>
      </c>
      <c r="AB3" s="7">
        <v>0</v>
      </c>
      <c r="AC3" s="7">
        <v>0</v>
      </c>
      <c r="AD3" s="7">
        <v>0</v>
      </c>
      <c r="AE3" s="7">
        <v>0</v>
      </c>
      <c r="AF3" s="7">
        <v>0</v>
      </c>
      <c r="AG3" s="7">
        <v>0</v>
      </c>
      <c r="AH3" s="7">
        <v>3</v>
      </c>
      <c r="AI3" s="7">
        <v>1</v>
      </c>
      <c r="AJ3" s="7">
        <v>1</v>
      </c>
      <c r="AK3" s="7">
        <v>1</v>
      </c>
      <c r="AL3" s="7">
        <v>1</v>
      </c>
      <c r="AM3" s="7">
        <v>2</v>
      </c>
      <c r="AN3" s="7">
        <v>1</v>
      </c>
      <c r="AO3" s="7">
        <v>2</v>
      </c>
      <c r="AP3" s="7">
        <v>2</v>
      </c>
      <c r="AQ3" s="7">
        <v>23</v>
      </c>
      <c r="AR3" s="7">
        <v>23</v>
      </c>
      <c r="AS3" s="7">
        <v>2</v>
      </c>
      <c r="AT3" s="7">
        <v>3</v>
      </c>
      <c r="AU3" s="7">
        <v>35</v>
      </c>
      <c r="AV3" s="7">
        <v>10</v>
      </c>
      <c r="AW3" s="7">
        <v>64</v>
      </c>
      <c r="AX3" s="7">
        <v>13</v>
      </c>
      <c r="AY3" s="7">
        <v>123</v>
      </c>
      <c r="AZ3" s="7">
        <v>32</v>
      </c>
      <c r="BA3" s="7">
        <v>250</v>
      </c>
      <c r="BB3" s="7">
        <f>5166/1000</f>
        <v>5.1660000000000004</v>
      </c>
      <c r="BC3" s="8"/>
      <c r="BD3" s="8"/>
    </row>
    <row r="4" spans="1:56" x14ac:dyDescent="0.25">
      <c r="A4" s="12"/>
      <c r="B4" s="2"/>
      <c r="C4" s="2" t="s">
        <v>8</v>
      </c>
      <c r="D4" s="3">
        <v>1748</v>
      </c>
      <c r="E4" s="3">
        <v>2923</v>
      </c>
      <c r="F4" s="3">
        <v>2613</v>
      </c>
      <c r="G4" s="3">
        <v>3422</v>
      </c>
      <c r="H4" s="3">
        <v>2667</v>
      </c>
      <c r="I4" s="3">
        <v>3855</v>
      </c>
      <c r="J4" s="3">
        <v>4117</v>
      </c>
      <c r="K4" s="3">
        <v>3229</v>
      </c>
      <c r="L4" s="3">
        <v>3765</v>
      </c>
      <c r="M4" s="3">
        <v>5559</v>
      </c>
      <c r="N4" s="3">
        <v>6441</v>
      </c>
      <c r="O4" s="3">
        <v>2537</v>
      </c>
      <c r="P4" s="3">
        <v>4702</v>
      </c>
      <c r="Q4" s="3">
        <v>5716</v>
      </c>
      <c r="R4" s="3">
        <v>3485</v>
      </c>
      <c r="S4" s="3">
        <v>3238</v>
      </c>
      <c r="T4" s="3">
        <v>5231</v>
      </c>
      <c r="U4" s="3">
        <v>5916</v>
      </c>
      <c r="V4" s="3">
        <v>5965</v>
      </c>
      <c r="W4" s="3">
        <v>3417</v>
      </c>
      <c r="X4" s="3">
        <v>9098</v>
      </c>
      <c r="Y4" s="3">
        <v>5765</v>
      </c>
      <c r="Z4" s="3">
        <v>6056</v>
      </c>
      <c r="AA4" s="3">
        <v>5448</v>
      </c>
      <c r="AB4" s="3">
        <v>7126</v>
      </c>
      <c r="AC4" s="3">
        <v>7367</v>
      </c>
      <c r="AD4" s="3">
        <v>4032</v>
      </c>
      <c r="AE4" s="3">
        <v>4340</v>
      </c>
      <c r="AF4" s="3">
        <v>1800</v>
      </c>
      <c r="AG4" s="3">
        <v>2800</v>
      </c>
      <c r="AH4" s="3">
        <v>4000</v>
      </c>
      <c r="AI4" s="3">
        <v>6070</v>
      </c>
      <c r="AJ4" s="3">
        <v>4749</v>
      </c>
      <c r="AK4" s="3">
        <v>4100</v>
      </c>
      <c r="AL4" s="3">
        <v>5782</v>
      </c>
      <c r="AM4" s="3">
        <v>7494</v>
      </c>
      <c r="AN4" s="3">
        <v>10828</v>
      </c>
      <c r="AO4" s="3">
        <v>12222</v>
      </c>
      <c r="AP4" s="3">
        <v>7882</v>
      </c>
      <c r="AQ4" s="3">
        <v>11923</v>
      </c>
      <c r="AR4" s="3">
        <v>9676</v>
      </c>
      <c r="AS4" s="3">
        <v>10864</v>
      </c>
      <c r="AT4" s="3">
        <v>11199</v>
      </c>
      <c r="AU4" s="3">
        <v>10944</v>
      </c>
      <c r="AV4" s="3">
        <v>14574</v>
      </c>
      <c r="AW4" s="3">
        <v>9464</v>
      </c>
      <c r="AX4" s="3">
        <v>15309</v>
      </c>
      <c r="AY4" s="3">
        <v>14798</v>
      </c>
      <c r="AZ4" s="3">
        <v>10318</v>
      </c>
      <c r="BA4" s="3">
        <v>16500</v>
      </c>
      <c r="BB4" s="3">
        <f>15805601/1000</f>
        <v>15805.601000000001</v>
      </c>
      <c r="BC4" s="8"/>
      <c r="BD4" s="8"/>
    </row>
    <row r="5" spans="1:56" s="5" customFormat="1" x14ac:dyDescent="0.25">
      <c r="A5" s="14"/>
      <c r="B5" s="6"/>
      <c r="C5" s="6" t="s">
        <v>9</v>
      </c>
      <c r="D5" s="8">
        <v>3076</v>
      </c>
      <c r="E5" s="8">
        <v>2331</v>
      </c>
      <c r="F5" s="8">
        <v>1624</v>
      </c>
      <c r="G5" s="8">
        <v>2016</v>
      </c>
      <c r="H5" s="8">
        <v>2447</v>
      </c>
      <c r="I5" s="8">
        <v>3205</v>
      </c>
      <c r="J5" s="8">
        <v>3781</v>
      </c>
      <c r="K5" s="8">
        <v>3377</v>
      </c>
      <c r="L5" s="8">
        <v>3103</v>
      </c>
      <c r="M5" s="8">
        <v>3823</v>
      </c>
      <c r="N5" s="8">
        <v>2977</v>
      </c>
      <c r="O5" s="8">
        <v>3855</v>
      </c>
      <c r="P5" s="8">
        <v>3936</v>
      </c>
      <c r="Q5" s="8">
        <v>4457</v>
      </c>
      <c r="R5" s="8">
        <v>3632</v>
      </c>
      <c r="S5" s="8">
        <v>2863</v>
      </c>
      <c r="T5" s="8">
        <v>3401</v>
      </c>
      <c r="U5" s="8">
        <v>3533</v>
      </c>
      <c r="V5" s="8">
        <v>3296</v>
      </c>
      <c r="W5" s="8">
        <v>3048</v>
      </c>
      <c r="X5" s="8">
        <v>3700</v>
      </c>
      <c r="Y5" s="8">
        <v>3500</v>
      </c>
      <c r="Z5" s="8">
        <v>3200</v>
      </c>
      <c r="AA5" s="8">
        <v>4250</v>
      </c>
      <c r="AB5" s="8">
        <v>4475</v>
      </c>
      <c r="AC5" s="8">
        <v>5000</v>
      </c>
      <c r="AD5" s="8">
        <v>5250</v>
      </c>
      <c r="AE5" s="8">
        <v>4666</v>
      </c>
      <c r="AF5" s="8">
        <v>3000</v>
      </c>
      <c r="AG5" s="8">
        <v>2900</v>
      </c>
      <c r="AH5" s="8">
        <v>3303</v>
      </c>
      <c r="AI5" s="8">
        <v>4401</v>
      </c>
      <c r="AJ5" s="8">
        <v>5102</v>
      </c>
      <c r="AK5" s="8">
        <v>5766</v>
      </c>
      <c r="AL5" s="8">
        <v>5479</v>
      </c>
      <c r="AM5" s="8">
        <v>4308</v>
      </c>
      <c r="AN5" s="8">
        <v>4323</v>
      </c>
      <c r="AO5" s="8">
        <v>6350</v>
      </c>
      <c r="AP5" s="8">
        <v>6450</v>
      </c>
      <c r="AQ5" s="8">
        <v>5520</v>
      </c>
      <c r="AR5" s="8">
        <v>5600</v>
      </c>
      <c r="AS5" s="8">
        <v>4150</v>
      </c>
      <c r="AT5" s="8">
        <v>4100</v>
      </c>
      <c r="AU5" s="8">
        <v>4400</v>
      </c>
      <c r="AV5" s="8">
        <v>5200</v>
      </c>
      <c r="AW5" s="8">
        <v>6200</v>
      </c>
      <c r="AX5" s="8">
        <v>6700</v>
      </c>
      <c r="AY5" s="8">
        <v>7000</v>
      </c>
      <c r="AZ5" s="8">
        <v>6400</v>
      </c>
      <c r="BA5" s="8">
        <v>6900</v>
      </c>
      <c r="BB5" s="8">
        <f>BB2+BB3-BB4</f>
        <v>7999.3950000000023</v>
      </c>
      <c r="BC5" s="8"/>
      <c r="BD5" s="8"/>
    </row>
    <row r="6" spans="1:56" x14ac:dyDescent="0.25">
      <c r="A6" s="12"/>
      <c r="B6" s="2" t="s">
        <v>10</v>
      </c>
      <c r="C6" s="2" t="s">
        <v>6</v>
      </c>
      <c r="D6" s="4">
        <v>569</v>
      </c>
      <c r="E6" s="4">
        <v>496</v>
      </c>
      <c r="F6" s="4">
        <v>612</v>
      </c>
      <c r="G6" s="4">
        <v>450</v>
      </c>
      <c r="H6" s="4">
        <v>635</v>
      </c>
      <c r="I6" s="4">
        <v>530</v>
      </c>
      <c r="J6" s="4">
        <v>400</v>
      </c>
      <c r="K6" s="4">
        <v>335</v>
      </c>
      <c r="L6" s="4">
        <v>515</v>
      </c>
      <c r="M6" s="4">
        <v>665</v>
      </c>
      <c r="N6" s="4">
        <v>385</v>
      </c>
      <c r="O6" s="4">
        <v>415</v>
      </c>
      <c r="P6" s="4">
        <v>560</v>
      </c>
      <c r="Q6" s="4">
        <v>580</v>
      </c>
      <c r="R6" s="4">
        <v>789</v>
      </c>
      <c r="S6" s="4">
        <v>641</v>
      </c>
      <c r="T6" s="4">
        <v>735</v>
      </c>
      <c r="U6" s="3">
        <v>1056</v>
      </c>
      <c r="V6" s="4">
        <v>798</v>
      </c>
      <c r="W6" s="4">
        <v>735</v>
      </c>
      <c r="X6" s="4">
        <v>390</v>
      </c>
      <c r="Y6" s="4">
        <v>701</v>
      </c>
      <c r="Z6" s="4">
        <v>512</v>
      </c>
      <c r="AA6" s="4">
        <v>826</v>
      </c>
      <c r="AB6" s="4">
        <v>786</v>
      </c>
      <c r="AC6" s="4">
        <v>547</v>
      </c>
      <c r="AD6" s="4">
        <v>482</v>
      </c>
      <c r="AE6" s="3">
        <v>1295</v>
      </c>
      <c r="AF6" s="4">
        <v>896</v>
      </c>
      <c r="AG6" s="3">
        <v>1272</v>
      </c>
      <c r="AH6" s="3">
        <v>1355</v>
      </c>
      <c r="AI6" s="3">
        <v>1148</v>
      </c>
      <c r="AJ6" s="4">
        <v>666</v>
      </c>
      <c r="AK6" s="3">
        <v>1079</v>
      </c>
      <c r="AL6" s="3">
        <v>1637</v>
      </c>
      <c r="AM6" s="3">
        <v>2090</v>
      </c>
      <c r="AN6" s="3">
        <v>1493</v>
      </c>
      <c r="AO6" s="3">
        <v>1428</v>
      </c>
      <c r="AP6" s="4">
        <v>918</v>
      </c>
      <c r="AQ6" s="4">
        <v>615</v>
      </c>
      <c r="AR6" s="4">
        <v>758</v>
      </c>
      <c r="AS6" s="4">
        <v>300</v>
      </c>
      <c r="AT6" s="4">
        <v>290</v>
      </c>
      <c r="AU6" s="4">
        <v>515</v>
      </c>
      <c r="AV6" s="4">
        <v>675</v>
      </c>
      <c r="AW6" s="4">
        <v>625</v>
      </c>
      <c r="AX6" s="4">
        <v>800</v>
      </c>
      <c r="AY6" s="4">
        <v>703</v>
      </c>
      <c r="AZ6" s="4">
        <v>600</v>
      </c>
      <c r="BA6" s="3">
        <v>1000</v>
      </c>
      <c r="BB6" s="3">
        <v>1250</v>
      </c>
      <c r="BC6" s="8">
        <f>320000/1000</f>
        <v>320</v>
      </c>
      <c r="BD6" s="8">
        <f>234000/1000</f>
        <v>234</v>
      </c>
    </row>
    <row r="7" spans="1:56" s="5" customFormat="1" x14ac:dyDescent="0.25">
      <c r="A7" s="14"/>
      <c r="B7" s="6"/>
      <c r="C7" s="6" t="s">
        <v>7</v>
      </c>
      <c r="D7" s="7">
        <v>29</v>
      </c>
      <c r="E7" s="7">
        <v>26</v>
      </c>
      <c r="F7" s="7">
        <v>23</v>
      </c>
      <c r="G7" s="7">
        <v>33</v>
      </c>
      <c r="H7" s="7">
        <v>73</v>
      </c>
      <c r="I7" s="7">
        <v>71</v>
      </c>
      <c r="J7" s="7">
        <v>49</v>
      </c>
      <c r="K7" s="7">
        <v>27</v>
      </c>
      <c r="L7" s="7">
        <v>85</v>
      </c>
      <c r="M7" s="7">
        <v>36</v>
      </c>
      <c r="N7" s="7">
        <v>37</v>
      </c>
      <c r="O7" s="7">
        <v>135</v>
      </c>
      <c r="P7" s="7">
        <v>37</v>
      </c>
      <c r="Q7" s="7">
        <v>39</v>
      </c>
      <c r="R7" s="7">
        <v>50</v>
      </c>
      <c r="S7" s="7">
        <v>15</v>
      </c>
      <c r="T7" s="7">
        <v>11</v>
      </c>
      <c r="U7" s="7">
        <v>36</v>
      </c>
      <c r="V7" s="7">
        <v>32</v>
      </c>
      <c r="W7" s="7">
        <v>21</v>
      </c>
      <c r="X7" s="7">
        <v>58</v>
      </c>
      <c r="Y7" s="7">
        <v>71</v>
      </c>
      <c r="Z7" s="7">
        <v>71</v>
      </c>
      <c r="AA7" s="7">
        <v>21</v>
      </c>
      <c r="AB7" s="7">
        <v>40</v>
      </c>
      <c r="AC7" s="7">
        <v>88</v>
      </c>
      <c r="AD7" s="7">
        <v>102</v>
      </c>
      <c r="AE7" s="7">
        <v>92</v>
      </c>
      <c r="AF7" s="7">
        <v>3</v>
      </c>
      <c r="AG7" s="7">
        <v>44</v>
      </c>
      <c r="AH7" s="7">
        <v>28</v>
      </c>
      <c r="AI7" s="7">
        <v>2</v>
      </c>
      <c r="AJ7" s="7">
        <v>9</v>
      </c>
      <c r="AK7" s="7">
        <v>69</v>
      </c>
      <c r="AL7" s="7">
        <v>39</v>
      </c>
      <c r="AM7" s="7">
        <v>28</v>
      </c>
      <c r="AN7" s="7">
        <v>5</v>
      </c>
      <c r="AO7" s="7">
        <v>25</v>
      </c>
      <c r="AP7" s="7">
        <v>20</v>
      </c>
      <c r="AQ7" s="7">
        <v>41</v>
      </c>
      <c r="AR7" s="7">
        <v>11</v>
      </c>
      <c r="AS7" s="7">
        <v>22</v>
      </c>
      <c r="AT7" s="7">
        <v>254</v>
      </c>
      <c r="AU7" s="7">
        <v>206</v>
      </c>
      <c r="AV7" s="7">
        <v>110</v>
      </c>
      <c r="AW7" s="7">
        <v>157</v>
      </c>
      <c r="AX7" s="7">
        <v>176</v>
      </c>
      <c r="AY7" s="7">
        <v>181</v>
      </c>
      <c r="AZ7" s="7">
        <v>98</v>
      </c>
      <c r="BA7" s="7">
        <v>77</v>
      </c>
      <c r="BB7" s="7">
        <v>50</v>
      </c>
      <c r="BC7" s="8">
        <f>6694/1000</f>
        <v>6.694</v>
      </c>
      <c r="BD7" s="8"/>
    </row>
    <row r="8" spans="1:56" x14ac:dyDescent="0.25">
      <c r="A8" s="12"/>
      <c r="B8" s="2"/>
      <c r="C8" s="2" t="s">
        <v>8</v>
      </c>
      <c r="D8" s="4">
        <v>66</v>
      </c>
      <c r="E8" s="4">
        <v>141</v>
      </c>
      <c r="F8" s="4">
        <v>216</v>
      </c>
      <c r="G8" s="4">
        <v>100</v>
      </c>
      <c r="H8" s="4">
        <v>1</v>
      </c>
      <c r="I8" s="4">
        <v>34</v>
      </c>
      <c r="J8" s="4">
        <v>127</v>
      </c>
      <c r="K8" s="4">
        <v>25</v>
      </c>
      <c r="L8" s="4">
        <v>1</v>
      </c>
      <c r="M8" s="4">
        <v>56</v>
      </c>
      <c r="N8" s="4">
        <v>209</v>
      </c>
      <c r="O8" s="4">
        <v>1</v>
      </c>
      <c r="P8" s="4">
        <v>0</v>
      </c>
      <c r="Q8" s="4">
        <v>45</v>
      </c>
      <c r="R8" s="4">
        <v>30</v>
      </c>
      <c r="S8" s="4">
        <v>393</v>
      </c>
      <c r="T8" s="4">
        <v>347</v>
      </c>
      <c r="U8" s="4">
        <v>425</v>
      </c>
      <c r="V8" s="4">
        <v>320</v>
      </c>
      <c r="W8" s="4">
        <v>541</v>
      </c>
      <c r="X8" s="4">
        <v>150</v>
      </c>
      <c r="Y8" s="4">
        <v>295</v>
      </c>
      <c r="Z8" s="4">
        <v>113</v>
      </c>
      <c r="AA8" s="4">
        <v>117</v>
      </c>
      <c r="AB8" s="4">
        <v>367</v>
      </c>
      <c r="AC8" s="4">
        <v>245</v>
      </c>
      <c r="AD8" s="4">
        <v>66</v>
      </c>
      <c r="AE8" s="4">
        <v>253</v>
      </c>
      <c r="AF8" s="4">
        <v>551</v>
      </c>
      <c r="AG8" s="4">
        <v>568</v>
      </c>
      <c r="AH8" s="4">
        <v>646</v>
      </c>
      <c r="AI8" s="4">
        <v>566</v>
      </c>
      <c r="AJ8" s="4">
        <v>299</v>
      </c>
      <c r="AK8" s="4">
        <v>317</v>
      </c>
      <c r="AL8" s="4">
        <v>905</v>
      </c>
      <c r="AM8" s="3">
        <v>1222</v>
      </c>
      <c r="AN8" s="3">
        <v>1332</v>
      </c>
      <c r="AO8" s="3">
        <v>1000</v>
      </c>
      <c r="AP8" s="3">
        <v>1100</v>
      </c>
      <c r="AQ8" s="4">
        <v>319</v>
      </c>
      <c r="AR8" s="4">
        <v>446</v>
      </c>
      <c r="AS8" s="4">
        <v>231</v>
      </c>
      <c r="AT8" s="4">
        <v>26</v>
      </c>
      <c r="AU8" s="4">
        <v>28</v>
      </c>
      <c r="AV8" s="4">
        <v>98</v>
      </c>
      <c r="AW8" s="4">
        <v>52</v>
      </c>
      <c r="AX8" s="4">
        <v>33</v>
      </c>
      <c r="AY8" s="4">
        <v>14</v>
      </c>
      <c r="AZ8" s="4">
        <v>52</v>
      </c>
      <c r="BA8" s="4">
        <v>56</v>
      </c>
      <c r="BB8" s="4">
        <v>350</v>
      </c>
      <c r="BC8" s="8">
        <f>90595/1000</f>
        <v>90.594999999999999</v>
      </c>
      <c r="BD8" s="8"/>
    </row>
    <row r="9" spans="1:56" s="5" customFormat="1" x14ac:dyDescent="0.25">
      <c r="A9" s="14"/>
      <c r="B9" s="6"/>
      <c r="C9" s="6" t="s">
        <v>9</v>
      </c>
      <c r="D9" s="7">
        <v>502</v>
      </c>
      <c r="E9" s="7">
        <v>481</v>
      </c>
      <c r="F9" s="7">
        <v>355</v>
      </c>
      <c r="G9" s="7">
        <v>462</v>
      </c>
      <c r="H9" s="7">
        <v>512</v>
      </c>
      <c r="I9" s="7">
        <v>517</v>
      </c>
      <c r="J9" s="7">
        <v>492</v>
      </c>
      <c r="K9" s="7">
        <v>437</v>
      </c>
      <c r="L9" s="7">
        <v>450</v>
      </c>
      <c r="M9" s="7">
        <v>490</v>
      </c>
      <c r="N9" s="7">
        <v>490</v>
      </c>
      <c r="O9" s="7">
        <v>513</v>
      </c>
      <c r="P9" s="7">
        <v>483</v>
      </c>
      <c r="Q9" s="7">
        <v>545</v>
      </c>
      <c r="R9" s="7">
        <v>564</v>
      </c>
      <c r="S9" s="7">
        <v>557</v>
      </c>
      <c r="T9" s="7">
        <v>535</v>
      </c>
      <c r="U9" s="7">
        <v>477</v>
      </c>
      <c r="V9" s="7">
        <v>523</v>
      </c>
      <c r="W9" s="7">
        <v>484</v>
      </c>
      <c r="X9" s="7">
        <v>406</v>
      </c>
      <c r="Y9" s="7">
        <v>381</v>
      </c>
      <c r="Z9" s="7">
        <v>497</v>
      </c>
      <c r="AA9" s="7">
        <v>538</v>
      </c>
      <c r="AB9" s="7">
        <v>487</v>
      </c>
      <c r="AC9" s="7">
        <v>563</v>
      </c>
      <c r="AD9" s="7">
        <v>623</v>
      </c>
      <c r="AE9" s="7">
        <v>598</v>
      </c>
      <c r="AF9" s="7">
        <v>565</v>
      </c>
      <c r="AG9" s="7">
        <v>542</v>
      </c>
      <c r="AH9" s="7">
        <v>624</v>
      </c>
      <c r="AI9" s="7">
        <v>615</v>
      </c>
      <c r="AJ9" s="7">
        <v>597</v>
      </c>
      <c r="AK9" s="7">
        <v>551</v>
      </c>
      <c r="AL9" s="7">
        <v>468</v>
      </c>
      <c r="AM9" s="7">
        <v>468</v>
      </c>
      <c r="AN9" s="7">
        <v>479</v>
      </c>
      <c r="AO9" s="7">
        <v>434</v>
      </c>
      <c r="AP9" s="7">
        <v>389</v>
      </c>
      <c r="AQ9" s="7">
        <v>409</v>
      </c>
      <c r="AR9" s="7">
        <v>359</v>
      </c>
      <c r="AS9" s="7">
        <v>284</v>
      </c>
      <c r="AT9" s="7">
        <v>534</v>
      </c>
      <c r="AU9" s="7">
        <v>559</v>
      </c>
      <c r="AV9" s="7">
        <v>629</v>
      </c>
      <c r="AW9" s="7">
        <v>709</v>
      </c>
      <c r="AX9" s="7">
        <v>794</v>
      </c>
      <c r="AY9" s="7">
        <v>834</v>
      </c>
      <c r="AZ9" s="7">
        <v>784</v>
      </c>
      <c r="BA9" s="7">
        <v>784</v>
      </c>
      <c r="BB9" s="8">
        <v>834</v>
      </c>
      <c r="BC9" s="8">
        <f>BC6+BC7-BC8</f>
        <v>236.09900000000002</v>
      </c>
      <c r="BD9" s="8"/>
    </row>
    <row r="10" spans="1:56" x14ac:dyDescent="0.25">
      <c r="A10" s="12"/>
      <c r="B10" s="2" t="s">
        <v>11</v>
      </c>
      <c r="C10" s="2" t="s">
        <v>6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3">
        <v>7000</v>
      </c>
      <c r="AE10" s="3">
        <v>10000</v>
      </c>
      <c r="AF10" s="3">
        <v>6500</v>
      </c>
      <c r="AG10" s="3">
        <v>10750</v>
      </c>
      <c r="AH10" s="3">
        <v>11500</v>
      </c>
      <c r="AI10" s="3">
        <v>11350</v>
      </c>
      <c r="AJ10" s="3">
        <v>11350</v>
      </c>
      <c r="AK10" s="3">
        <v>12400</v>
      </c>
      <c r="AL10" s="3">
        <v>12500</v>
      </c>
      <c r="AM10" s="3">
        <v>12480</v>
      </c>
      <c r="AN10" s="3">
        <v>11200</v>
      </c>
      <c r="AO10" s="3">
        <v>19500</v>
      </c>
      <c r="AP10" s="3">
        <v>20000</v>
      </c>
      <c r="AQ10" s="3">
        <v>21200</v>
      </c>
      <c r="AR10" s="3">
        <v>27800</v>
      </c>
      <c r="AS10" s="3">
        <v>30000</v>
      </c>
      <c r="AT10" s="3">
        <v>35500</v>
      </c>
      <c r="AU10" s="3">
        <v>33000</v>
      </c>
      <c r="AV10" s="3">
        <v>39000</v>
      </c>
      <c r="AW10" s="3">
        <v>40500</v>
      </c>
      <c r="AX10" s="3">
        <v>48800</v>
      </c>
      <c r="AY10" s="3">
        <v>46200</v>
      </c>
      <c r="AZ10" s="3">
        <v>32000</v>
      </c>
      <c r="BA10" s="3">
        <v>54500</v>
      </c>
      <c r="BB10" s="3">
        <v>49500</v>
      </c>
      <c r="BC10" s="8">
        <f>48888538/1000</f>
        <v>48888.538</v>
      </c>
      <c r="BD10" s="8">
        <f>40100197/1000</f>
        <v>40100.197</v>
      </c>
    </row>
    <row r="11" spans="1:56" s="5" customFormat="1" x14ac:dyDescent="0.25">
      <c r="A11" s="14"/>
      <c r="B11" s="6"/>
      <c r="C11" s="6" t="s">
        <v>7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4</v>
      </c>
      <c r="AK11" s="7">
        <v>60</v>
      </c>
      <c r="AL11" s="7">
        <v>88</v>
      </c>
      <c r="AM11" s="7">
        <v>92</v>
      </c>
      <c r="AN11" s="7">
        <v>356</v>
      </c>
      <c r="AO11" s="7">
        <v>948</v>
      </c>
      <c r="AP11" s="7">
        <v>275</v>
      </c>
      <c r="AQ11" s="7">
        <v>218</v>
      </c>
      <c r="AR11" s="7">
        <v>320</v>
      </c>
      <c r="AS11" s="7">
        <v>251</v>
      </c>
      <c r="AT11" s="7">
        <v>383</v>
      </c>
      <c r="AU11" s="7">
        <v>537</v>
      </c>
      <c r="AV11" s="7">
        <v>692</v>
      </c>
      <c r="AW11" s="7">
        <v>584</v>
      </c>
      <c r="AX11" s="8">
        <v>1986</v>
      </c>
      <c r="AY11" s="8">
        <v>2954</v>
      </c>
      <c r="AZ11" s="8">
        <v>1241</v>
      </c>
      <c r="BA11" s="7">
        <v>0</v>
      </c>
      <c r="BB11" s="7">
        <v>0</v>
      </c>
      <c r="BC11" s="8">
        <f>12862/1000</f>
        <v>12.862</v>
      </c>
      <c r="BD11" s="8"/>
    </row>
    <row r="12" spans="1:56" x14ac:dyDescent="0.25">
      <c r="A12" s="12"/>
      <c r="B12" s="2"/>
      <c r="C12" s="2" t="s">
        <v>8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3">
        <v>2088</v>
      </c>
      <c r="AF12" s="4">
        <v>445</v>
      </c>
      <c r="AG12" s="3">
        <v>2968</v>
      </c>
      <c r="AH12" s="3">
        <v>4469</v>
      </c>
      <c r="AI12" s="3">
        <v>3213</v>
      </c>
      <c r="AJ12" s="3">
        <v>2211</v>
      </c>
      <c r="AK12" s="3">
        <v>3023</v>
      </c>
      <c r="AL12" s="3">
        <v>2581</v>
      </c>
      <c r="AM12" s="3">
        <v>2103</v>
      </c>
      <c r="AN12" s="4">
        <v>757</v>
      </c>
      <c r="AO12" s="3">
        <v>2821</v>
      </c>
      <c r="AP12" s="3">
        <v>3061</v>
      </c>
      <c r="AQ12" s="3">
        <v>4125</v>
      </c>
      <c r="AR12" s="3">
        <v>7304</v>
      </c>
      <c r="AS12" s="3">
        <v>5960</v>
      </c>
      <c r="AT12" s="3">
        <v>8624</v>
      </c>
      <c r="AU12" s="3">
        <v>6741</v>
      </c>
      <c r="AV12" s="3">
        <v>9568</v>
      </c>
      <c r="AW12" s="3">
        <v>7249</v>
      </c>
      <c r="AX12" s="3">
        <v>9560</v>
      </c>
      <c r="AY12" s="3">
        <v>13839</v>
      </c>
      <c r="AZ12" s="3">
        <v>5590</v>
      </c>
      <c r="BA12" s="3">
        <v>13088</v>
      </c>
      <c r="BB12" s="3">
        <v>11000</v>
      </c>
      <c r="BC12" s="8">
        <f>10820030/1000</f>
        <v>10820.03</v>
      </c>
      <c r="BD12" s="8"/>
    </row>
    <row r="13" spans="1:56" s="5" customFormat="1" x14ac:dyDescent="0.25">
      <c r="A13" s="14"/>
      <c r="B13" s="6"/>
      <c r="C13" s="6" t="s">
        <v>9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8">
        <v>4433</v>
      </c>
      <c r="AE13" s="8">
        <v>5806</v>
      </c>
      <c r="AF13" s="8">
        <v>6404</v>
      </c>
      <c r="AG13" s="8">
        <v>6703</v>
      </c>
      <c r="AH13" s="8">
        <v>7451</v>
      </c>
      <c r="AI13" s="8">
        <v>8225</v>
      </c>
      <c r="AJ13" s="8">
        <v>9018</v>
      </c>
      <c r="AK13" s="8">
        <v>9305</v>
      </c>
      <c r="AL13" s="8">
        <v>9247</v>
      </c>
      <c r="AM13" s="8">
        <v>10830</v>
      </c>
      <c r="AN13" s="8">
        <v>11628</v>
      </c>
      <c r="AO13" s="8">
        <v>13560</v>
      </c>
      <c r="AP13" s="8">
        <v>18317</v>
      </c>
      <c r="AQ13" s="8">
        <v>17927</v>
      </c>
      <c r="AR13" s="8">
        <v>18331</v>
      </c>
      <c r="AS13" s="8">
        <v>22012</v>
      </c>
      <c r="AT13" s="8">
        <v>24813</v>
      </c>
      <c r="AU13" s="8">
        <v>26443</v>
      </c>
      <c r="AV13" s="8">
        <v>28763</v>
      </c>
      <c r="AW13" s="8">
        <v>33338</v>
      </c>
      <c r="AX13" s="8">
        <v>35093</v>
      </c>
      <c r="AY13" s="8">
        <v>36161</v>
      </c>
      <c r="AZ13" s="8">
        <v>32823</v>
      </c>
      <c r="BA13" s="8">
        <v>35723</v>
      </c>
      <c r="BB13" s="8">
        <v>39865</v>
      </c>
      <c r="BC13" s="8">
        <f>BC10+BC11-BC12</f>
        <v>38081.370000000003</v>
      </c>
      <c r="BD13" s="8"/>
    </row>
    <row r="14" spans="1:56" x14ac:dyDescent="0.25">
      <c r="A14" s="12"/>
      <c r="B14" s="2" t="s">
        <v>12</v>
      </c>
      <c r="C14" s="2" t="s">
        <v>6</v>
      </c>
      <c r="D14" s="4">
        <v>97</v>
      </c>
      <c r="E14" s="4">
        <v>118</v>
      </c>
      <c r="F14" s="4">
        <v>116</v>
      </c>
      <c r="G14" s="4">
        <v>124</v>
      </c>
      <c r="H14" s="4">
        <v>174</v>
      </c>
      <c r="I14" s="4">
        <v>107</v>
      </c>
      <c r="J14" s="4">
        <v>141</v>
      </c>
      <c r="K14" s="4">
        <v>184</v>
      </c>
      <c r="L14" s="4">
        <v>224</v>
      </c>
      <c r="M14" s="4">
        <v>265</v>
      </c>
      <c r="N14" s="4">
        <v>187</v>
      </c>
      <c r="O14" s="4">
        <v>191</v>
      </c>
      <c r="P14" s="4">
        <v>169</v>
      </c>
      <c r="Q14" s="4">
        <v>205</v>
      </c>
      <c r="R14" s="4">
        <v>228</v>
      </c>
      <c r="S14" s="4">
        <v>201</v>
      </c>
      <c r="T14" s="4">
        <v>208</v>
      </c>
      <c r="U14" s="4">
        <v>201</v>
      </c>
      <c r="V14" s="4">
        <v>203</v>
      </c>
      <c r="W14" s="4">
        <v>173</v>
      </c>
      <c r="X14" s="4">
        <v>186</v>
      </c>
      <c r="Y14" s="4">
        <v>230</v>
      </c>
      <c r="Z14" s="4">
        <v>180</v>
      </c>
      <c r="AA14" s="4">
        <v>309</v>
      </c>
      <c r="AB14" s="4">
        <v>260</v>
      </c>
      <c r="AC14" s="4">
        <v>283</v>
      </c>
      <c r="AD14" s="4">
        <v>229</v>
      </c>
      <c r="AE14" s="4">
        <v>247</v>
      </c>
      <c r="AF14" s="4">
        <v>291</v>
      </c>
      <c r="AG14" s="4">
        <v>215</v>
      </c>
      <c r="AH14" s="4">
        <v>299</v>
      </c>
      <c r="AI14" s="4">
        <v>425</v>
      </c>
      <c r="AJ14" s="4">
        <v>395</v>
      </c>
      <c r="AK14" s="4">
        <v>395</v>
      </c>
      <c r="AL14" s="4">
        <v>602</v>
      </c>
      <c r="AM14" s="4">
        <v>641</v>
      </c>
      <c r="AN14" s="4">
        <v>783</v>
      </c>
      <c r="AO14" s="4">
        <v>673</v>
      </c>
      <c r="AP14" s="3">
        <v>1078</v>
      </c>
      <c r="AQ14" s="4">
        <v>588</v>
      </c>
      <c r="AR14" s="4">
        <v>567</v>
      </c>
      <c r="AS14" s="4">
        <v>463</v>
      </c>
      <c r="AT14" s="4">
        <v>467</v>
      </c>
      <c r="AU14" s="4">
        <v>742</v>
      </c>
      <c r="AV14" s="4">
        <v>683</v>
      </c>
      <c r="AW14" s="4">
        <v>764</v>
      </c>
      <c r="AX14" s="4">
        <v>691</v>
      </c>
      <c r="AY14" s="4">
        <v>810</v>
      </c>
      <c r="AZ14" s="4">
        <v>867</v>
      </c>
      <c r="BA14" s="4">
        <v>706</v>
      </c>
      <c r="BB14" s="3">
        <v>1138</v>
      </c>
      <c r="BC14" s="8">
        <f>1748075/1000</f>
        <v>1748.075</v>
      </c>
      <c r="BD14" s="8">
        <f>1567971/1000</f>
        <v>1567.971</v>
      </c>
    </row>
    <row r="15" spans="1:56" s="5" customFormat="1" x14ac:dyDescent="0.25">
      <c r="A15" s="14"/>
      <c r="B15" s="6"/>
      <c r="C15" s="6" t="s">
        <v>7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9</v>
      </c>
      <c r="Y15" s="7">
        <v>0</v>
      </c>
      <c r="Z15" s="7">
        <v>0</v>
      </c>
      <c r="AA15" s="7">
        <v>0</v>
      </c>
      <c r="AB15" s="7">
        <v>0</v>
      </c>
      <c r="AC15" s="7">
        <v>2</v>
      </c>
      <c r="AD15" s="7">
        <v>0</v>
      </c>
      <c r="AE15" s="7">
        <v>0</v>
      </c>
      <c r="AF15" s="7">
        <v>0</v>
      </c>
      <c r="AG15" s="7">
        <v>4</v>
      </c>
      <c r="AH15" s="7">
        <v>1</v>
      </c>
      <c r="AI15" s="7">
        <v>2</v>
      </c>
      <c r="AJ15" s="7">
        <v>1</v>
      </c>
      <c r="AK15" s="7">
        <v>6</v>
      </c>
      <c r="AL15" s="7">
        <v>5</v>
      </c>
      <c r="AM15" s="7">
        <v>7</v>
      </c>
      <c r="AN15" s="7">
        <v>9</v>
      </c>
      <c r="AO15" s="7">
        <v>8</v>
      </c>
      <c r="AP15" s="7">
        <v>15</v>
      </c>
      <c r="AQ15" s="7">
        <v>15</v>
      </c>
      <c r="AR15" s="7">
        <v>13</v>
      </c>
      <c r="AS15" s="7">
        <v>5</v>
      </c>
      <c r="AT15" s="7">
        <v>14</v>
      </c>
      <c r="AU15" s="7">
        <v>16</v>
      </c>
      <c r="AV15" s="7">
        <v>10</v>
      </c>
      <c r="AW15" s="7">
        <v>8</v>
      </c>
      <c r="AX15" s="7">
        <v>7</v>
      </c>
      <c r="AY15" s="7">
        <v>9</v>
      </c>
      <c r="AZ15" s="7">
        <v>6</v>
      </c>
      <c r="BA15" s="7">
        <v>8</v>
      </c>
      <c r="BB15" s="7">
        <v>5</v>
      </c>
      <c r="BC15" s="8">
        <f>8861/1000</f>
        <v>8.8610000000000007</v>
      </c>
      <c r="BD15" s="8"/>
    </row>
    <row r="16" spans="1:56" x14ac:dyDescent="0.25">
      <c r="A16" s="12"/>
      <c r="B16" s="2"/>
      <c r="C16" s="2" t="s">
        <v>8</v>
      </c>
      <c r="D16" s="4">
        <v>11</v>
      </c>
      <c r="E16" s="4">
        <v>37</v>
      </c>
      <c r="F16" s="4">
        <v>14</v>
      </c>
      <c r="G16" s="4">
        <v>5</v>
      </c>
      <c r="H16" s="4">
        <v>49</v>
      </c>
      <c r="I16" s="4">
        <v>35</v>
      </c>
      <c r="J16" s="4">
        <v>32</v>
      </c>
      <c r="K16" s="4">
        <v>46</v>
      </c>
      <c r="L16" s="4">
        <v>78</v>
      </c>
      <c r="M16" s="4">
        <v>96</v>
      </c>
      <c r="N16" s="4">
        <v>82</v>
      </c>
      <c r="O16" s="4">
        <v>29</v>
      </c>
      <c r="P16" s="4">
        <v>34</v>
      </c>
      <c r="Q16" s="4">
        <v>56</v>
      </c>
      <c r="R16" s="4">
        <v>61</v>
      </c>
      <c r="S16" s="4">
        <v>111</v>
      </c>
      <c r="T16" s="4">
        <v>170</v>
      </c>
      <c r="U16" s="4">
        <v>99</v>
      </c>
      <c r="V16" s="4">
        <v>70</v>
      </c>
      <c r="W16" s="4">
        <v>95</v>
      </c>
      <c r="X16" s="4">
        <v>95</v>
      </c>
      <c r="Y16" s="4">
        <v>97</v>
      </c>
      <c r="Z16" s="4">
        <v>71</v>
      </c>
      <c r="AA16" s="4">
        <v>140</v>
      </c>
      <c r="AB16" s="4">
        <v>165</v>
      </c>
      <c r="AC16" s="4">
        <v>150</v>
      </c>
      <c r="AD16" s="4">
        <v>97</v>
      </c>
      <c r="AE16" s="4">
        <v>43</v>
      </c>
      <c r="AF16" s="4">
        <v>36</v>
      </c>
      <c r="AG16" s="4">
        <v>53</v>
      </c>
      <c r="AH16" s="4">
        <v>75</v>
      </c>
      <c r="AI16" s="4">
        <v>207</v>
      </c>
      <c r="AJ16" s="4">
        <v>276</v>
      </c>
      <c r="AK16" s="4">
        <v>203</v>
      </c>
      <c r="AL16" s="4">
        <v>327</v>
      </c>
      <c r="AM16" s="4">
        <v>366</v>
      </c>
      <c r="AN16" s="4">
        <v>530</v>
      </c>
      <c r="AO16" s="4">
        <v>543</v>
      </c>
      <c r="AP16" s="4">
        <v>741</v>
      </c>
      <c r="AQ16" s="4">
        <v>417</v>
      </c>
      <c r="AR16" s="4">
        <v>381</v>
      </c>
      <c r="AS16" s="4">
        <v>134</v>
      </c>
      <c r="AT16" s="4">
        <v>193</v>
      </c>
      <c r="AU16" s="4">
        <v>294</v>
      </c>
      <c r="AV16" s="4">
        <v>325</v>
      </c>
      <c r="AW16" s="4">
        <v>485</v>
      </c>
      <c r="AX16" s="4">
        <v>452</v>
      </c>
      <c r="AY16" s="4">
        <v>443</v>
      </c>
      <c r="AZ16" s="4">
        <v>554</v>
      </c>
      <c r="BA16" s="4">
        <v>430</v>
      </c>
      <c r="BB16" s="4">
        <v>625</v>
      </c>
      <c r="BC16" s="8">
        <f>729411/1000</f>
        <v>729.41099999999994</v>
      </c>
      <c r="BD16" s="8"/>
    </row>
    <row r="17" spans="1:56" s="5" customFormat="1" x14ac:dyDescent="0.25">
      <c r="A17" s="14"/>
      <c r="B17" s="6"/>
      <c r="C17" s="6" t="s">
        <v>9</v>
      </c>
      <c r="D17" s="7">
        <v>95</v>
      </c>
      <c r="E17" s="7">
        <v>90</v>
      </c>
      <c r="F17" s="7">
        <v>86</v>
      </c>
      <c r="G17" s="7">
        <v>101</v>
      </c>
      <c r="H17" s="7">
        <v>106</v>
      </c>
      <c r="I17" s="7">
        <v>106</v>
      </c>
      <c r="J17" s="7">
        <v>109</v>
      </c>
      <c r="K17" s="7">
        <v>111</v>
      </c>
      <c r="L17" s="7">
        <v>117</v>
      </c>
      <c r="M17" s="7">
        <v>148</v>
      </c>
      <c r="N17" s="7">
        <v>150</v>
      </c>
      <c r="O17" s="7">
        <v>165</v>
      </c>
      <c r="P17" s="7">
        <v>135</v>
      </c>
      <c r="Q17" s="7">
        <v>130</v>
      </c>
      <c r="R17" s="7">
        <v>141</v>
      </c>
      <c r="S17" s="7">
        <v>140</v>
      </c>
      <c r="T17" s="7">
        <v>66</v>
      </c>
      <c r="U17" s="7">
        <v>112</v>
      </c>
      <c r="V17" s="7">
        <v>120</v>
      </c>
      <c r="W17" s="7">
        <v>100</v>
      </c>
      <c r="X17" s="7">
        <v>100</v>
      </c>
      <c r="Y17" s="7">
        <v>115</v>
      </c>
      <c r="Z17" s="7">
        <v>110</v>
      </c>
      <c r="AA17" s="7">
        <v>125</v>
      </c>
      <c r="AB17" s="7">
        <v>125</v>
      </c>
      <c r="AC17" s="7">
        <v>139</v>
      </c>
      <c r="AD17" s="7">
        <v>125</v>
      </c>
      <c r="AE17" s="7">
        <v>200</v>
      </c>
      <c r="AF17" s="7">
        <v>208</v>
      </c>
      <c r="AG17" s="7">
        <v>210</v>
      </c>
      <c r="AH17" s="7">
        <v>219</v>
      </c>
      <c r="AI17" s="7">
        <v>180</v>
      </c>
      <c r="AJ17" s="7">
        <v>175</v>
      </c>
      <c r="AK17" s="7">
        <v>189</v>
      </c>
      <c r="AL17" s="7">
        <v>200</v>
      </c>
      <c r="AM17" s="7">
        <v>210</v>
      </c>
      <c r="AN17" s="7">
        <v>215</v>
      </c>
      <c r="AO17" s="7">
        <v>220</v>
      </c>
      <c r="AP17" s="7">
        <v>225</v>
      </c>
      <c r="AQ17" s="7">
        <v>230</v>
      </c>
      <c r="AR17" s="7">
        <v>325</v>
      </c>
      <c r="AS17" s="7">
        <v>325</v>
      </c>
      <c r="AT17" s="7">
        <v>325</v>
      </c>
      <c r="AU17" s="7">
        <v>350</v>
      </c>
      <c r="AV17" s="7">
        <v>375</v>
      </c>
      <c r="AW17" s="7">
        <v>325</v>
      </c>
      <c r="AX17" s="7">
        <v>325</v>
      </c>
      <c r="AY17" s="7">
        <v>325</v>
      </c>
      <c r="AZ17" s="7">
        <v>330</v>
      </c>
      <c r="BA17" s="7">
        <v>330</v>
      </c>
      <c r="BB17" s="7">
        <v>350</v>
      </c>
      <c r="BC17" s="8">
        <f>BC14+BC15-BC16</f>
        <v>1027.5250000000001</v>
      </c>
      <c r="BD17" s="8"/>
    </row>
    <row r="18" spans="1:56" x14ac:dyDescent="0.25">
      <c r="A18" s="12"/>
      <c r="B18" s="2" t="s">
        <v>13</v>
      </c>
      <c r="C18" s="2" t="s">
        <v>6</v>
      </c>
      <c r="D18" s="3">
        <v>1252</v>
      </c>
      <c r="E18" s="3">
        <v>1394</v>
      </c>
      <c r="F18" s="4">
        <v>952</v>
      </c>
      <c r="G18" s="3">
        <v>1267</v>
      </c>
      <c r="H18" s="4">
        <v>857</v>
      </c>
      <c r="I18" s="3">
        <v>2130</v>
      </c>
      <c r="J18" s="3">
        <v>1380</v>
      </c>
      <c r="K18" s="3">
        <v>1897</v>
      </c>
      <c r="L18" s="3">
        <v>2484</v>
      </c>
      <c r="M18" s="3">
        <v>3820</v>
      </c>
      <c r="N18" s="3">
        <v>4660</v>
      </c>
      <c r="O18" s="3">
        <v>2360</v>
      </c>
      <c r="P18" s="3">
        <v>4600</v>
      </c>
      <c r="Q18" s="3">
        <v>5900</v>
      </c>
      <c r="R18" s="3">
        <v>4830</v>
      </c>
      <c r="S18" s="3">
        <v>5060</v>
      </c>
      <c r="T18" s="3">
        <v>6600</v>
      </c>
      <c r="U18" s="3">
        <v>7200</v>
      </c>
      <c r="V18" s="3">
        <v>6500</v>
      </c>
      <c r="W18" s="3">
        <v>2960</v>
      </c>
      <c r="X18" s="3">
        <v>7100</v>
      </c>
      <c r="Y18" s="3">
        <v>8000</v>
      </c>
      <c r="Z18" s="3">
        <v>7600</v>
      </c>
      <c r="AA18" s="3">
        <v>6900</v>
      </c>
      <c r="AB18" s="3">
        <v>6200</v>
      </c>
      <c r="AC18" s="3">
        <v>4200</v>
      </c>
      <c r="AD18" s="3">
        <v>3100</v>
      </c>
      <c r="AE18" s="3">
        <v>3000</v>
      </c>
      <c r="AF18" s="3">
        <v>1400</v>
      </c>
      <c r="AG18" s="3">
        <v>2050</v>
      </c>
      <c r="AH18" s="3">
        <v>2252</v>
      </c>
      <c r="AI18" s="3">
        <v>2767</v>
      </c>
      <c r="AJ18" s="3">
        <v>2860</v>
      </c>
      <c r="AK18" s="3">
        <v>2270</v>
      </c>
      <c r="AL18" s="3">
        <v>1649</v>
      </c>
      <c r="AM18" s="3">
        <v>2132</v>
      </c>
      <c r="AN18" s="3">
        <v>2499</v>
      </c>
      <c r="AO18" s="3">
        <v>3762</v>
      </c>
      <c r="AP18" s="3">
        <v>3222</v>
      </c>
      <c r="AQ18" s="3">
        <v>3344</v>
      </c>
      <c r="AR18" s="3">
        <v>2706</v>
      </c>
      <c r="AS18" s="3">
        <v>2750</v>
      </c>
      <c r="AT18" s="3">
        <v>2800</v>
      </c>
      <c r="AU18" s="3">
        <v>2165</v>
      </c>
      <c r="AV18" s="3">
        <v>2894</v>
      </c>
      <c r="AW18" s="3">
        <v>2328</v>
      </c>
      <c r="AX18" s="3">
        <v>2795</v>
      </c>
      <c r="AY18" s="3">
        <v>2937</v>
      </c>
      <c r="AZ18" s="3">
        <v>1660</v>
      </c>
      <c r="BA18" s="3">
        <v>3629</v>
      </c>
      <c r="BB18" s="3">
        <v>3800</v>
      </c>
      <c r="BC18" s="8">
        <f>4458442/1000</f>
        <v>4458.442</v>
      </c>
      <c r="BD18" s="8">
        <f>4252310/1000</f>
        <v>4252.3100000000004</v>
      </c>
    </row>
    <row r="19" spans="1:56" s="5" customFormat="1" x14ac:dyDescent="0.25">
      <c r="A19" s="14"/>
      <c r="B19" s="6"/>
      <c r="C19" s="6" t="s">
        <v>7</v>
      </c>
      <c r="D19" s="7">
        <v>3</v>
      </c>
      <c r="E19" s="7">
        <v>5</v>
      </c>
      <c r="F19" s="7">
        <v>4</v>
      </c>
      <c r="G19" s="7">
        <v>5</v>
      </c>
      <c r="H19" s="7">
        <v>6</v>
      </c>
      <c r="I19" s="7">
        <v>3</v>
      </c>
      <c r="J19" s="7">
        <v>2</v>
      </c>
      <c r="K19" s="7">
        <v>3</v>
      </c>
      <c r="L19" s="7">
        <v>1</v>
      </c>
      <c r="M19" s="7">
        <v>1</v>
      </c>
      <c r="N19" s="7">
        <v>1</v>
      </c>
      <c r="O19" s="7">
        <v>1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4</v>
      </c>
      <c r="AO19" s="7">
        <v>4</v>
      </c>
      <c r="AP19" s="7">
        <v>1</v>
      </c>
      <c r="AQ19" s="7">
        <v>1</v>
      </c>
      <c r="AR19" s="7">
        <v>0</v>
      </c>
      <c r="AS19" s="7">
        <v>1</v>
      </c>
      <c r="AT19" s="7">
        <v>1</v>
      </c>
      <c r="AU19" s="7">
        <v>1</v>
      </c>
      <c r="AV19" s="7">
        <v>0</v>
      </c>
      <c r="AW19" s="7">
        <v>0</v>
      </c>
      <c r="AX19" s="7">
        <v>2</v>
      </c>
      <c r="AY19" s="7">
        <v>1</v>
      </c>
      <c r="AZ19" s="7">
        <v>1</v>
      </c>
      <c r="BA19" s="7">
        <v>0</v>
      </c>
      <c r="BB19" s="7">
        <v>0</v>
      </c>
      <c r="BC19" s="8">
        <f>495/1000</f>
        <v>0.495</v>
      </c>
      <c r="BD19" s="8"/>
    </row>
    <row r="20" spans="1:56" x14ac:dyDescent="0.25">
      <c r="A20" s="12"/>
      <c r="B20" s="2"/>
      <c r="C20" s="2" t="s">
        <v>8</v>
      </c>
      <c r="D20" s="4">
        <v>287</v>
      </c>
      <c r="E20" s="4">
        <v>428</v>
      </c>
      <c r="F20" s="4">
        <v>547</v>
      </c>
      <c r="G20" s="4">
        <v>653</v>
      </c>
      <c r="H20" s="4">
        <v>140</v>
      </c>
      <c r="I20" s="3">
        <v>1044</v>
      </c>
      <c r="J20" s="4">
        <v>419</v>
      </c>
      <c r="K20" s="4">
        <v>627</v>
      </c>
      <c r="L20" s="3">
        <v>1316</v>
      </c>
      <c r="M20" s="3">
        <v>1994</v>
      </c>
      <c r="N20" s="3">
        <v>2335</v>
      </c>
      <c r="O20" s="4">
        <v>507</v>
      </c>
      <c r="P20" s="3">
        <v>2278</v>
      </c>
      <c r="Q20" s="3">
        <v>2950</v>
      </c>
      <c r="R20" s="3">
        <v>2342</v>
      </c>
      <c r="S20" s="3">
        <v>3433</v>
      </c>
      <c r="T20" s="3">
        <v>4122</v>
      </c>
      <c r="U20" s="3">
        <v>4652</v>
      </c>
      <c r="V20" s="3">
        <v>3755</v>
      </c>
      <c r="W20" s="3">
        <v>1494</v>
      </c>
      <c r="X20" s="3">
        <v>4940</v>
      </c>
      <c r="Y20" s="3">
        <v>5544</v>
      </c>
      <c r="Z20" s="3">
        <v>5197</v>
      </c>
      <c r="AA20" s="3">
        <v>4134</v>
      </c>
      <c r="AB20" s="3">
        <v>3140</v>
      </c>
      <c r="AC20" s="3">
        <v>1950</v>
      </c>
      <c r="AD20" s="4">
        <v>975</v>
      </c>
      <c r="AE20" s="3">
        <v>1440</v>
      </c>
      <c r="AF20" s="4">
        <v>386</v>
      </c>
      <c r="AG20" s="3">
        <v>1200</v>
      </c>
      <c r="AH20" s="3">
        <v>1300</v>
      </c>
      <c r="AI20" s="3">
        <v>1200</v>
      </c>
      <c r="AJ20" s="3">
        <v>1048</v>
      </c>
      <c r="AK20" s="4">
        <v>425</v>
      </c>
      <c r="AL20" s="4">
        <v>192</v>
      </c>
      <c r="AM20" s="4">
        <v>800</v>
      </c>
      <c r="AN20" s="4">
        <v>798</v>
      </c>
      <c r="AO20" s="3">
        <v>1334</v>
      </c>
      <c r="AP20" s="4">
        <v>565</v>
      </c>
      <c r="AQ20" s="4">
        <v>920</v>
      </c>
      <c r="AR20" s="4">
        <v>439</v>
      </c>
      <c r="AS20" s="4">
        <v>419</v>
      </c>
      <c r="AT20" s="4">
        <v>639</v>
      </c>
      <c r="AU20" s="4">
        <v>192</v>
      </c>
      <c r="AV20" s="4">
        <v>351</v>
      </c>
      <c r="AW20" s="4">
        <v>197</v>
      </c>
      <c r="AX20" s="3">
        <v>1083</v>
      </c>
      <c r="AY20" s="3">
        <v>1223</v>
      </c>
      <c r="AZ20" s="3">
        <v>1113</v>
      </c>
      <c r="BA20" s="3">
        <v>1750</v>
      </c>
      <c r="BB20" s="3">
        <v>1400</v>
      </c>
      <c r="BC20" s="8">
        <f>1847529/1000</f>
        <v>1847.529</v>
      </c>
      <c r="BD20" s="8"/>
    </row>
    <row r="21" spans="1:56" s="5" customFormat="1" x14ac:dyDescent="0.25">
      <c r="A21" s="14"/>
      <c r="B21" s="6"/>
      <c r="C21" s="6" t="s">
        <v>9</v>
      </c>
      <c r="D21" s="7">
        <v>976</v>
      </c>
      <c r="E21" s="7">
        <v>964</v>
      </c>
      <c r="F21" s="7">
        <v>363</v>
      </c>
      <c r="G21" s="7">
        <v>640</v>
      </c>
      <c r="H21" s="7">
        <v>735</v>
      </c>
      <c r="I21" s="8">
        <v>1077</v>
      </c>
      <c r="J21" s="7">
        <v>936</v>
      </c>
      <c r="K21" s="8">
        <v>1226</v>
      </c>
      <c r="L21" s="8">
        <v>1153</v>
      </c>
      <c r="M21" s="8">
        <v>1903</v>
      </c>
      <c r="N21" s="8">
        <v>2227</v>
      </c>
      <c r="O21" s="8">
        <v>1900</v>
      </c>
      <c r="P21" s="8">
        <v>2305</v>
      </c>
      <c r="Q21" s="8">
        <v>3000</v>
      </c>
      <c r="R21" s="8">
        <v>2298</v>
      </c>
      <c r="S21" s="8">
        <v>1668</v>
      </c>
      <c r="T21" s="8">
        <v>2579</v>
      </c>
      <c r="U21" s="8">
        <v>2417</v>
      </c>
      <c r="V21" s="8">
        <v>2856</v>
      </c>
      <c r="W21" s="8">
        <v>1585</v>
      </c>
      <c r="X21" s="8">
        <v>2050</v>
      </c>
      <c r="Y21" s="8">
        <v>2090</v>
      </c>
      <c r="Z21" s="8">
        <v>2700</v>
      </c>
      <c r="AA21" s="8">
        <v>2900</v>
      </c>
      <c r="AB21" s="8">
        <v>2880</v>
      </c>
      <c r="AC21" s="8">
        <v>2400</v>
      </c>
      <c r="AD21" s="8">
        <v>2100</v>
      </c>
      <c r="AE21" s="8">
        <v>1600</v>
      </c>
      <c r="AF21" s="7">
        <v>800</v>
      </c>
      <c r="AG21" s="7">
        <v>900</v>
      </c>
      <c r="AH21" s="8">
        <v>1000</v>
      </c>
      <c r="AI21" s="8">
        <v>1300</v>
      </c>
      <c r="AJ21" s="8">
        <v>1754</v>
      </c>
      <c r="AK21" s="8">
        <v>1885</v>
      </c>
      <c r="AL21" s="8">
        <v>1608</v>
      </c>
      <c r="AM21" s="8">
        <v>1350</v>
      </c>
      <c r="AN21" s="8">
        <v>1656</v>
      </c>
      <c r="AO21" s="8">
        <v>2070</v>
      </c>
      <c r="AP21" s="8">
        <v>2550</v>
      </c>
      <c r="AQ21" s="8">
        <v>2500</v>
      </c>
      <c r="AR21" s="8">
        <v>2500</v>
      </c>
      <c r="AS21" s="8">
        <v>2300</v>
      </c>
      <c r="AT21" s="8">
        <v>2250</v>
      </c>
      <c r="AU21" s="8">
        <v>2000</v>
      </c>
      <c r="AV21" s="8">
        <v>2600</v>
      </c>
      <c r="AW21" s="8">
        <v>2300</v>
      </c>
      <c r="AX21" s="8">
        <v>1700</v>
      </c>
      <c r="AY21" s="8">
        <v>1200</v>
      </c>
      <c r="AZ21" s="8">
        <v>1100</v>
      </c>
      <c r="BA21" s="8">
        <v>1900</v>
      </c>
      <c r="BB21" s="8">
        <v>2300</v>
      </c>
      <c r="BC21" s="8">
        <f>BC18+BC19-BC20</f>
        <v>2611.4079999999999</v>
      </c>
      <c r="BD21" s="8"/>
    </row>
    <row r="22" spans="1:56" s="5" customFormat="1" x14ac:dyDescent="0.25">
      <c r="A22" s="12"/>
      <c r="B22" s="2" t="s">
        <v>14</v>
      </c>
      <c r="C22" s="2" t="s">
        <v>42</v>
      </c>
      <c r="D22" s="4">
        <v>819</v>
      </c>
      <c r="E22" s="4">
        <v>684</v>
      </c>
      <c r="F22" s="4">
        <v>840</v>
      </c>
      <c r="G22" s="3">
        <v>1096</v>
      </c>
      <c r="H22" s="4">
        <v>974</v>
      </c>
      <c r="I22" s="3">
        <v>1290</v>
      </c>
      <c r="J22" s="3">
        <v>1014</v>
      </c>
      <c r="K22" s="4">
        <v>766</v>
      </c>
      <c r="L22" s="4">
        <v>912</v>
      </c>
      <c r="M22" s="4">
        <v>970</v>
      </c>
      <c r="N22" s="4">
        <v>908</v>
      </c>
      <c r="O22" s="4">
        <v>990</v>
      </c>
      <c r="P22" s="3">
        <v>1293</v>
      </c>
      <c r="Q22" s="3">
        <v>1650</v>
      </c>
      <c r="R22" s="3">
        <v>1532</v>
      </c>
      <c r="S22" s="3">
        <v>1349</v>
      </c>
      <c r="T22" s="3">
        <v>1592</v>
      </c>
      <c r="U22" s="3">
        <v>1665</v>
      </c>
      <c r="V22" s="3">
        <v>1387</v>
      </c>
      <c r="W22" s="3">
        <v>1395</v>
      </c>
      <c r="X22" s="3">
        <v>1715</v>
      </c>
      <c r="Y22" s="3">
        <v>1618</v>
      </c>
      <c r="Z22" s="3">
        <v>1617</v>
      </c>
      <c r="AA22" s="3">
        <v>1621</v>
      </c>
      <c r="AB22" s="3">
        <v>1535</v>
      </c>
      <c r="AC22" s="3">
        <v>1160</v>
      </c>
      <c r="AD22" s="3">
        <v>1108</v>
      </c>
      <c r="AE22" s="3">
        <v>1100</v>
      </c>
      <c r="AF22" s="3">
        <v>1284</v>
      </c>
      <c r="AG22" s="4">
        <v>944</v>
      </c>
      <c r="AH22" s="3">
        <v>1300</v>
      </c>
      <c r="AI22" s="3">
        <v>1550</v>
      </c>
      <c r="AJ22" s="3">
        <v>1350</v>
      </c>
      <c r="AK22" s="3">
        <v>1080</v>
      </c>
      <c r="AL22" s="3">
        <v>1180</v>
      </c>
      <c r="AM22" s="3">
        <v>1590</v>
      </c>
      <c r="AN22" s="3">
        <v>1380</v>
      </c>
      <c r="AO22" s="3">
        <v>1750</v>
      </c>
      <c r="AP22" s="3">
        <v>1830</v>
      </c>
      <c r="AQ22" s="3">
        <v>1670</v>
      </c>
      <c r="AR22" s="3">
        <v>1540</v>
      </c>
      <c r="AS22" s="3">
        <v>1600</v>
      </c>
      <c r="AT22" s="3">
        <v>1650</v>
      </c>
      <c r="AU22" s="3">
        <v>1925</v>
      </c>
      <c r="AV22" s="3">
        <v>1815</v>
      </c>
      <c r="AW22" s="3">
        <v>2140</v>
      </c>
      <c r="AX22" s="3">
        <v>2440</v>
      </c>
      <c r="AY22" s="3">
        <v>2190</v>
      </c>
      <c r="AZ22" s="3">
        <v>2420</v>
      </c>
      <c r="BA22" s="3">
        <v>2230</v>
      </c>
      <c r="BB22" s="24">
        <v>2290</v>
      </c>
      <c r="BC22" s="8">
        <f>19806890/1000</f>
        <v>19806.89</v>
      </c>
      <c r="BD22" s="8">
        <f>19766387/1000</f>
        <v>19766.386999999999</v>
      </c>
    </row>
    <row r="23" spans="1:56" x14ac:dyDescent="0.25">
      <c r="A23" s="12"/>
      <c r="B23" s="6"/>
      <c r="C23" s="6" t="s">
        <v>45</v>
      </c>
      <c r="D23" s="7">
        <v>6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2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215</v>
      </c>
      <c r="AL23" s="7">
        <v>180</v>
      </c>
      <c r="AM23" s="7">
        <v>20</v>
      </c>
      <c r="AN23" s="7">
        <v>36</v>
      </c>
      <c r="AO23" s="7">
        <v>23</v>
      </c>
      <c r="AP23" s="7">
        <v>1</v>
      </c>
      <c r="AQ23" s="7">
        <v>1</v>
      </c>
      <c r="AR23" s="7">
        <v>2</v>
      </c>
      <c r="AS23" s="7">
        <v>1</v>
      </c>
      <c r="AT23" s="7">
        <v>1</v>
      </c>
      <c r="AU23" s="7">
        <v>10</v>
      </c>
      <c r="AV23" s="7">
        <v>5</v>
      </c>
      <c r="AW23" s="7">
        <v>5</v>
      </c>
      <c r="AX23" s="7">
        <v>2</v>
      </c>
      <c r="AY23" s="7">
        <v>10</v>
      </c>
      <c r="AZ23" s="7">
        <v>21</v>
      </c>
      <c r="BA23" s="7">
        <v>10</v>
      </c>
      <c r="BB23" s="15">
        <v>5</v>
      </c>
      <c r="BC23" s="8">
        <v>3</v>
      </c>
      <c r="BD23" s="8"/>
    </row>
    <row r="24" spans="1:56" s="5" customFormat="1" x14ac:dyDescent="0.25">
      <c r="A24" s="12"/>
      <c r="B24" s="2"/>
      <c r="C24" s="2" t="s">
        <v>44</v>
      </c>
      <c r="D24" s="4">
        <v>192</v>
      </c>
      <c r="E24" s="4">
        <v>33</v>
      </c>
      <c r="F24" s="4">
        <v>50</v>
      </c>
      <c r="G24" s="4">
        <v>223</v>
      </c>
      <c r="H24" s="4">
        <v>276</v>
      </c>
      <c r="I24" s="4">
        <v>152</v>
      </c>
      <c r="J24" s="4">
        <v>124</v>
      </c>
      <c r="K24" s="4">
        <v>83</v>
      </c>
      <c r="L24" s="4">
        <v>51</v>
      </c>
      <c r="M24" s="4">
        <v>121</v>
      </c>
      <c r="N24" s="4">
        <v>118</v>
      </c>
      <c r="O24" s="4">
        <v>106</v>
      </c>
      <c r="P24" s="4">
        <v>280</v>
      </c>
      <c r="Q24" s="4">
        <v>640</v>
      </c>
      <c r="R24" s="4">
        <v>542</v>
      </c>
      <c r="S24" s="4">
        <v>217</v>
      </c>
      <c r="T24" s="4">
        <v>564</v>
      </c>
      <c r="U24" s="4">
        <v>674</v>
      </c>
      <c r="V24" s="4">
        <v>444</v>
      </c>
      <c r="W24" s="4">
        <v>309</v>
      </c>
      <c r="X24" s="4">
        <v>636</v>
      </c>
      <c r="Y24" s="4">
        <v>588</v>
      </c>
      <c r="Z24" s="4">
        <v>553</v>
      </c>
      <c r="AA24" s="4">
        <v>770</v>
      </c>
      <c r="AB24" s="4">
        <v>307</v>
      </c>
      <c r="AC24" s="4">
        <v>170</v>
      </c>
      <c r="AD24" s="4">
        <v>80</v>
      </c>
      <c r="AE24" s="4">
        <v>72</v>
      </c>
      <c r="AF24" s="4">
        <v>277</v>
      </c>
      <c r="AG24" s="4">
        <v>129</v>
      </c>
      <c r="AH24" s="4">
        <v>387</v>
      </c>
      <c r="AI24" s="4">
        <v>275</v>
      </c>
      <c r="AJ24" s="4">
        <v>190</v>
      </c>
      <c r="AK24" s="4">
        <v>57</v>
      </c>
      <c r="AL24" s="4">
        <v>55</v>
      </c>
      <c r="AM24" s="4">
        <v>170</v>
      </c>
      <c r="AN24" s="4">
        <v>163</v>
      </c>
      <c r="AO24" s="4">
        <v>261</v>
      </c>
      <c r="AP24" s="4">
        <v>189</v>
      </c>
      <c r="AQ24" s="4">
        <v>200</v>
      </c>
      <c r="AR24" s="4">
        <v>189</v>
      </c>
      <c r="AS24" s="4">
        <v>137</v>
      </c>
      <c r="AT24" s="4">
        <v>265</v>
      </c>
      <c r="AU24" s="4">
        <v>201</v>
      </c>
      <c r="AV24" s="4">
        <v>228</v>
      </c>
      <c r="AW24" s="4">
        <v>641</v>
      </c>
      <c r="AX24" s="4">
        <v>720</v>
      </c>
      <c r="AY24" s="4">
        <v>343</v>
      </c>
      <c r="AZ24" s="4">
        <v>580</v>
      </c>
      <c r="BA24" s="4">
        <v>760</v>
      </c>
      <c r="BB24" s="13">
        <v>340</v>
      </c>
      <c r="BC24" s="8">
        <f>96649/1000</f>
        <v>96.649000000000001</v>
      </c>
      <c r="BD24" s="8"/>
    </row>
    <row r="25" spans="1:56" ht="30" x14ac:dyDescent="0.25">
      <c r="A25" s="12"/>
      <c r="C25" s="6" t="s">
        <v>43</v>
      </c>
      <c r="D25" s="7">
        <v>698</v>
      </c>
      <c r="E25" s="7">
        <v>786</v>
      </c>
      <c r="F25" s="7">
        <v>780</v>
      </c>
      <c r="G25" s="7">
        <v>794</v>
      </c>
      <c r="H25" s="7">
        <v>838</v>
      </c>
      <c r="I25" s="7">
        <v>852</v>
      </c>
      <c r="J25" s="7">
        <v>862</v>
      </c>
      <c r="K25" s="7">
        <v>860</v>
      </c>
      <c r="L25" s="7">
        <v>865</v>
      </c>
      <c r="M25" s="7">
        <v>869</v>
      </c>
      <c r="N25" s="7">
        <v>880</v>
      </c>
      <c r="O25" s="7">
        <v>961</v>
      </c>
      <c r="P25" s="8">
        <v>1025</v>
      </c>
      <c r="Q25" s="8">
        <v>1021</v>
      </c>
      <c r="R25" s="7">
        <v>973</v>
      </c>
      <c r="S25" s="8">
        <v>1131</v>
      </c>
      <c r="T25" s="7">
        <v>927</v>
      </c>
      <c r="U25" s="7">
        <v>948</v>
      </c>
      <c r="V25" s="8">
        <v>1036</v>
      </c>
      <c r="W25" s="8">
        <v>1006</v>
      </c>
      <c r="X25" s="8">
        <v>1104</v>
      </c>
      <c r="Y25" s="7">
        <v>971</v>
      </c>
      <c r="Z25" s="7">
        <v>980</v>
      </c>
      <c r="AA25" s="8">
        <v>1050</v>
      </c>
      <c r="AB25" s="8">
        <v>1040</v>
      </c>
      <c r="AC25" s="8">
        <v>1051</v>
      </c>
      <c r="AD25" s="8">
        <v>1070</v>
      </c>
      <c r="AE25" s="8">
        <v>1080</v>
      </c>
      <c r="AF25" s="7">
        <v>870</v>
      </c>
      <c r="AG25" s="7">
        <v>815</v>
      </c>
      <c r="AH25" s="7">
        <v>980</v>
      </c>
      <c r="AI25" s="8">
        <v>1220</v>
      </c>
      <c r="AJ25" s="8">
        <v>1250</v>
      </c>
      <c r="AK25" s="8">
        <v>1300</v>
      </c>
      <c r="AL25" s="8">
        <v>1300</v>
      </c>
      <c r="AM25" s="8">
        <v>1340</v>
      </c>
      <c r="AN25" s="8">
        <v>1133</v>
      </c>
      <c r="AO25" s="8">
        <v>1550</v>
      </c>
      <c r="AP25" s="8">
        <v>1510</v>
      </c>
      <c r="AQ25" s="8">
        <v>1520</v>
      </c>
      <c r="AR25" s="8">
        <v>1460</v>
      </c>
      <c r="AS25" s="8">
        <v>1470</v>
      </c>
      <c r="AT25" s="8">
        <v>1430</v>
      </c>
      <c r="AU25" s="8">
        <v>1550</v>
      </c>
      <c r="AV25" s="8">
        <v>1600</v>
      </c>
      <c r="AW25" s="8">
        <v>1675</v>
      </c>
      <c r="AX25" s="8">
        <v>1710</v>
      </c>
      <c r="AY25" s="8">
        <v>1795</v>
      </c>
      <c r="AZ25" s="8">
        <v>1730</v>
      </c>
      <c r="BA25" s="8">
        <v>1730</v>
      </c>
      <c r="BB25" s="25">
        <v>1760</v>
      </c>
      <c r="BC25" s="8">
        <f>BC22+BC23-BC24</f>
        <v>19713.240999999998</v>
      </c>
      <c r="BD25" s="8"/>
    </row>
    <row r="26" spans="1:56" s="5" customFormat="1" x14ac:dyDescent="0.25">
      <c r="A26" s="14"/>
      <c r="B26" s="6" t="s">
        <v>15</v>
      </c>
      <c r="C26" s="6" t="s">
        <v>6</v>
      </c>
      <c r="D26" s="8">
        <v>3960</v>
      </c>
      <c r="E26" s="8">
        <v>5725</v>
      </c>
      <c r="F26" s="8">
        <v>5700</v>
      </c>
      <c r="G26" s="8">
        <v>8940</v>
      </c>
      <c r="H26" s="8">
        <v>11260</v>
      </c>
      <c r="I26" s="8">
        <v>6079</v>
      </c>
      <c r="J26" s="8">
        <v>6247</v>
      </c>
      <c r="K26" s="8">
        <v>7320</v>
      </c>
      <c r="L26" s="8">
        <v>5740</v>
      </c>
      <c r="M26" s="8">
        <v>7020</v>
      </c>
      <c r="N26" s="8">
        <v>4920</v>
      </c>
      <c r="O26" s="8">
        <v>5680</v>
      </c>
      <c r="P26" s="8">
        <v>6900</v>
      </c>
      <c r="Q26" s="8">
        <v>6560</v>
      </c>
      <c r="R26" s="8">
        <v>5970</v>
      </c>
      <c r="S26" s="8">
        <v>8570</v>
      </c>
      <c r="T26" s="8">
        <v>11000</v>
      </c>
      <c r="U26" s="8">
        <v>5700</v>
      </c>
      <c r="V26" s="8">
        <v>8100</v>
      </c>
      <c r="W26" s="8">
        <v>8100</v>
      </c>
      <c r="X26" s="8">
        <v>7780</v>
      </c>
      <c r="Y26" s="8">
        <v>8300</v>
      </c>
      <c r="Z26" s="8">
        <v>15000</v>
      </c>
      <c r="AA26" s="8">
        <v>12750</v>
      </c>
      <c r="AB26" s="8">
        <v>13200</v>
      </c>
      <c r="AC26" s="8">
        <v>8500</v>
      </c>
      <c r="AD26" s="8">
        <v>8930</v>
      </c>
      <c r="AE26" s="8">
        <v>9000</v>
      </c>
      <c r="AF26" s="8">
        <v>8540</v>
      </c>
      <c r="AG26" s="8">
        <v>10000</v>
      </c>
      <c r="AH26" s="8">
        <v>10992</v>
      </c>
      <c r="AI26" s="8">
        <v>9884</v>
      </c>
      <c r="AJ26" s="8">
        <v>9874</v>
      </c>
      <c r="AK26" s="8">
        <v>9659</v>
      </c>
      <c r="AL26" s="8">
        <v>11306</v>
      </c>
      <c r="AM26" s="8">
        <v>8600</v>
      </c>
      <c r="AN26" s="8">
        <v>15914</v>
      </c>
      <c r="AO26" s="8">
        <v>15740</v>
      </c>
      <c r="AP26" s="8">
        <v>13300</v>
      </c>
      <c r="AQ26" s="8">
        <v>16400</v>
      </c>
      <c r="AR26" s="8">
        <v>16300</v>
      </c>
      <c r="AS26" s="8">
        <v>15700</v>
      </c>
      <c r="AT26" s="8">
        <v>12700</v>
      </c>
      <c r="AU26" s="8">
        <v>15100</v>
      </c>
      <c r="AV26" s="8">
        <v>16900</v>
      </c>
      <c r="AW26" s="8">
        <v>13800</v>
      </c>
      <c r="AX26" s="8">
        <v>16300</v>
      </c>
      <c r="AY26" s="8">
        <v>18600</v>
      </c>
      <c r="AZ26" s="8">
        <v>11000</v>
      </c>
      <c r="BA26" s="8">
        <v>11000</v>
      </c>
      <c r="BB26" s="8">
        <v>15000</v>
      </c>
      <c r="BC26" s="8">
        <f>14500517/1000</f>
        <v>14500.517</v>
      </c>
      <c r="BD26" s="8">
        <f>8024995/1000</f>
        <v>8024.9949999999999</v>
      </c>
    </row>
    <row r="27" spans="1:56" x14ac:dyDescent="0.25">
      <c r="A27" s="12"/>
      <c r="B27" s="2"/>
      <c r="C27" s="2" t="s">
        <v>7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134</v>
      </c>
      <c r="K27" s="4">
        <v>35</v>
      </c>
      <c r="L27" s="4">
        <v>390</v>
      </c>
      <c r="M27" s="4">
        <v>0</v>
      </c>
      <c r="N27" s="4">
        <v>0</v>
      </c>
      <c r="O27" s="4">
        <v>0</v>
      </c>
      <c r="P27" s="4">
        <v>493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13</v>
      </c>
      <c r="AE27" s="4">
        <v>0</v>
      </c>
      <c r="AF27" s="4">
        <v>0</v>
      </c>
      <c r="AG27" s="4">
        <v>0</v>
      </c>
      <c r="AH27" s="4">
        <v>13</v>
      </c>
      <c r="AI27" s="4">
        <v>1</v>
      </c>
      <c r="AJ27" s="4">
        <v>15</v>
      </c>
      <c r="AK27" s="4">
        <v>11</v>
      </c>
      <c r="AL27" s="4">
        <v>33</v>
      </c>
      <c r="AM27" s="4">
        <v>48</v>
      </c>
      <c r="AN27" s="4">
        <v>43</v>
      </c>
      <c r="AO27" s="4">
        <v>27</v>
      </c>
      <c r="AP27" s="4">
        <v>25</v>
      </c>
      <c r="AQ27" s="4">
        <v>12</v>
      </c>
      <c r="AR27" s="4">
        <v>7</v>
      </c>
      <c r="AS27" s="4">
        <v>12</v>
      </c>
      <c r="AT27" s="4">
        <v>7</v>
      </c>
      <c r="AU27" s="4">
        <v>37</v>
      </c>
      <c r="AV27" s="4">
        <v>2</v>
      </c>
      <c r="AW27" s="4">
        <v>3</v>
      </c>
      <c r="AX27" s="4">
        <v>6</v>
      </c>
      <c r="AY27" s="4">
        <v>23</v>
      </c>
      <c r="AZ27" s="4">
        <v>26</v>
      </c>
      <c r="BA27" s="4">
        <v>3</v>
      </c>
      <c r="BB27" s="4">
        <v>100</v>
      </c>
      <c r="BC27" s="8">
        <v>9</v>
      </c>
      <c r="BD27" s="8"/>
    </row>
    <row r="28" spans="1:56" s="5" customFormat="1" x14ac:dyDescent="0.25">
      <c r="A28" s="14"/>
      <c r="B28" s="6"/>
      <c r="C28" s="6" t="s">
        <v>8</v>
      </c>
      <c r="D28" s="8">
        <v>1094</v>
      </c>
      <c r="E28" s="8">
        <v>2717</v>
      </c>
      <c r="F28" s="8">
        <v>1796</v>
      </c>
      <c r="G28" s="8">
        <v>3460</v>
      </c>
      <c r="H28" s="8">
        <v>6287</v>
      </c>
      <c r="I28" s="8">
        <v>5586</v>
      </c>
      <c r="J28" s="8">
        <v>2233</v>
      </c>
      <c r="K28" s="8">
        <v>2199</v>
      </c>
      <c r="L28" s="8">
        <v>2494</v>
      </c>
      <c r="M28" s="8">
        <v>2322</v>
      </c>
      <c r="N28" s="7">
        <v>969</v>
      </c>
      <c r="O28" s="8">
        <v>1629</v>
      </c>
      <c r="P28" s="8">
        <v>3193</v>
      </c>
      <c r="Q28" s="8">
        <v>1582</v>
      </c>
      <c r="R28" s="8">
        <v>1784</v>
      </c>
      <c r="S28" s="8">
        <v>3162</v>
      </c>
      <c r="T28" s="8">
        <v>5900</v>
      </c>
      <c r="U28" s="8">
        <v>1775</v>
      </c>
      <c r="V28" s="8">
        <v>4080</v>
      </c>
      <c r="W28" s="8">
        <v>4755</v>
      </c>
      <c r="X28" s="8">
        <v>3845</v>
      </c>
      <c r="Y28" s="8">
        <v>3638</v>
      </c>
      <c r="Z28" s="8">
        <v>9870</v>
      </c>
      <c r="AA28" s="8">
        <v>7847</v>
      </c>
      <c r="AB28" s="8">
        <v>9408</v>
      </c>
      <c r="AC28" s="8">
        <v>4300</v>
      </c>
      <c r="AD28" s="8">
        <v>4435</v>
      </c>
      <c r="AE28" s="8">
        <v>3705</v>
      </c>
      <c r="AF28" s="8">
        <v>4034</v>
      </c>
      <c r="AG28" s="8">
        <v>6060</v>
      </c>
      <c r="AH28" s="8">
        <v>5592</v>
      </c>
      <c r="AI28" s="8">
        <v>5780</v>
      </c>
      <c r="AJ28" s="8">
        <v>5850</v>
      </c>
      <c r="AK28" s="8">
        <v>5009</v>
      </c>
      <c r="AL28" s="8">
        <v>7318</v>
      </c>
      <c r="AM28" s="8">
        <v>4483</v>
      </c>
      <c r="AN28" s="8">
        <v>10198</v>
      </c>
      <c r="AO28" s="8">
        <v>11151</v>
      </c>
      <c r="AP28" s="8">
        <v>8573</v>
      </c>
      <c r="AQ28" s="8">
        <v>11608</v>
      </c>
      <c r="AR28" s="8">
        <v>11325</v>
      </c>
      <c r="AS28" s="8">
        <v>10284</v>
      </c>
      <c r="AT28" s="8">
        <v>6798</v>
      </c>
      <c r="AU28" s="8">
        <v>9466</v>
      </c>
      <c r="AV28" s="8">
        <v>11898</v>
      </c>
      <c r="AW28" s="8">
        <v>9635</v>
      </c>
      <c r="AX28" s="8">
        <v>10721</v>
      </c>
      <c r="AY28" s="8">
        <v>11209</v>
      </c>
      <c r="AZ28" s="8">
        <v>6767</v>
      </c>
      <c r="BA28" s="8">
        <v>5099</v>
      </c>
      <c r="BB28" s="8">
        <v>8500</v>
      </c>
      <c r="BC28" s="8">
        <f>8411136/1000</f>
        <v>8411.1360000000004</v>
      </c>
      <c r="BD28" s="8"/>
    </row>
    <row r="29" spans="1:56" x14ac:dyDescent="0.25">
      <c r="A29" s="39"/>
      <c r="B29" s="40"/>
      <c r="C29" s="40" t="s">
        <v>9</v>
      </c>
      <c r="D29" s="41">
        <v>3294</v>
      </c>
      <c r="E29" s="41">
        <v>3529</v>
      </c>
      <c r="F29" s="41">
        <v>3643</v>
      </c>
      <c r="G29" s="41">
        <v>3771</v>
      </c>
      <c r="H29" s="41">
        <v>3846</v>
      </c>
      <c r="I29" s="41">
        <v>3658</v>
      </c>
      <c r="J29" s="41">
        <v>4078</v>
      </c>
      <c r="K29" s="41">
        <v>4393</v>
      </c>
      <c r="L29" s="41">
        <v>3794</v>
      </c>
      <c r="M29" s="41">
        <v>4768</v>
      </c>
      <c r="N29" s="41">
        <v>4056</v>
      </c>
      <c r="O29" s="41">
        <v>4356</v>
      </c>
      <c r="P29" s="41">
        <v>4301</v>
      </c>
      <c r="Q29" s="41">
        <v>4221</v>
      </c>
      <c r="R29" s="41">
        <v>4498</v>
      </c>
      <c r="S29" s="41">
        <v>5380</v>
      </c>
      <c r="T29" s="41">
        <v>4242</v>
      </c>
      <c r="U29" s="41">
        <v>4349</v>
      </c>
      <c r="V29" s="41">
        <v>4093</v>
      </c>
      <c r="W29" s="41">
        <v>4020</v>
      </c>
      <c r="X29" s="41">
        <v>3950</v>
      </c>
      <c r="Y29" s="41">
        <v>4300</v>
      </c>
      <c r="Z29" s="41">
        <v>4849</v>
      </c>
      <c r="AA29" s="41">
        <v>4700</v>
      </c>
      <c r="AB29" s="41">
        <v>4600</v>
      </c>
      <c r="AC29" s="41">
        <v>4400</v>
      </c>
      <c r="AD29" s="41">
        <v>4539</v>
      </c>
      <c r="AE29" s="41">
        <v>4500</v>
      </c>
      <c r="AF29" s="41">
        <v>4700</v>
      </c>
      <c r="AG29" s="41">
        <v>4540</v>
      </c>
      <c r="AH29" s="41">
        <v>4530</v>
      </c>
      <c r="AI29" s="41">
        <v>4578</v>
      </c>
      <c r="AJ29" s="41">
        <v>4265</v>
      </c>
      <c r="AK29" s="41">
        <v>4298</v>
      </c>
      <c r="AL29" s="41">
        <v>4314</v>
      </c>
      <c r="AM29" s="41">
        <v>4165</v>
      </c>
      <c r="AN29" s="41">
        <v>4895</v>
      </c>
      <c r="AO29" s="41">
        <v>4796</v>
      </c>
      <c r="AP29" s="41">
        <v>5150</v>
      </c>
      <c r="AQ29" s="41">
        <v>5050</v>
      </c>
      <c r="AR29" s="41">
        <v>5100</v>
      </c>
      <c r="AS29" s="41">
        <v>5150</v>
      </c>
      <c r="AT29" s="41">
        <v>5300</v>
      </c>
      <c r="AU29" s="41">
        <v>5350</v>
      </c>
      <c r="AV29" s="41">
        <v>5350</v>
      </c>
      <c r="AW29" s="41">
        <v>5075</v>
      </c>
      <c r="AX29" s="41">
        <v>5350</v>
      </c>
      <c r="AY29" s="41">
        <v>5650</v>
      </c>
      <c r="AZ29" s="41">
        <v>5325</v>
      </c>
      <c r="BA29" s="41">
        <v>5825</v>
      </c>
      <c r="BB29" s="41">
        <v>5875</v>
      </c>
      <c r="BC29" s="8">
        <f>BC26+BC27-BC28</f>
        <v>6098.3809999999994</v>
      </c>
      <c r="BD29" s="8"/>
    </row>
    <row r="30" spans="1:56" s="5" customFormat="1" x14ac:dyDescent="0.25">
      <c r="A30" s="32"/>
      <c r="B30" s="32"/>
      <c r="C30" s="32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3"/>
      <c r="AV30" s="33"/>
      <c r="AW30" s="33"/>
      <c r="AX30" s="33"/>
      <c r="AY30" s="33"/>
      <c r="AZ30" s="33"/>
      <c r="BA30" s="33"/>
      <c r="BB30" s="33"/>
    </row>
    <row r="31" spans="1:56" x14ac:dyDescent="0.25">
      <c r="A31" s="34"/>
      <c r="B31" s="34"/>
      <c r="C31" s="34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5"/>
      <c r="AV31" s="35"/>
      <c r="AW31" s="35"/>
      <c r="AX31" s="35"/>
      <c r="AY31" s="35"/>
      <c r="AZ31" s="35"/>
      <c r="BA31" s="35"/>
      <c r="BB31" s="35"/>
    </row>
    <row r="32" spans="1:56" s="5" customFormat="1" x14ac:dyDescent="0.25">
      <c r="A32" s="32"/>
      <c r="B32" s="32"/>
      <c r="C32" s="32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</row>
    <row r="33" spans="1:54" x14ac:dyDescent="0.25">
      <c r="A33" s="34"/>
      <c r="B33" s="34"/>
      <c r="C33" s="34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</row>
    <row r="34" spans="1:54" s="5" customFormat="1" x14ac:dyDescent="0.25">
      <c r="A34" s="32"/>
      <c r="B34" s="32"/>
      <c r="C34" s="32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6"/>
      <c r="AC34" s="36"/>
      <c r="AD34" s="33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3"/>
      <c r="AZ34" s="36"/>
      <c r="BA34" s="36"/>
      <c r="BB34" s="36"/>
    </row>
    <row r="35" spans="1:54" x14ac:dyDescent="0.25">
      <c r="A35" s="34"/>
      <c r="B35" s="34"/>
      <c r="C35" s="34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</row>
    <row r="36" spans="1:54" s="5" customFormat="1" x14ac:dyDescent="0.25">
      <c r="A36" s="32"/>
      <c r="B36" s="32"/>
      <c r="C36" s="32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6"/>
      <c r="AD36" s="36"/>
      <c r="AE36" s="33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</row>
    <row r="37" spans="1:54" x14ac:dyDescent="0.25">
      <c r="A37" s="34"/>
      <c r="B37" s="34"/>
      <c r="C37" s="34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</row>
    <row r="38" spans="1:54" s="5" customFormat="1" x14ac:dyDescent="0.25">
      <c r="A38" s="32"/>
      <c r="B38" s="32"/>
      <c r="C38" s="32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/>
      <c r="AW38" s="33"/>
      <c r="AX38" s="33"/>
      <c r="AY38" s="33"/>
      <c r="AZ38" s="33"/>
      <c r="BA38" s="33"/>
      <c r="BB38" s="33"/>
    </row>
    <row r="39" spans="1:54" x14ac:dyDescent="0.25">
      <c r="A39" s="34"/>
      <c r="B39" s="34"/>
      <c r="C39" s="34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/>
      <c r="BB39" s="35"/>
    </row>
    <row r="40" spans="1:54" s="5" customFormat="1" x14ac:dyDescent="0.25">
      <c r="A40" s="32"/>
      <c r="B40" s="32"/>
      <c r="C40" s="32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  <c r="AU40" s="33"/>
      <c r="AV40" s="33"/>
      <c r="AW40" s="33"/>
      <c r="AX40" s="33"/>
      <c r="AY40" s="33"/>
      <c r="AZ40" s="33"/>
      <c r="BA40" s="33"/>
      <c r="BB40" s="33"/>
    </row>
    <row r="41" spans="1:54" x14ac:dyDescent="0.25">
      <c r="A41" s="34"/>
      <c r="B41" s="34"/>
      <c r="C41" s="34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/>
      <c r="AK41" s="35"/>
      <c r="AL41" s="35"/>
      <c r="AM41" s="35"/>
      <c r="AN41" s="35"/>
      <c r="AO41" s="35"/>
      <c r="AP41" s="35"/>
      <c r="AQ41" s="35"/>
      <c r="AR41" s="35"/>
      <c r="AS41" s="35"/>
      <c r="AT41" s="35"/>
      <c r="AU41" s="35"/>
      <c r="AV41" s="35"/>
      <c r="AW41" s="35"/>
      <c r="AX41" s="35"/>
      <c r="AY41" s="35"/>
      <c r="AZ41" s="35"/>
      <c r="BA41" s="35"/>
      <c r="BB41" s="35"/>
    </row>
    <row r="42" spans="1:54" s="5" customFormat="1" x14ac:dyDescent="0.25">
      <c r="A42" s="32"/>
      <c r="B42" s="32"/>
      <c r="C42" s="32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6"/>
      <c r="AS42" s="33"/>
      <c r="AT42" s="33"/>
      <c r="AU42" s="33"/>
      <c r="AV42" s="33"/>
      <c r="AW42" s="33"/>
      <c r="AX42" s="33"/>
      <c r="AY42" s="33"/>
      <c r="AZ42" s="33"/>
      <c r="BA42" s="33"/>
      <c r="BB42" s="33"/>
    </row>
    <row r="43" spans="1:54" x14ac:dyDescent="0.25">
      <c r="A43" s="34"/>
      <c r="B43" s="34"/>
      <c r="C43" s="34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  <c r="AN43" s="35"/>
      <c r="AO43" s="35"/>
      <c r="AP43" s="35"/>
      <c r="AQ43" s="35"/>
      <c r="AR43" s="35"/>
      <c r="AS43" s="35"/>
      <c r="AT43" s="35"/>
      <c r="AU43" s="35"/>
      <c r="AV43" s="35"/>
      <c r="AW43" s="35"/>
      <c r="AX43" s="35"/>
      <c r="AY43" s="35"/>
      <c r="AZ43" s="35"/>
      <c r="BA43" s="35"/>
      <c r="BB43" s="35"/>
    </row>
    <row r="44" spans="1:54" s="5" customFormat="1" x14ac:dyDescent="0.25">
      <c r="A44" s="32"/>
      <c r="B44" s="32"/>
      <c r="C44" s="32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3"/>
      <c r="AU44" s="33"/>
      <c r="AV44" s="33"/>
      <c r="AW44" s="33"/>
      <c r="AX44" s="33"/>
      <c r="AY44" s="33"/>
      <c r="AZ44" s="33"/>
      <c r="BA44" s="33"/>
      <c r="BB44" s="33"/>
    </row>
    <row r="45" spans="1:54" x14ac:dyDescent="0.25">
      <c r="A45" s="34"/>
      <c r="B45" s="34"/>
      <c r="C45" s="34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  <c r="AM45" s="35"/>
      <c r="AN45" s="35"/>
      <c r="AO45" s="35"/>
      <c r="AP45" s="35"/>
      <c r="AQ45" s="35"/>
      <c r="AR45" s="35"/>
      <c r="AS45" s="35"/>
      <c r="AT45" s="35"/>
      <c r="AU45" s="35"/>
      <c r="AV45" s="35"/>
      <c r="AW45" s="35"/>
      <c r="AX45" s="35"/>
      <c r="AY45" s="35"/>
      <c r="AZ45" s="35"/>
      <c r="BA45" s="35"/>
      <c r="BB45" s="35"/>
    </row>
    <row r="46" spans="1:54" s="5" customFormat="1" x14ac:dyDescent="0.25">
      <c r="A46" s="32"/>
      <c r="B46" s="32"/>
      <c r="C46" s="32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6"/>
      <c r="O46" s="36"/>
      <c r="P46" s="36"/>
      <c r="Q46" s="36"/>
      <c r="R46" s="33"/>
      <c r="S46" s="36"/>
      <c r="T46" s="33"/>
      <c r="U46" s="33"/>
      <c r="V46" s="36"/>
      <c r="W46" s="33"/>
      <c r="X46" s="36"/>
      <c r="Y46" s="36"/>
      <c r="Z46" s="33"/>
      <c r="AA46" s="36"/>
      <c r="AB46" s="36"/>
      <c r="AC46" s="36"/>
      <c r="AD46" s="36"/>
      <c r="AE46" s="36"/>
      <c r="AF46" s="36"/>
      <c r="AG46" s="33"/>
      <c r="AH46" s="33"/>
      <c r="AI46" s="36"/>
      <c r="AJ46" s="33"/>
      <c r="AK46" s="33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36"/>
      <c r="BB46" s="36"/>
    </row>
    <row r="47" spans="1:54" x14ac:dyDescent="0.25">
      <c r="A47" s="34"/>
      <c r="B47" s="34"/>
      <c r="C47" s="34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5"/>
      <c r="AF47" s="35"/>
      <c r="AG47" s="35"/>
      <c r="AH47" s="35"/>
      <c r="AI47" s="35"/>
      <c r="AJ47" s="35"/>
      <c r="AK47" s="35"/>
      <c r="AL47" s="35"/>
      <c r="AM47" s="35"/>
      <c r="AN47" s="35"/>
      <c r="AO47" s="35"/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</row>
    <row r="48" spans="1:54" s="5" customFormat="1" x14ac:dyDescent="0.25">
      <c r="A48" s="32"/>
      <c r="B48" s="32"/>
      <c r="C48" s="32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6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6"/>
      <c r="AB48" s="36"/>
      <c r="AC48" s="36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  <c r="AV48" s="33"/>
      <c r="AW48" s="33"/>
      <c r="AX48" s="33"/>
      <c r="AY48" s="33"/>
      <c r="AZ48" s="36"/>
      <c r="BA48" s="33"/>
      <c r="BB48" s="36"/>
    </row>
    <row r="49" spans="1:54" x14ac:dyDescent="0.25">
      <c r="A49" s="34"/>
      <c r="B49" s="34"/>
      <c r="C49" s="34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35"/>
      <c r="AE49" s="37"/>
      <c r="AF49" s="35"/>
      <c r="AG49" s="35"/>
      <c r="AH49" s="35"/>
      <c r="AI49" s="37"/>
      <c r="AJ49" s="35"/>
      <c r="AK49" s="35"/>
      <c r="AL49" s="37"/>
      <c r="AM49" s="37"/>
      <c r="AN49" s="37"/>
      <c r="AO49" s="35"/>
      <c r="AP49" s="37"/>
      <c r="AQ49" s="37"/>
      <c r="AR49" s="37"/>
      <c r="AS49" s="37"/>
      <c r="AT49" s="37"/>
      <c r="AU49" s="37"/>
      <c r="AV49" s="37"/>
      <c r="AW49" s="37"/>
      <c r="AX49" s="37"/>
      <c r="AY49" s="37"/>
      <c r="AZ49" s="37"/>
      <c r="BA49" s="37"/>
      <c r="BB49" s="37"/>
    </row>
    <row r="50" spans="1:54" s="5" customFormat="1" x14ac:dyDescent="0.25">
      <c r="A50" s="34"/>
      <c r="B50" s="34"/>
      <c r="C50" s="34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</row>
    <row r="51" spans="1:54" x14ac:dyDescent="0.25">
      <c r="A51" s="34"/>
      <c r="B51" s="32"/>
      <c r="C51" s="32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  <c r="AM51" s="33"/>
      <c r="AN51" s="33"/>
      <c r="AO51" s="33"/>
      <c r="AP51" s="33"/>
      <c r="AQ51" s="33"/>
      <c r="AR51" s="33"/>
      <c r="AS51" s="33"/>
      <c r="AT51" s="33"/>
      <c r="AU51" s="33"/>
      <c r="AV51" s="33"/>
      <c r="AW51" s="33"/>
      <c r="AX51" s="33"/>
      <c r="AY51" s="33"/>
      <c r="AZ51" s="33"/>
      <c r="BA51" s="33"/>
      <c r="BB51" s="33"/>
    </row>
    <row r="52" spans="1:54" s="5" customFormat="1" x14ac:dyDescent="0.25">
      <c r="A52" s="34"/>
      <c r="B52" s="34"/>
      <c r="C52" s="34"/>
      <c r="D52" s="35"/>
      <c r="E52" s="35"/>
      <c r="F52" s="35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  <c r="AP52" s="37"/>
      <c r="AQ52" s="37"/>
      <c r="AR52" s="37"/>
      <c r="AS52" s="37"/>
      <c r="AT52" s="37"/>
      <c r="AU52" s="37"/>
      <c r="AV52" s="37"/>
      <c r="AW52" s="37"/>
      <c r="AX52" s="37"/>
      <c r="AY52" s="37"/>
      <c r="AZ52" s="37"/>
      <c r="BA52" s="37"/>
      <c r="BB52" s="37"/>
    </row>
    <row r="53" spans="1:54" x14ac:dyDescent="0.25">
      <c r="A53" s="34"/>
      <c r="B53" s="32"/>
      <c r="C53" s="32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6"/>
      <c r="AT53" s="36"/>
      <c r="AU53" s="36"/>
      <c r="AV53" s="36"/>
      <c r="AW53" s="36"/>
      <c r="AX53" s="36"/>
      <c r="AY53" s="36"/>
      <c r="AZ53" s="36"/>
      <c r="BA53" s="36"/>
      <c r="BB53" s="36"/>
    </row>
    <row r="54" spans="1:54" x14ac:dyDescent="0.25">
      <c r="A54" s="34"/>
      <c r="B54" s="34"/>
      <c r="C54" s="34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</row>
    <row r="55" spans="1:54" s="5" customFormat="1" x14ac:dyDescent="0.25">
      <c r="A55" s="32"/>
      <c r="B55" s="32"/>
      <c r="C55" s="32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  <c r="AU55" s="33"/>
      <c r="AV55" s="33"/>
      <c r="AW55" s="33"/>
      <c r="AX55" s="33"/>
      <c r="AY55" s="33"/>
      <c r="AZ55" s="33"/>
      <c r="BA55" s="33"/>
      <c r="BB55" s="33"/>
    </row>
    <row r="56" spans="1:54" x14ac:dyDescent="0.25">
      <c r="A56" s="34"/>
      <c r="B56" s="34"/>
      <c r="C56" s="34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  <c r="AS56" s="37"/>
      <c r="AT56" s="37"/>
      <c r="AU56" s="37"/>
      <c r="AV56" s="37"/>
      <c r="AW56" s="37"/>
      <c r="AX56" s="37"/>
      <c r="AY56" s="37"/>
      <c r="AZ56" s="37"/>
      <c r="BA56" s="37"/>
      <c r="BB56" s="37"/>
    </row>
    <row r="57" spans="1:54" s="5" customFormat="1" x14ac:dyDescent="0.25">
      <c r="A57" s="32"/>
      <c r="B57" s="32"/>
      <c r="C57" s="32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6"/>
      <c r="AQ57" s="36"/>
      <c r="AR57" s="36"/>
      <c r="AS57" s="36"/>
      <c r="AT57" s="36"/>
      <c r="AU57" s="36"/>
      <c r="AV57" s="36"/>
      <c r="AW57" s="36"/>
      <c r="AX57" s="36"/>
      <c r="AY57" s="36"/>
      <c r="AZ57" s="36"/>
      <c r="BA57" s="36"/>
      <c r="BB57" s="36"/>
    </row>
    <row r="58" spans="1:54" x14ac:dyDescent="0.25">
      <c r="A58" s="34"/>
      <c r="B58" s="34"/>
      <c r="C58" s="34"/>
      <c r="D58" s="37"/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/>
      <c r="AS58" s="37"/>
      <c r="AT58" s="37"/>
      <c r="AU58" s="37"/>
      <c r="AV58" s="37"/>
      <c r="AW58" s="37"/>
      <c r="AX58" s="37"/>
      <c r="AY58" s="37"/>
      <c r="AZ58" s="37"/>
      <c r="BA58" s="37"/>
      <c r="BB58" s="37"/>
    </row>
    <row r="59" spans="1:54" s="5" customFormat="1" x14ac:dyDescent="0.25">
      <c r="A59" s="32"/>
      <c r="B59" s="32"/>
      <c r="C59" s="32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6"/>
      <c r="V59" s="36"/>
      <c r="W59" s="36"/>
      <c r="X59" s="33"/>
      <c r="Y59" s="33"/>
      <c r="Z59" s="33"/>
      <c r="AA59" s="33"/>
      <c r="AB59" s="36"/>
      <c r="AC59" s="36"/>
      <c r="AD59" s="33"/>
      <c r="AE59" s="33"/>
      <c r="AF59" s="33"/>
      <c r="AG59" s="33"/>
      <c r="AH59" s="33"/>
      <c r="AI59" s="33"/>
      <c r="AJ59" s="36"/>
      <c r="AK59" s="36"/>
      <c r="AL59" s="36"/>
      <c r="AM59" s="33"/>
      <c r="AN59" s="33"/>
      <c r="AO59" s="36"/>
      <c r="AP59" s="36"/>
      <c r="AQ59" s="36"/>
      <c r="AR59" s="33"/>
      <c r="AS59" s="33"/>
      <c r="AT59" s="33"/>
      <c r="AU59" s="33"/>
      <c r="AV59" s="33"/>
      <c r="AW59" s="36"/>
      <c r="AX59" s="36"/>
      <c r="AY59" s="33"/>
      <c r="AZ59" s="36"/>
      <c r="BA59" s="33"/>
      <c r="BB59" s="36"/>
    </row>
    <row r="60" spans="1:54" x14ac:dyDescent="0.25">
      <c r="A60" s="34"/>
      <c r="B60" s="34"/>
      <c r="C60" s="34"/>
      <c r="D60" s="35"/>
      <c r="E60" s="35"/>
      <c r="F60" s="35"/>
      <c r="G60" s="35"/>
      <c r="H60" s="35"/>
      <c r="I60" s="35"/>
      <c r="J60" s="35"/>
      <c r="K60" s="37"/>
      <c r="L60" s="35"/>
      <c r="M60" s="37"/>
      <c r="N60" s="35"/>
      <c r="O60" s="35"/>
      <c r="P60" s="35"/>
      <c r="Q60" s="37"/>
      <c r="R60" s="35"/>
      <c r="S60" s="37"/>
      <c r="T60" s="37"/>
      <c r="U60" s="35"/>
      <c r="V60" s="35"/>
      <c r="W60" s="35"/>
      <c r="X60" s="35"/>
      <c r="Y60" s="35"/>
      <c r="Z60" s="35"/>
      <c r="AA60" s="35"/>
      <c r="AB60" s="35"/>
      <c r="AC60" s="35"/>
      <c r="AD60" s="35"/>
      <c r="AE60" s="35"/>
      <c r="AF60" s="35"/>
      <c r="AG60" s="35"/>
      <c r="AH60" s="35"/>
      <c r="AI60" s="35"/>
      <c r="AJ60" s="35"/>
      <c r="AK60" s="35"/>
      <c r="AL60" s="35"/>
      <c r="AM60" s="35"/>
      <c r="AN60" s="35"/>
      <c r="AO60" s="35"/>
      <c r="AP60" s="35"/>
      <c r="AQ60" s="35"/>
      <c r="AR60" s="37"/>
      <c r="AS60" s="37"/>
      <c r="AT60" s="37"/>
      <c r="AU60" s="37"/>
      <c r="AV60" s="35"/>
      <c r="AW60" s="37"/>
      <c r="AX60" s="37"/>
      <c r="AY60" s="37"/>
      <c r="AZ60" s="37"/>
      <c r="BA60" s="37"/>
      <c r="BB60" s="37"/>
    </row>
    <row r="61" spans="1:54" s="5" customFormat="1" x14ac:dyDescent="0.25">
      <c r="A61" s="32"/>
      <c r="B61" s="32"/>
      <c r="C61" s="32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  <c r="AU61" s="36"/>
      <c r="AV61" s="36"/>
      <c r="AW61" s="36"/>
      <c r="AX61" s="36"/>
      <c r="AY61" s="36"/>
      <c r="AZ61" s="36"/>
      <c r="BA61" s="36"/>
      <c r="BB61" s="36"/>
    </row>
    <row r="62" spans="1:54" x14ac:dyDescent="0.25">
      <c r="A62" s="34"/>
      <c r="B62" s="34"/>
      <c r="C62" s="34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7"/>
      <c r="AD62" s="37"/>
      <c r="AE62" s="37"/>
      <c r="AF62" s="37"/>
      <c r="AG62" s="37"/>
      <c r="AH62" s="37"/>
      <c r="AI62" s="37"/>
      <c r="AJ62" s="37"/>
      <c r="AK62" s="37"/>
      <c r="AL62" s="37"/>
      <c r="AM62" s="37"/>
      <c r="AN62" s="37"/>
      <c r="AO62" s="37"/>
      <c r="AP62" s="37"/>
      <c r="AQ62" s="37"/>
      <c r="AR62" s="37"/>
      <c r="AS62" s="37"/>
      <c r="AT62" s="37"/>
      <c r="AU62" s="37"/>
      <c r="AV62" s="37"/>
      <c r="AW62" s="37"/>
      <c r="AX62" s="37"/>
      <c r="AY62" s="37"/>
      <c r="AZ62" s="37"/>
      <c r="BA62" s="37"/>
      <c r="BB62" s="37"/>
    </row>
    <row r="63" spans="1:54" s="5" customFormat="1" x14ac:dyDescent="0.25">
      <c r="A63" s="32"/>
      <c r="B63" s="32"/>
      <c r="C63" s="32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  <c r="AG63" s="33"/>
      <c r="AH63" s="33"/>
      <c r="AI63" s="33"/>
      <c r="AJ63" s="36"/>
      <c r="AK63" s="36"/>
      <c r="AL63" s="36"/>
      <c r="AM63" s="36"/>
      <c r="AN63" s="36"/>
      <c r="AO63" s="36"/>
      <c r="AP63" s="36"/>
      <c r="AQ63" s="36"/>
      <c r="AR63" s="33"/>
      <c r="AS63" s="33"/>
      <c r="AT63" s="33"/>
      <c r="AU63" s="33"/>
      <c r="AV63" s="33"/>
      <c r="AW63" s="33"/>
      <c r="AX63" s="33"/>
      <c r="AY63" s="33"/>
      <c r="AZ63" s="33"/>
      <c r="BA63" s="33"/>
      <c r="BB63" s="33"/>
    </row>
    <row r="64" spans="1:54" x14ac:dyDescent="0.25">
      <c r="A64" s="34"/>
      <c r="B64" s="34"/>
      <c r="C64" s="34"/>
      <c r="D64" s="35"/>
      <c r="E64" s="35"/>
      <c r="F64" s="37"/>
      <c r="G64" s="37"/>
      <c r="H64" s="37"/>
      <c r="I64" s="35"/>
      <c r="J64" s="37"/>
      <c r="K64" s="35"/>
      <c r="L64" s="37"/>
      <c r="M64" s="37"/>
      <c r="N64" s="37"/>
      <c r="O64" s="37"/>
      <c r="P64" s="37"/>
      <c r="Q64" s="35"/>
      <c r="R64" s="35"/>
      <c r="S64" s="35"/>
      <c r="T64" s="35"/>
      <c r="U64" s="35"/>
      <c r="V64" s="35"/>
      <c r="W64" s="35"/>
      <c r="X64" s="35"/>
      <c r="Y64" s="35"/>
      <c r="Z64" s="37"/>
      <c r="AA64" s="35"/>
      <c r="AB64" s="35"/>
      <c r="AC64" s="35"/>
      <c r="AD64" s="35"/>
      <c r="AE64" s="35"/>
      <c r="AF64" s="35"/>
      <c r="AG64" s="35"/>
      <c r="AH64" s="35"/>
      <c r="AI64" s="35"/>
      <c r="AJ64" s="35"/>
      <c r="AK64" s="35"/>
      <c r="AL64" s="35"/>
      <c r="AM64" s="35"/>
      <c r="AN64" s="35"/>
      <c r="AO64" s="35"/>
      <c r="AP64" s="35"/>
      <c r="AQ64" s="35"/>
      <c r="AR64" s="35"/>
      <c r="AS64" s="35"/>
      <c r="AT64" s="35"/>
      <c r="AU64" s="35"/>
      <c r="AV64" s="37"/>
      <c r="AW64" s="37"/>
      <c r="AX64" s="37"/>
      <c r="AY64" s="37"/>
      <c r="AZ64" s="37"/>
      <c r="BA64" s="37"/>
      <c r="BB64" s="37"/>
    </row>
    <row r="65" spans="1:54" s="5" customFormat="1" x14ac:dyDescent="0.25">
      <c r="A65" s="32"/>
      <c r="B65" s="32"/>
      <c r="C65" s="32"/>
      <c r="D65" s="36"/>
      <c r="E65" s="36"/>
      <c r="F65" s="36"/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  <c r="AH65" s="36"/>
      <c r="AI65" s="36"/>
      <c r="AJ65" s="36"/>
      <c r="AK65" s="36"/>
      <c r="AL65" s="36"/>
      <c r="AM65" s="36"/>
      <c r="AN65" s="36"/>
      <c r="AO65" s="36"/>
      <c r="AP65" s="36"/>
      <c r="AQ65" s="36"/>
      <c r="AR65" s="36"/>
      <c r="AS65" s="36"/>
      <c r="AT65" s="36"/>
      <c r="AU65" s="36"/>
      <c r="AV65" s="36"/>
      <c r="AW65" s="36"/>
      <c r="AX65" s="36"/>
      <c r="AY65" s="36"/>
      <c r="AZ65" s="36"/>
      <c r="BA65" s="36"/>
      <c r="BB65" s="36"/>
    </row>
    <row r="66" spans="1:54" x14ac:dyDescent="0.25">
      <c r="A66" s="34"/>
      <c r="B66" s="34"/>
      <c r="C66" s="34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7"/>
      <c r="AE66" s="37"/>
      <c r="AF66" s="37"/>
      <c r="AG66" s="37"/>
      <c r="AH66" s="37"/>
      <c r="AI66" s="37"/>
      <c r="AJ66" s="37"/>
      <c r="AK66" s="37"/>
      <c r="AL66" s="37"/>
      <c r="AM66" s="37"/>
      <c r="AN66" s="37"/>
      <c r="AO66" s="37"/>
      <c r="AP66" s="37"/>
      <c r="AQ66" s="37"/>
      <c r="AR66" s="37"/>
      <c r="AS66" s="37"/>
      <c r="AT66" s="37"/>
      <c r="AU66" s="37"/>
      <c r="AV66" s="37"/>
      <c r="AW66" s="37"/>
      <c r="AX66" s="37"/>
      <c r="AY66" s="37"/>
      <c r="AZ66" s="37"/>
      <c r="BA66" s="37"/>
      <c r="BB66" s="37"/>
    </row>
    <row r="67" spans="1:54" s="5" customFormat="1" x14ac:dyDescent="0.25">
      <c r="A67" s="32"/>
      <c r="B67" s="32"/>
      <c r="C67" s="32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  <c r="AG67" s="33"/>
      <c r="AH67" s="33"/>
      <c r="AI67" s="33"/>
      <c r="AJ67" s="33"/>
      <c r="AK67" s="33"/>
      <c r="AL67" s="36"/>
      <c r="AM67" s="36"/>
      <c r="AN67" s="33"/>
      <c r="AO67" s="36"/>
      <c r="AP67" s="33"/>
      <c r="AQ67" s="33"/>
      <c r="AR67" s="33"/>
      <c r="AS67" s="36"/>
      <c r="AT67" s="36"/>
      <c r="AU67" s="33"/>
      <c r="AV67" s="33"/>
      <c r="AW67" s="33"/>
      <c r="AX67" s="33"/>
      <c r="AY67" s="33"/>
      <c r="AZ67" s="33"/>
      <c r="BA67" s="33"/>
      <c r="BB67" s="33"/>
    </row>
    <row r="68" spans="1:54" x14ac:dyDescent="0.25">
      <c r="A68" s="34"/>
      <c r="B68" s="34"/>
      <c r="C68" s="34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7"/>
      <c r="AF68" s="37"/>
      <c r="AG68" s="37"/>
      <c r="AH68" s="37"/>
      <c r="AI68" s="37"/>
      <c r="AJ68" s="37"/>
      <c r="AK68" s="37"/>
      <c r="AL68" s="37"/>
      <c r="AM68" s="37"/>
      <c r="AN68" s="37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37"/>
      <c r="BA68" s="37"/>
      <c r="BB68" s="37"/>
    </row>
    <row r="69" spans="1:54" s="5" customFormat="1" x14ac:dyDescent="0.25">
      <c r="A69" s="32"/>
      <c r="B69" s="32"/>
      <c r="C69" s="32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6"/>
      <c r="AO69" s="36"/>
      <c r="AP69" s="36"/>
      <c r="AQ69" s="36"/>
      <c r="AR69" s="36"/>
      <c r="AS69" s="36"/>
      <c r="AT69" s="36"/>
      <c r="AU69" s="36"/>
      <c r="AV69" s="36"/>
      <c r="AW69" s="36"/>
      <c r="AX69" s="36"/>
      <c r="AY69" s="36"/>
      <c r="AZ69" s="36"/>
      <c r="BA69" s="36"/>
      <c r="BB69" s="36"/>
    </row>
    <row r="70" spans="1:54" x14ac:dyDescent="0.25">
      <c r="A70" s="34"/>
      <c r="B70" s="34"/>
      <c r="C70" s="34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37"/>
      <c r="BA70" s="37"/>
      <c r="BB70" s="37"/>
    </row>
    <row r="71" spans="1:54" s="5" customFormat="1" x14ac:dyDescent="0.25">
      <c r="A71" s="32"/>
      <c r="B71" s="32"/>
      <c r="C71" s="32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6"/>
      <c r="AD71" s="33"/>
      <c r="AE71" s="33"/>
      <c r="AF71" s="33"/>
      <c r="AG71" s="33"/>
      <c r="AH71" s="33"/>
      <c r="AI71" s="33"/>
      <c r="AJ71" s="33"/>
      <c r="AK71" s="33"/>
      <c r="AL71" s="33"/>
      <c r="AM71" s="33"/>
      <c r="AN71" s="33"/>
      <c r="AO71" s="36"/>
      <c r="AP71" s="33"/>
      <c r="AQ71" s="33"/>
      <c r="AR71" s="33"/>
      <c r="AS71" s="33"/>
      <c r="AT71" s="36"/>
      <c r="AU71" s="33"/>
      <c r="AV71" s="33"/>
      <c r="AW71" s="33"/>
      <c r="AX71" s="33"/>
      <c r="AY71" s="33"/>
      <c r="AZ71" s="33"/>
      <c r="BA71" s="33"/>
      <c r="BB71" s="33"/>
    </row>
    <row r="72" spans="1:54" x14ac:dyDescent="0.25">
      <c r="A72" s="34"/>
      <c r="B72" s="34"/>
      <c r="C72" s="34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35"/>
      <c r="AE72" s="35"/>
      <c r="AF72" s="35"/>
      <c r="AG72" s="35"/>
      <c r="AH72" s="35"/>
      <c r="AI72" s="35"/>
      <c r="AJ72" s="35"/>
      <c r="AK72" s="35"/>
      <c r="AL72" s="35"/>
      <c r="AM72" s="35"/>
      <c r="AN72" s="35"/>
      <c r="AO72" s="35"/>
      <c r="AP72" s="35"/>
      <c r="AQ72" s="35"/>
      <c r="AR72" s="35"/>
      <c r="AS72" s="35"/>
      <c r="AT72" s="35"/>
      <c r="AU72" s="35"/>
      <c r="AV72" s="35"/>
      <c r="AW72" s="35"/>
      <c r="AX72" s="35"/>
      <c r="AY72" s="35"/>
      <c r="AZ72" s="35"/>
      <c r="BA72" s="35"/>
      <c r="BB72" s="35"/>
    </row>
    <row r="73" spans="1:54" s="5" customFormat="1" x14ac:dyDescent="0.25">
      <c r="A73" s="32"/>
      <c r="B73" s="32"/>
      <c r="C73" s="32"/>
      <c r="D73" s="36"/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  <c r="AA73" s="36"/>
      <c r="AB73" s="36"/>
      <c r="AC73" s="36"/>
      <c r="AD73" s="36"/>
      <c r="AE73" s="36"/>
      <c r="AF73" s="36"/>
      <c r="AG73" s="36"/>
      <c r="AH73" s="36"/>
      <c r="AI73" s="36"/>
      <c r="AJ73" s="36"/>
      <c r="AK73" s="36"/>
      <c r="AL73" s="36"/>
      <c r="AM73" s="36"/>
      <c r="AN73" s="36"/>
      <c r="AO73" s="36"/>
      <c r="AP73" s="36"/>
      <c r="AQ73" s="36"/>
      <c r="AR73" s="36"/>
      <c r="AS73" s="36"/>
      <c r="AT73" s="36"/>
      <c r="AU73" s="36"/>
      <c r="AV73" s="36"/>
      <c r="AW73" s="36"/>
      <c r="AX73" s="36"/>
      <c r="AY73" s="36"/>
      <c r="AZ73" s="36"/>
      <c r="BA73" s="36"/>
      <c r="BB73" s="36"/>
    </row>
    <row r="74" spans="1:54" x14ac:dyDescent="0.25">
      <c r="A74" s="34"/>
      <c r="B74" s="34"/>
      <c r="C74" s="34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35"/>
      <c r="AE74" s="35"/>
      <c r="AF74" s="35"/>
      <c r="AG74" s="35"/>
      <c r="AH74" s="35"/>
      <c r="AI74" s="35"/>
      <c r="AJ74" s="35"/>
      <c r="AK74" s="35"/>
      <c r="AL74" s="35"/>
      <c r="AM74" s="35"/>
      <c r="AN74" s="35"/>
      <c r="AO74" s="35"/>
      <c r="AP74" s="35"/>
      <c r="AQ74" s="35"/>
      <c r="AR74" s="35"/>
      <c r="AS74" s="35"/>
      <c r="AT74" s="35"/>
      <c r="AU74" s="37"/>
      <c r="AV74" s="37"/>
      <c r="AW74" s="37"/>
      <c r="AX74" s="37"/>
      <c r="AY74" s="37"/>
      <c r="AZ74" s="37"/>
      <c r="BA74" s="37"/>
      <c r="BB74" s="37"/>
    </row>
    <row r="75" spans="1:54" s="5" customFormat="1" x14ac:dyDescent="0.25">
      <c r="A75" s="32"/>
      <c r="B75" s="32"/>
      <c r="C75" s="32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3"/>
      <c r="AY75" s="33"/>
      <c r="AZ75" s="33"/>
      <c r="BA75" s="33"/>
      <c r="BB75" s="33"/>
    </row>
    <row r="76" spans="1:54" x14ac:dyDescent="0.25">
      <c r="A76" s="34"/>
      <c r="B76" s="34"/>
      <c r="C76" s="34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35"/>
      <c r="AE76" s="35"/>
      <c r="AF76" s="35"/>
      <c r="AG76" s="35"/>
      <c r="AH76" s="35"/>
      <c r="AI76" s="35"/>
      <c r="AJ76" s="35"/>
      <c r="AK76" s="35"/>
      <c r="AL76" s="35"/>
      <c r="AM76" s="35"/>
      <c r="AN76" s="35"/>
      <c r="AO76" s="35"/>
      <c r="AP76" s="35"/>
      <c r="AQ76" s="35"/>
      <c r="AR76" s="35"/>
      <c r="AS76" s="35"/>
      <c r="AT76" s="35"/>
      <c r="AU76" s="35"/>
      <c r="AV76" s="35"/>
      <c r="AW76" s="35"/>
      <c r="AX76" s="35"/>
      <c r="AY76" s="35"/>
      <c r="AZ76" s="35"/>
      <c r="BA76" s="35"/>
      <c r="BB76" s="35"/>
    </row>
    <row r="77" spans="1:54" s="5" customFormat="1" x14ac:dyDescent="0.25">
      <c r="A77" s="32"/>
      <c r="B77" s="32"/>
      <c r="C77" s="32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6"/>
      <c r="AR77" s="33"/>
      <c r="AS77" s="33"/>
      <c r="AT77" s="33"/>
      <c r="AU77" s="36"/>
      <c r="AV77" s="36"/>
      <c r="AW77" s="36"/>
      <c r="AX77" s="36"/>
      <c r="AY77" s="36"/>
      <c r="AZ77" s="36"/>
      <c r="BA77" s="36"/>
      <c r="BB77" s="36"/>
    </row>
    <row r="78" spans="1:54" s="5" customFormat="1" x14ac:dyDescent="0.25">
      <c r="A78" s="34"/>
      <c r="B78" s="34"/>
      <c r="C78" s="34"/>
      <c r="D78" s="37"/>
      <c r="E78" s="37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  <c r="AP78" s="37"/>
      <c r="AQ78" s="37"/>
      <c r="AR78" s="37"/>
      <c r="AS78" s="37"/>
      <c r="AT78" s="37"/>
      <c r="AU78" s="37"/>
      <c r="AV78" s="37"/>
      <c r="AW78" s="37"/>
      <c r="AX78" s="37"/>
      <c r="AY78" s="37"/>
      <c r="AZ78" s="37"/>
      <c r="BA78" s="37"/>
      <c r="BB78" s="37"/>
    </row>
    <row r="79" spans="1:54" x14ac:dyDescent="0.25">
      <c r="A79" s="34"/>
      <c r="B79" s="32"/>
      <c r="C79" s="32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3"/>
      <c r="AY79" s="33"/>
      <c r="AZ79" s="33"/>
      <c r="BA79" s="33"/>
      <c r="BB79" s="33"/>
    </row>
    <row r="80" spans="1:54" s="5" customFormat="1" x14ac:dyDescent="0.25">
      <c r="A80" s="34"/>
      <c r="B80" s="34"/>
      <c r="C80" s="34"/>
      <c r="D80" s="35"/>
      <c r="E80" s="35"/>
      <c r="F80" s="35"/>
      <c r="G80" s="35"/>
      <c r="H80" s="35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37"/>
      <c r="AP80" s="37"/>
      <c r="AQ80" s="37"/>
      <c r="AR80" s="37"/>
      <c r="AS80" s="37"/>
      <c r="AT80" s="37"/>
      <c r="AU80" s="37"/>
      <c r="AV80" s="37"/>
      <c r="AW80" s="37"/>
      <c r="AX80" s="37"/>
      <c r="AY80" s="37"/>
      <c r="AZ80" s="37"/>
      <c r="BA80" s="37"/>
      <c r="BB80" s="37"/>
    </row>
    <row r="81" spans="1:54" x14ac:dyDescent="0.25">
      <c r="A81" s="34"/>
      <c r="B81" s="32"/>
      <c r="C81" s="32"/>
      <c r="D81" s="36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36"/>
      <c r="AE81" s="36"/>
      <c r="AF81" s="36"/>
      <c r="AG81" s="36"/>
      <c r="AH81" s="36"/>
      <c r="AI81" s="36"/>
      <c r="AJ81" s="36"/>
      <c r="AK81" s="36"/>
      <c r="AL81" s="36"/>
      <c r="AM81" s="36"/>
      <c r="AN81" s="36"/>
      <c r="AO81" s="36"/>
      <c r="AP81" s="36"/>
      <c r="AQ81" s="36"/>
      <c r="AR81" s="36"/>
      <c r="AS81" s="36"/>
      <c r="AT81" s="36"/>
      <c r="AU81" s="36"/>
      <c r="AV81" s="36"/>
      <c r="AW81" s="36"/>
      <c r="AX81" s="36"/>
      <c r="AY81" s="36"/>
      <c r="AZ81" s="36"/>
      <c r="BA81" s="36"/>
      <c r="BB81" s="36"/>
    </row>
    <row r="82" spans="1:54" s="5" customFormat="1" x14ac:dyDescent="0.25">
      <c r="A82" s="32"/>
      <c r="B82" s="32"/>
      <c r="C82" s="32"/>
      <c r="D82" s="33"/>
      <c r="E82" s="33"/>
      <c r="F82" s="33"/>
      <c r="G82" s="33"/>
      <c r="H82" s="33"/>
      <c r="I82" s="33"/>
      <c r="J82" s="33"/>
      <c r="K82" s="33"/>
      <c r="L82" s="33"/>
      <c r="M82" s="36"/>
      <c r="N82" s="36"/>
      <c r="O82" s="36"/>
      <c r="P82" s="33"/>
      <c r="Q82" s="36"/>
      <c r="R82" s="36"/>
      <c r="S82" s="36"/>
      <c r="T82" s="36"/>
      <c r="U82" s="36"/>
      <c r="V82" s="36"/>
      <c r="W82" s="36"/>
      <c r="X82" s="36"/>
      <c r="Y82" s="36"/>
      <c r="Z82" s="36"/>
      <c r="AA82" s="36"/>
      <c r="AB82" s="36"/>
      <c r="AC82" s="36"/>
      <c r="AD82" s="36"/>
      <c r="AE82" s="36"/>
      <c r="AF82" s="36"/>
      <c r="AG82" s="36"/>
      <c r="AH82" s="36"/>
      <c r="AI82" s="36"/>
      <c r="AJ82" s="36"/>
      <c r="AK82" s="36"/>
      <c r="AL82" s="36"/>
      <c r="AM82" s="36"/>
      <c r="AN82" s="36"/>
      <c r="AO82" s="36"/>
      <c r="AP82" s="36"/>
      <c r="AQ82" s="36"/>
      <c r="AR82" s="36"/>
      <c r="AS82" s="36"/>
      <c r="AT82" s="36"/>
      <c r="AU82" s="36"/>
      <c r="AV82" s="36"/>
      <c r="AW82" s="36"/>
      <c r="AX82" s="36"/>
      <c r="AY82" s="36"/>
      <c r="AZ82" s="36"/>
      <c r="BA82" s="36"/>
      <c r="BB82" s="36"/>
    </row>
    <row r="83" spans="1:54" x14ac:dyDescent="0.25">
      <c r="A83" s="34"/>
      <c r="B83" s="34"/>
      <c r="C83" s="34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  <c r="AK83" s="37"/>
      <c r="AL83" s="37"/>
      <c r="AM83" s="37"/>
      <c r="AN83" s="37"/>
      <c r="AO83" s="37"/>
      <c r="AP83" s="37"/>
      <c r="AQ83" s="37"/>
      <c r="AR83" s="37"/>
      <c r="AS83" s="37"/>
      <c r="AT83" s="37"/>
      <c r="AU83" s="37"/>
      <c r="AV83" s="37"/>
      <c r="AW83" s="37"/>
      <c r="AX83" s="37"/>
      <c r="AY83" s="37"/>
      <c r="AZ83" s="37"/>
      <c r="BA83" s="37"/>
      <c r="BB83" s="37"/>
    </row>
    <row r="84" spans="1:54" s="5" customFormat="1" x14ac:dyDescent="0.25">
      <c r="A84" s="32"/>
      <c r="B84" s="32"/>
      <c r="C84" s="32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  <c r="AG84" s="33"/>
      <c r="AH84" s="33"/>
      <c r="AI84" s="33"/>
      <c r="AJ84" s="33"/>
      <c r="AK84" s="33"/>
      <c r="AL84" s="33"/>
      <c r="AM84" s="33"/>
      <c r="AN84" s="33"/>
      <c r="AO84" s="33"/>
      <c r="AP84" s="33"/>
      <c r="AQ84" s="33"/>
      <c r="AR84" s="33"/>
      <c r="AS84" s="33"/>
      <c r="AT84" s="33"/>
      <c r="AU84" s="36"/>
      <c r="AV84" s="33"/>
      <c r="AW84" s="33"/>
      <c r="AX84" s="33"/>
      <c r="AY84" s="33"/>
      <c r="AZ84" s="33"/>
      <c r="BA84" s="36"/>
      <c r="BB84" s="36"/>
    </row>
    <row r="85" spans="1:54" x14ac:dyDescent="0.25">
      <c r="A85" s="34"/>
      <c r="B85" s="34"/>
      <c r="C85" s="34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</row>
    <row r="86" spans="1:54" s="5" customFormat="1" x14ac:dyDescent="0.25">
      <c r="A86" s="32"/>
      <c r="B86" s="32"/>
      <c r="C86" s="32"/>
      <c r="D86" s="33"/>
      <c r="E86" s="33"/>
      <c r="F86" s="33"/>
      <c r="G86" s="33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  <c r="AJ86" s="36"/>
      <c r="AK86" s="36"/>
      <c r="AL86" s="36"/>
      <c r="AM86" s="36"/>
      <c r="AN86" s="36"/>
      <c r="AO86" s="36"/>
      <c r="AP86" s="36"/>
      <c r="AQ86" s="36"/>
      <c r="AR86" s="36"/>
      <c r="AS86" s="36"/>
      <c r="AT86" s="36"/>
      <c r="AU86" s="36"/>
      <c r="AV86" s="36"/>
      <c r="AW86" s="36"/>
      <c r="AX86" s="36"/>
      <c r="AY86" s="36"/>
      <c r="AZ86" s="36"/>
      <c r="BA86" s="36"/>
      <c r="BB86" s="36"/>
    </row>
    <row r="87" spans="1:54" x14ac:dyDescent="0.25">
      <c r="A87" s="34"/>
      <c r="B87" s="34"/>
      <c r="C87" s="34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7"/>
      <c r="R87" s="37"/>
      <c r="S87" s="35"/>
      <c r="T87" s="35"/>
      <c r="U87" s="35"/>
      <c r="V87" s="35"/>
      <c r="W87" s="35"/>
      <c r="X87" s="37"/>
      <c r="Y87" s="35"/>
      <c r="Z87" s="35"/>
      <c r="AA87" s="35"/>
      <c r="AB87" s="35"/>
      <c r="AC87" s="35"/>
      <c r="AD87" s="35"/>
      <c r="AE87" s="35"/>
      <c r="AF87" s="35"/>
      <c r="AG87" s="35"/>
      <c r="AH87" s="35"/>
      <c r="AI87" s="35"/>
      <c r="AJ87" s="37"/>
      <c r="AK87" s="35"/>
      <c r="AL87" s="37"/>
      <c r="AM87" s="35"/>
      <c r="AN87" s="35"/>
      <c r="AO87" s="37"/>
      <c r="AP87" s="35"/>
      <c r="AQ87" s="37"/>
      <c r="AR87" s="37"/>
      <c r="AS87" s="37"/>
      <c r="AT87" s="37"/>
      <c r="AU87" s="37"/>
      <c r="AV87" s="37"/>
      <c r="AW87" s="37"/>
      <c r="AX87" s="37"/>
      <c r="AY87" s="37"/>
      <c r="AZ87" s="37"/>
      <c r="BA87" s="37"/>
      <c r="BB87" s="37"/>
    </row>
    <row r="88" spans="1:54" s="5" customFormat="1" x14ac:dyDescent="0.25">
      <c r="A88" s="32"/>
      <c r="B88" s="32"/>
      <c r="C88" s="32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6"/>
      <c r="Y88" s="36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  <c r="AL88" s="33"/>
      <c r="AM88" s="33"/>
      <c r="AN88" s="33"/>
      <c r="AO88" s="33"/>
      <c r="AP88" s="33"/>
      <c r="AQ88" s="33"/>
      <c r="AR88" s="33"/>
      <c r="AS88" s="33"/>
      <c r="AT88" s="33"/>
      <c r="AU88" s="33"/>
      <c r="AV88" s="33"/>
      <c r="AW88" s="33"/>
      <c r="AX88" s="33"/>
      <c r="AY88" s="33"/>
      <c r="AZ88" s="33"/>
      <c r="BA88" s="33"/>
      <c r="BB88" s="36"/>
    </row>
    <row r="89" spans="1:54" x14ac:dyDescent="0.25">
      <c r="A89" s="34"/>
      <c r="B89" s="34"/>
      <c r="C89" s="34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7"/>
      <c r="AY89" s="37"/>
      <c r="AZ89" s="37"/>
      <c r="BA89" s="37"/>
      <c r="BB89" s="37"/>
    </row>
    <row r="90" spans="1:54" s="5" customFormat="1" x14ac:dyDescent="0.25">
      <c r="A90" s="32"/>
      <c r="B90" s="32"/>
      <c r="C90" s="32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3"/>
      <c r="AY90" s="33"/>
      <c r="AZ90" s="33"/>
      <c r="BA90" s="33"/>
      <c r="BB90" s="33"/>
    </row>
    <row r="91" spans="1:54" x14ac:dyDescent="0.25">
      <c r="A91" s="34"/>
      <c r="B91" s="34"/>
      <c r="C91" s="34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  <c r="AB91" s="35"/>
      <c r="AC91" s="35"/>
      <c r="AD91" s="35"/>
      <c r="AE91" s="35"/>
      <c r="AF91" s="35"/>
      <c r="AG91" s="35"/>
      <c r="AH91" s="35"/>
      <c r="AI91" s="35"/>
      <c r="AJ91" s="35"/>
      <c r="AK91" s="35"/>
      <c r="AL91" s="35"/>
      <c r="AM91" s="35"/>
      <c r="AN91" s="35"/>
      <c r="AO91" s="35"/>
      <c r="AP91" s="35"/>
      <c r="AQ91" s="35"/>
      <c r="AR91" s="35"/>
      <c r="AS91" s="35"/>
      <c r="AT91" s="35"/>
      <c r="AU91" s="35"/>
      <c r="AV91" s="35"/>
      <c r="AW91" s="35"/>
      <c r="AX91" s="35"/>
      <c r="AY91" s="35"/>
      <c r="AZ91" s="35"/>
      <c r="BA91" s="35"/>
      <c r="BB91" s="35"/>
    </row>
    <row r="92" spans="1:54" s="5" customFormat="1" x14ac:dyDescent="0.25">
      <c r="A92" s="32"/>
      <c r="B92" s="32"/>
      <c r="C92" s="32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3"/>
      <c r="AY92" s="33"/>
      <c r="AZ92" s="33"/>
      <c r="BA92" s="33"/>
      <c r="BB92" s="33"/>
    </row>
    <row r="93" spans="1:54" x14ac:dyDescent="0.25">
      <c r="A93" s="34"/>
      <c r="B93" s="34"/>
      <c r="C93" s="34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7"/>
      <c r="AD93" s="35"/>
      <c r="AE93" s="37"/>
      <c r="AF93" s="37"/>
      <c r="AG93" s="37"/>
      <c r="AH93" s="37"/>
      <c r="AI93" s="37"/>
      <c r="AJ93" s="37"/>
      <c r="AK93" s="37"/>
      <c r="AL93" s="37"/>
      <c r="AM93" s="37"/>
      <c r="AN93" s="37"/>
      <c r="AO93" s="37"/>
      <c r="AP93" s="37"/>
      <c r="AQ93" s="37"/>
      <c r="AR93" s="37"/>
      <c r="AS93" s="37"/>
      <c r="AT93" s="37"/>
      <c r="AU93" s="37"/>
      <c r="AV93" s="37"/>
      <c r="AW93" s="37"/>
      <c r="AX93" s="37"/>
      <c r="AY93" s="37"/>
      <c r="AZ93" s="37"/>
      <c r="BA93" s="37"/>
      <c r="BB93" s="37"/>
    </row>
    <row r="94" spans="1:54" s="5" customFormat="1" x14ac:dyDescent="0.25">
      <c r="A94" s="32"/>
      <c r="B94" s="32"/>
      <c r="C94" s="32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3"/>
      <c r="AQ94" s="33"/>
      <c r="AR94" s="33"/>
      <c r="AS94" s="33"/>
      <c r="AT94" s="33"/>
      <c r="AU94" s="33"/>
      <c r="AV94" s="33"/>
      <c r="AW94" s="33"/>
      <c r="AX94" s="33"/>
      <c r="AY94" s="33"/>
      <c r="AZ94" s="33"/>
      <c r="BA94" s="33"/>
      <c r="BB94" s="33"/>
    </row>
    <row r="95" spans="1:54" x14ac:dyDescent="0.25">
      <c r="A95" s="34"/>
      <c r="B95" s="34"/>
      <c r="C95" s="34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7"/>
      <c r="AW95" s="37"/>
      <c r="AX95" s="37"/>
      <c r="AY95" s="37"/>
      <c r="AZ95" s="37"/>
      <c r="BA95" s="37"/>
      <c r="BB95" s="37"/>
    </row>
    <row r="96" spans="1:54" s="5" customFormat="1" x14ac:dyDescent="0.25">
      <c r="A96" s="32"/>
      <c r="B96" s="32"/>
      <c r="C96" s="32"/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6"/>
      <c r="AA96" s="33"/>
      <c r="AB96" s="33"/>
      <c r="AC96" s="33"/>
      <c r="AD96" s="36"/>
      <c r="AE96" s="36"/>
      <c r="AF96" s="36"/>
      <c r="AG96" s="36"/>
      <c r="AH96" s="36"/>
      <c r="AI96" s="36"/>
      <c r="AJ96" s="36"/>
      <c r="AK96" s="36"/>
      <c r="AL96" s="36"/>
      <c r="AM96" s="36"/>
      <c r="AN96" s="36"/>
      <c r="AO96" s="36"/>
      <c r="AP96" s="36"/>
      <c r="AQ96" s="36"/>
      <c r="AR96" s="36"/>
      <c r="AS96" s="36"/>
      <c r="AT96" s="36"/>
      <c r="AU96" s="36"/>
      <c r="AV96" s="36"/>
      <c r="AW96" s="36"/>
      <c r="AX96" s="36"/>
      <c r="AY96" s="36"/>
      <c r="AZ96" s="36"/>
      <c r="BA96" s="36"/>
      <c r="BB96" s="36"/>
    </row>
    <row r="97" spans="1:54" x14ac:dyDescent="0.25">
      <c r="A97" s="34"/>
      <c r="B97" s="34"/>
      <c r="C97" s="34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AU97" s="35"/>
      <c r="AV97" s="35"/>
      <c r="AW97" s="35"/>
      <c r="AX97" s="35"/>
      <c r="AY97" s="35"/>
      <c r="AZ97" s="35"/>
      <c r="BA97" s="35"/>
      <c r="BB97" s="35"/>
    </row>
    <row r="98" spans="1:54" s="5" customFormat="1" x14ac:dyDescent="0.25">
      <c r="A98" s="32"/>
      <c r="B98" s="32"/>
      <c r="C98" s="32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  <c r="AL98" s="33"/>
      <c r="AM98" s="33"/>
      <c r="AN98" s="33"/>
      <c r="AO98" s="33"/>
      <c r="AP98" s="33"/>
      <c r="AQ98" s="33"/>
      <c r="AR98" s="33"/>
      <c r="AS98" s="33"/>
      <c r="AT98" s="33"/>
      <c r="AU98" s="33"/>
      <c r="AV98" s="33"/>
      <c r="AW98" s="33"/>
      <c r="AX98" s="33"/>
      <c r="AY98" s="33"/>
      <c r="AZ98" s="33"/>
      <c r="BA98" s="33"/>
      <c r="BB98" s="33"/>
    </row>
    <row r="99" spans="1:54" s="5" customFormat="1" x14ac:dyDescent="0.25">
      <c r="A99" s="34"/>
      <c r="B99" s="34"/>
      <c r="C99" s="34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</row>
    <row r="100" spans="1:54" x14ac:dyDescent="0.25">
      <c r="A100" s="34"/>
      <c r="B100" s="32"/>
      <c r="C100" s="32"/>
      <c r="D100" s="33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6"/>
      <c r="T100" s="36"/>
      <c r="U100" s="36"/>
      <c r="V100" s="36"/>
      <c r="W100" s="33"/>
      <c r="X100" s="33"/>
      <c r="Y100" s="33"/>
      <c r="Z100" s="36"/>
      <c r="AA100" s="33"/>
      <c r="AB100" s="36"/>
      <c r="AC100" s="36"/>
      <c r="AD100" s="36"/>
      <c r="AE100" s="33"/>
      <c r="AF100" s="33"/>
      <c r="AG100" s="33"/>
      <c r="AH100" s="36"/>
      <c r="AI100" s="33"/>
      <c r="AJ100" s="36"/>
      <c r="AK100" s="36"/>
      <c r="AL100" s="36"/>
      <c r="AM100" s="36"/>
      <c r="AN100" s="36"/>
      <c r="AO100" s="36"/>
      <c r="AP100" s="36"/>
      <c r="AQ100" s="36"/>
      <c r="AR100" s="36"/>
      <c r="AS100" s="36"/>
      <c r="AT100" s="36"/>
      <c r="AU100" s="36"/>
      <c r="AV100" s="36"/>
      <c r="AW100" s="36"/>
      <c r="AX100" s="36"/>
      <c r="AY100" s="36"/>
      <c r="AZ100" s="36"/>
      <c r="BA100" s="36"/>
      <c r="BB100" s="36"/>
    </row>
    <row r="101" spans="1:54" s="5" customFormat="1" x14ac:dyDescent="0.25">
      <c r="A101" s="34"/>
      <c r="B101" s="34"/>
      <c r="C101" s="34"/>
      <c r="D101" s="35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R101" s="35"/>
      <c r="S101" s="35"/>
      <c r="T101" s="35"/>
      <c r="U101" s="35"/>
      <c r="V101" s="35"/>
      <c r="W101" s="35"/>
      <c r="X101" s="35"/>
      <c r="Y101" s="35"/>
      <c r="Z101" s="35"/>
      <c r="AA101" s="35"/>
      <c r="AB101" s="35"/>
      <c r="AC101" s="35"/>
      <c r="AD101" s="35"/>
      <c r="AE101" s="35"/>
      <c r="AF101" s="35"/>
      <c r="AG101" s="35"/>
      <c r="AH101" s="35"/>
      <c r="AI101" s="35"/>
      <c r="AJ101" s="35"/>
      <c r="AK101" s="35"/>
      <c r="AL101" s="35"/>
      <c r="AM101" s="35"/>
      <c r="AN101" s="35"/>
      <c r="AO101" s="35"/>
      <c r="AP101" s="35"/>
      <c r="AQ101" s="35"/>
      <c r="AR101" s="35"/>
      <c r="AS101" s="35"/>
      <c r="AT101" s="35"/>
      <c r="AU101" s="35"/>
      <c r="AV101" s="35"/>
      <c r="AW101" s="35"/>
      <c r="AX101" s="35"/>
      <c r="AY101" s="35"/>
      <c r="AZ101" s="35"/>
      <c r="BA101" s="35"/>
      <c r="BB101" s="35"/>
    </row>
    <row r="102" spans="1:54" x14ac:dyDescent="0.25">
      <c r="A102" s="34"/>
      <c r="B102" s="32"/>
      <c r="C102" s="32"/>
      <c r="D102" s="33"/>
      <c r="E102" s="33"/>
      <c r="F102" s="33"/>
      <c r="G102" s="33"/>
      <c r="H102" s="33"/>
      <c r="I102" s="33"/>
      <c r="J102" s="36"/>
      <c r="K102" s="33"/>
      <c r="L102" s="36"/>
      <c r="M102" s="36"/>
      <c r="N102" s="36"/>
      <c r="O102" s="36"/>
      <c r="P102" s="36"/>
      <c r="Q102" s="36"/>
      <c r="R102" s="33"/>
      <c r="S102" s="36"/>
      <c r="T102" s="36"/>
      <c r="U102" s="36"/>
      <c r="V102" s="36"/>
      <c r="W102" s="36"/>
      <c r="X102" s="36"/>
      <c r="Y102" s="33"/>
      <c r="Z102" s="36"/>
      <c r="AA102" s="36"/>
      <c r="AB102" s="36"/>
      <c r="AC102" s="36"/>
      <c r="AD102" s="36"/>
      <c r="AE102" s="36"/>
      <c r="AF102" s="33"/>
      <c r="AG102" s="33"/>
      <c r="AH102" s="36"/>
      <c r="AI102" s="36"/>
      <c r="AJ102" s="36"/>
      <c r="AK102" s="36"/>
      <c r="AL102" s="36"/>
      <c r="AM102" s="36"/>
      <c r="AN102" s="36"/>
      <c r="AO102" s="36"/>
      <c r="AP102" s="36"/>
      <c r="AQ102" s="36"/>
      <c r="AR102" s="36"/>
      <c r="AS102" s="36"/>
      <c r="AT102" s="36"/>
      <c r="AU102" s="36"/>
      <c r="AV102" s="36"/>
      <c r="AW102" s="36"/>
      <c r="AX102" s="36"/>
      <c r="AY102" s="36"/>
      <c r="AZ102" s="36"/>
      <c r="BA102" s="36"/>
      <c r="BB102" s="36"/>
    </row>
    <row r="103" spans="1:54" s="5" customFormat="1" x14ac:dyDescent="0.25">
      <c r="A103" s="32"/>
      <c r="B103" s="32"/>
      <c r="C103" s="32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  <c r="AJ103" s="36"/>
      <c r="AK103" s="36"/>
      <c r="AL103" s="36"/>
      <c r="AM103" s="36"/>
      <c r="AN103" s="36"/>
      <c r="AO103" s="36"/>
      <c r="AP103" s="36"/>
      <c r="AQ103" s="36"/>
      <c r="AR103" s="36"/>
      <c r="AS103" s="36"/>
      <c r="AT103" s="36"/>
      <c r="AU103" s="36"/>
      <c r="AV103" s="36"/>
      <c r="AW103" s="36"/>
      <c r="AX103" s="36"/>
      <c r="AY103" s="36"/>
      <c r="AZ103" s="36"/>
      <c r="BA103" s="36"/>
      <c r="BB103" s="36"/>
    </row>
    <row r="104" spans="1:54" x14ac:dyDescent="0.25">
      <c r="A104" s="34"/>
      <c r="B104" s="34"/>
      <c r="C104" s="34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  <c r="AE104" s="35"/>
      <c r="AF104" s="35"/>
      <c r="AG104" s="35"/>
      <c r="AH104" s="35"/>
      <c r="AI104" s="35"/>
      <c r="AJ104" s="35"/>
      <c r="AK104" s="35"/>
      <c r="AL104" s="35"/>
      <c r="AM104" s="35"/>
      <c r="AN104" s="35"/>
      <c r="AO104" s="35"/>
      <c r="AP104" s="35"/>
      <c r="AQ104" s="35"/>
      <c r="AR104" s="35"/>
      <c r="AS104" s="35"/>
      <c r="AT104" s="35"/>
      <c r="AU104" s="35"/>
      <c r="AV104" s="35"/>
      <c r="AW104" s="35"/>
      <c r="AX104" s="35"/>
      <c r="AY104" s="35"/>
      <c r="AZ104" s="35"/>
      <c r="BA104" s="35"/>
      <c r="BB104" s="35"/>
    </row>
    <row r="105" spans="1:54" s="5" customFormat="1" x14ac:dyDescent="0.25">
      <c r="A105" s="32"/>
      <c r="B105" s="32"/>
      <c r="C105" s="32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  <c r="AA105" s="36"/>
      <c r="AB105" s="36"/>
      <c r="AC105" s="36"/>
      <c r="AD105" s="36"/>
      <c r="AE105" s="36"/>
      <c r="AF105" s="36"/>
      <c r="AG105" s="36"/>
      <c r="AH105" s="36"/>
      <c r="AI105" s="36"/>
      <c r="AJ105" s="36"/>
      <c r="AK105" s="36"/>
      <c r="AL105" s="36"/>
      <c r="AM105" s="36"/>
      <c r="AN105" s="36"/>
      <c r="AO105" s="36"/>
      <c r="AP105" s="36"/>
      <c r="AQ105" s="36"/>
      <c r="AR105" s="36"/>
      <c r="AS105" s="36"/>
      <c r="AT105" s="36"/>
      <c r="AU105" s="36"/>
      <c r="AV105" s="36"/>
      <c r="AW105" s="36"/>
      <c r="AX105" s="36"/>
      <c r="AY105" s="36"/>
      <c r="AZ105" s="36"/>
      <c r="BA105" s="36"/>
      <c r="BB105" s="36"/>
    </row>
    <row r="106" spans="1:54" x14ac:dyDescent="0.25">
      <c r="A106" s="34"/>
      <c r="B106" s="34"/>
      <c r="C106" s="34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  <c r="AD106" s="37"/>
      <c r="AE106" s="37"/>
      <c r="AF106" s="37"/>
      <c r="AG106" s="37"/>
      <c r="AH106" s="37"/>
      <c r="AI106" s="37"/>
      <c r="AJ106" s="37"/>
      <c r="AK106" s="37"/>
      <c r="AL106" s="37"/>
      <c r="AM106" s="37"/>
      <c r="AN106" s="37"/>
      <c r="AO106" s="37"/>
      <c r="AP106" s="37"/>
      <c r="AQ106" s="37"/>
      <c r="AR106" s="37"/>
      <c r="AS106" s="37"/>
      <c r="AT106" s="37"/>
      <c r="AU106" s="37"/>
      <c r="AV106" s="37"/>
      <c r="AW106" s="37"/>
      <c r="AX106" s="37"/>
      <c r="AY106" s="37"/>
      <c r="AZ106" s="37"/>
      <c r="BA106" s="37"/>
      <c r="BB106" s="37"/>
    </row>
    <row r="107" spans="1:54" s="5" customFormat="1" x14ac:dyDescent="0.25">
      <c r="A107" s="32"/>
      <c r="B107" s="32"/>
      <c r="C107" s="32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6"/>
      <c r="W107" s="36"/>
      <c r="X107" s="36"/>
      <c r="Y107" s="36"/>
      <c r="Z107" s="36"/>
      <c r="AA107" s="36"/>
      <c r="AB107" s="36"/>
      <c r="AC107" s="36"/>
      <c r="AD107" s="36"/>
      <c r="AE107" s="36"/>
      <c r="AF107" s="36"/>
      <c r="AG107" s="36"/>
      <c r="AH107" s="36"/>
      <c r="AI107" s="36"/>
      <c r="AJ107" s="36"/>
      <c r="AK107" s="36"/>
      <c r="AL107" s="36"/>
      <c r="AM107" s="36"/>
      <c r="AN107" s="36"/>
      <c r="AO107" s="36"/>
      <c r="AP107" s="36"/>
      <c r="AQ107" s="36"/>
      <c r="AR107" s="36"/>
      <c r="AS107" s="36"/>
      <c r="AT107" s="36"/>
      <c r="AU107" s="36"/>
      <c r="AV107" s="36"/>
      <c r="AW107" s="36"/>
      <c r="AX107" s="36"/>
      <c r="AY107" s="36"/>
      <c r="AZ107" s="36"/>
      <c r="BA107" s="36"/>
      <c r="BB107" s="36"/>
    </row>
    <row r="108" spans="1:54" x14ac:dyDescent="0.25">
      <c r="A108" s="34"/>
      <c r="B108" s="34"/>
      <c r="C108" s="34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7"/>
      <c r="R108" s="35"/>
      <c r="S108" s="35"/>
      <c r="T108" s="35"/>
      <c r="U108" s="35"/>
      <c r="V108" s="37"/>
      <c r="W108" s="37"/>
      <c r="X108" s="35"/>
      <c r="Y108" s="37"/>
      <c r="Z108" s="37"/>
      <c r="AA108" s="35"/>
      <c r="AB108" s="35"/>
      <c r="AC108" s="35"/>
      <c r="AD108" s="37"/>
      <c r="AE108" s="35"/>
      <c r="AF108" s="35"/>
      <c r="AG108" s="35"/>
      <c r="AH108" s="35"/>
      <c r="AI108" s="35"/>
      <c r="AJ108" s="35"/>
      <c r="AK108" s="35"/>
      <c r="AL108" s="37"/>
      <c r="AM108" s="37"/>
      <c r="AN108" s="35"/>
      <c r="AO108" s="35"/>
      <c r="AP108" s="35"/>
      <c r="AQ108" s="35"/>
      <c r="AR108" s="35"/>
      <c r="AS108" s="35"/>
      <c r="AT108" s="35"/>
      <c r="AU108" s="35"/>
      <c r="AV108" s="35"/>
      <c r="AW108" s="35"/>
      <c r="AX108" s="35"/>
      <c r="AY108" s="35"/>
      <c r="AZ108" s="35"/>
      <c r="BA108" s="37"/>
      <c r="BB108" s="37"/>
    </row>
    <row r="109" spans="1:54" s="5" customFormat="1" x14ac:dyDescent="0.25">
      <c r="A109" s="32"/>
      <c r="B109" s="32"/>
      <c r="C109" s="32"/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6"/>
      <c r="AC109" s="36"/>
      <c r="AD109" s="36"/>
      <c r="AE109" s="36"/>
      <c r="AF109" s="36"/>
      <c r="AG109" s="36"/>
      <c r="AH109" s="36"/>
      <c r="AI109" s="36"/>
      <c r="AJ109" s="36"/>
      <c r="AK109" s="36"/>
      <c r="AL109" s="36"/>
      <c r="AM109" s="33"/>
      <c r="AN109" s="36"/>
      <c r="AO109" s="36"/>
      <c r="AP109" s="36"/>
      <c r="AQ109" s="36"/>
      <c r="AR109" s="36"/>
      <c r="AS109" s="36"/>
      <c r="AT109" s="36"/>
      <c r="AU109" s="36"/>
      <c r="AV109" s="36"/>
      <c r="AW109" s="36"/>
      <c r="AX109" s="36"/>
      <c r="AY109" s="33"/>
      <c r="AZ109" s="33"/>
      <c r="BA109" s="33"/>
      <c r="BB109" s="33"/>
    </row>
    <row r="110" spans="1:54" x14ac:dyDescent="0.25">
      <c r="A110" s="34"/>
      <c r="B110" s="34"/>
      <c r="C110" s="34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  <c r="AD110" s="37"/>
      <c r="AE110" s="37"/>
      <c r="AF110" s="37"/>
      <c r="AG110" s="37"/>
      <c r="AH110" s="37"/>
      <c r="AI110" s="37"/>
      <c r="AJ110" s="37"/>
      <c r="AK110" s="37"/>
      <c r="AL110" s="37"/>
      <c r="AM110" s="37"/>
      <c r="AN110" s="37"/>
      <c r="AO110" s="37"/>
      <c r="AP110" s="37"/>
      <c r="AQ110" s="37"/>
      <c r="AR110" s="37"/>
      <c r="AS110" s="37"/>
      <c r="AT110" s="37"/>
      <c r="AU110" s="37"/>
      <c r="AV110" s="37"/>
      <c r="AW110" s="37"/>
      <c r="AX110" s="37"/>
      <c r="AY110" s="37"/>
      <c r="AZ110" s="37"/>
      <c r="BA110" s="37"/>
      <c r="BB110" s="37"/>
    </row>
    <row r="111" spans="1:54" s="5" customFormat="1" x14ac:dyDescent="0.25">
      <c r="A111" s="32"/>
      <c r="B111" s="32"/>
      <c r="C111" s="32"/>
      <c r="D111" s="36"/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  <c r="R111" s="36"/>
      <c r="S111" s="36"/>
      <c r="T111" s="36"/>
      <c r="U111" s="36"/>
      <c r="V111" s="36"/>
      <c r="W111" s="36"/>
      <c r="X111" s="36"/>
      <c r="Y111" s="36"/>
      <c r="Z111" s="36"/>
      <c r="AA111" s="36"/>
      <c r="AB111" s="36"/>
      <c r="AC111" s="36"/>
      <c r="AD111" s="36"/>
      <c r="AE111" s="36"/>
      <c r="AF111" s="36"/>
      <c r="AG111" s="36"/>
      <c r="AH111" s="36"/>
      <c r="AI111" s="36"/>
      <c r="AJ111" s="36"/>
      <c r="AK111" s="36"/>
      <c r="AL111" s="36"/>
      <c r="AM111" s="36"/>
      <c r="AN111" s="36"/>
      <c r="AO111" s="36"/>
      <c r="AP111" s="36"/>
      <c r="AQ111" s="36"/>
      <c r="AR111" s="36"/>
      <c r="AS111" s="36"/>
      <c r="AT111" s="36"/>
      <c r="AU111" s="36"/>
      <c r="AV111" s="36"/>
      <c r="AW111" s="36"/>
      <c r="AX111" s="36"/>
      <c r="AY111" s="36"/>
      <c r="AZ111" s="36"/>
      <c r="BA111" s="36"/>
      <c r="BB111" s="36"/>
    </row>
    <row r="112" spans="1:54" x14ac:dyDescent="0.25">
      <c r="A112" s="34"/>
      <c r="B112" s="34"/>
      <c r="C112" s="34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7"/>
      <c r="Q112" s="37"/>
      <c r="R112" s="35"/>
      <c r="S112" s="35"/>
      <c r="T112" s="35"/>
      <c r="U112" s="37"/>
      <c r="V112" s="37"/>
      <c r="W112" s="37"/>
      <c r="X112" s="37"/>
      <c r="Y112" s="37"/>
      <c r="Z112" s="37"/>
      <c r="AA112" s="35"/>
      <c r="AB112" s="35"/>
      <c r="AC112" s="35"/>
      <c r="AD112" s="35"/>
      <c r="AE112" s="35"/>
      <c r="AF112" s="37"/>
      <c r="AG112" s="37"/>
      <c r="AH112" s="37"/>
      <c r="AI112" s="37"/>
      <c r="AJ112" s="35"/>
      <c r="AK112" s="35"/>
      <c r="AL112" s="37"/>
      <c r="AM112" s="37"/>
      <c r="AN112" s="37"/>
      <c r="AO112" s="37"/>
      <c r="AP112" s="35"/>
      <c r="AQ112" s="35"/>
      <c r="AR112" s="35"/>
      <c r="AS112" s="35"/>
      <c r="AT112" s="37"/>
      <c r="AU112" s="37"/>
      <c r="AV112" s="37"/>
      <c r="AW112" s="37"/>
      <c r="AX112" s="37"/>
      <c r="AY112" s="37"/>
      <c r="AZ112" s="37"/>
      <c r="BA112" s="37"/>
      <c r="BB112" s="37"/>
    </row>
    <row r="113" spans="1:54" s="5" customFormat="1" x14ac:dyDescent="0.25">
      <c r="A113" s="32"/>
      <c r="B113" s="32"/>
      <c r="C113" s="32"/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6"/>
      <c r="AD113" s="36"/>
      <c r="AE113" s="36"/>
      <c r="AF113" s="36"/>
      <c r="AG113" s="33"/>
      <c r="AH113" s="33"/>
      <c r="AI113" s="33"/>
      <c r="AJ113" s="33"/>
      <c r="AK113" s="33"/>
      <c r="AL113" s="33"/>
      <c r="AM113" s="33"/>
      <c r="AN113" s="33"/>
      <c r="AO113" s="33"/>
      <c r="AP113" s="33"/>
      <c r="AQ113" s="36"/>
      <c r="AR113" s="33"/>
      <c r="AS113" s="33"/>
      <c r="AT113" s="33"/>
      <c r="AU113" s="33"/>
      <c r="AV113" s="33"/>
      <c r="AW113" s="33"/>
      <c r="AX113" s="33"/>
      <c r="AY113" s="33"/>
      <c r="AZ113" s="33"/>
      <c r="BA113" s="33"/>
      <c r="BB113" s="33"/>
    </row>
    <row r="114" spans="1:54" x14ac:dyDescent="0.25">
      <c r="A114" s="34"/>
      <c r="B114" s="34"/>
      <c r="C114" s="34"/>
      <c r="D114" s="37"/>
      <c r="E114" s="37"/>
      <c r="F114" s="37"/>
      <c r="G114" s="37"/>
      <c r="H114" s="37"/>
      <c r="I114" s="37"/>
      <c r="J114" s="37"/>
      <c r="K114" s="37"/>
      <c r="L114" s="37"/>
      <c r="M114" s="37"/>
      <c r="N114" s="37"/>
      <c r="O114" s="37"/>
      <c r="P114" s="37"/>
      <c r="Q114" s="37"/>
      <c r="R114" s="37"/>
      <c r="S114" s="37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  <c r="AD114" s="37"/>
      <c r="AE114" s="37"/>
      <c r="AF114" s="37"/>
      <c r="AG114" s="37"/>
      <c r="AH114" s="37"/>
      <c r="AI114" s="37"/>
      <c r="AJ114" s="37"/>
      <c r="AK114" s="37"/>
      <c r="AL114" s="37"/>
      <c r="AM114" s="37"/>
      <c r="AN114" s="37"/>
      <c r="AO114" s="37"/>
      <c r="AP114" s="37"/>
      <c r="AQ114" s="37"/>
      <c r="AR114" s="37"/>
      <c r="AS114" s="37"/>
      <c r="AT114" s="37"/>
      <c r="AU114" s="37"/>
      <c r="AV114" s="37"/>
      <c r="AW114" s="37"/>
      <c r="AX114" s="37"/>
      <c r="AY114" s="37"/>
      <c r="AZ114" s="37"/>
      <c r="BA114" s="37"/>
      <c r="BB114" s="37"/>
    </row>
    <row r="115" spans="1:54" s="5" customFormat="1" x14ac:dyDescent="0.25">
      <c r="A115" s="32"/>
      <c r="B115" s="32"/>
      <c r="C115" s="32"/>
      <c r="D115" s="33"/>
      <c r="E115" s="33"/>
      <c r="F115" s="33"/>
      <c r="G115" s="33"/>
      <c r="H115" s="36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36"/>
      <c r="AA115" s="36"/>
      <c r="AB115" s="36"/>
      <c r="AC115" s="36"/>
      <c r="AD115" s="36"/>
      <c r="AE115" s="36"/>
      <c r="AF115" s="36"/>
      <c r="AG115" s="36"/>
      <c r="AH115" s="36"/>
      <c r="AI115" s="36"/>
      <c r="AJ115" s="36"/>
      <c r="AK115" s="36"/>
      <c r="AL115" s="36"/>
      <c r="AM115" s="36"/>
      <c r="AN115" s="36"/>
      <c r="AO115" s="36"/>
      <c r="AP115" s="36"/>
      <c r="AQ115" s="36"/>
      <c r="AR115" s="36"/>
      <c r="AS115" s="36"/>
      <c r="AT115" s="36"/>
      <c r="AU115" s="36"/>
      <c r="AV115" s="36"/>
      <c r="AW115" s="36"/>
      <c r="AX115" s="36"/>
      <c r="AY115" s="36"/>
      <c r="AZ115" s="36"/>
      <c r="BA115" s="36"/>
      <c r="BB115" s="36"/>
    </row>
    <row r="116" spans="1:54" x14ac:dyDescent="0.25">
      <c r="A116" s="34"/>
      <c r="B116" s="34"/>
      <c r="C116" s="34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35"/>
      <c r="AE116" s="35"/>
      <c r="AF116" s="35"/>
      <c r="AG116" s="35"/>
      <c r="AH116" s="35"/>
      <c r="AI116" s="35"/>
      <c r="AJ116" s="35"/>
      <c r="AK116" s="35"/>
      <c r="AL116" s="35"/>
      <c r="AM116" s="35"/>
      <c r="AN116" s="37"/>
      <c r="AO116" s="37"/>
      <c r="AP116" s="37"/>
      <c r="AQ116" s="37"/>
      <c r="AR116" s="37"/>
      <c r="AS116" s="37"/>
      <c r="AT116" s="37"/>
      <c r="AU116" s="37"/>
      <c r="AV116" s="37"/>
      <c r="AW116" s="37"/>
      <c r="AX116" s="37"/>
      <c r="AY116" s="37"/>
      <c r="AZ116" s="37"/>
      <c r="BA116" s="37"/>
      <c r="BB116" s="37"/>
    </row>
    <row r="117" spans="1:54" s="5" customFormat="1" x14ac:dyDescent="0.25">
      <c r="A117" s="32"/>
      <c r="B117" s="32"/>
      <c r="C117" s="32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  <c r="AA117" s="33"/>
      <c r="AB117" s="36"/>
      <c r="AC117" s="36"/>
      <c r="AD117" s="36"/>
      <c r="AE117" s="36"/>
      <c r="AF117" s="36"/>
      <c r="AG117" s="36"/>
      <c r="AH117" s="36"/>
      <c r="AI117" s="36"/>
      <c r="AJ117" s="33"/>
      <c r="AK117" s="36"/>
      <c r="AL117" s="33"/>
      <c r="AM117" s="33"/>
      <c r="AN117" s="33"/>
      <c r="AO117" s="33"/>
      <c r="AP117" s="33"/>
      <c r="AQ117" s="33"/>
      <c r="AR117" s="33"/>
      <c r="AS117" s="33"/>
      <c r="AT117" s="33"/>
      <c r="AU117" s="33"/>
      <c r="AV117" s="33"/>
      <c r="AW117" s="33"/>
      <c r="AX117" s="33"/>
      <c r="AY117" s="33"/>
      <c r="AZ117" s="33"/>
      <c r="BA117" s="33"/>
      <c r="BB117" s="33"/>
    </row>
    <row r="118" spans="1:54" x14ac:dyDescent="0.25">
      <c r="A118" s="34"/>
      <c r="B118" s="34"/>
      <c r="C118" s="34"/>
      <c r="D118" s="35"/>
      <c r="E118" s="35"/>
      <c r="F118" s="35"/>
      <c r="G118" s="35"/>
      <c r="H118" s="37"/>
      <c r="I118" s="37"/>
      <c r="J118" s="37"/>
      <c r="K118" s="37"/>
      <c r="L118" s="37"/>
      <c r="M118" s="37"/>
      <c r="N118" s="37"/>
      <c r="O118" s="37"/>
      <c r="P118" s="37"/>
      <c r="Q118" s="37"/>
      <c r="R118" s="37"/>
      <c r="S118" s="37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  <c r="AD118" s="37"/>
      <c r="AE118" s="37"/>
      <c r="AF118" s="37"/>
      <c r="AG118" s="37"/>
      <c r="AH118" s="37"/>
      <c r="AI118" s="37"/>
      <c r="AJ118" s="37"/>
      <c r="AK118" s="37"/>
      <c r="AL118" s="37"/>
      <c r="AM118" s="37"/>
      <c r="AN118" s="37"/>
      <c r="AO118" s="37"/>
      <c r="AP118" s="37"/>
      <c r="AQ118" s="37"/>
      <c r="AR118" s="37"/>
      <c r="AS118" s="37"/>
      <c r="AT118" s="37"/>
      <c r="AU118" s="37"/>
      <c r="AV118" s="37"/>
      <c r="AW118" s="37"/>
      <c r="AX118" s="37"/>
      <c r="AY118" s="37"/>
      <c r="AZ118" s="37"/>
      <c r="BA118" s="37"/>
      <c r="BB118" s="37"/>
    </row>
    <row r="119" spans="1:54" s="5" customFormat="1" x14ac:dyDescent="0.25">
      <c r="A119" s="32"/>
      <c r="B119" s="32"/>
      <c r="C119" s="32"/>
      <c r="D119" s="36"/>
      <c r="E119" s="36"/>
      <c r="F119" s="36"/>
      <c r="G119" s="36"/>
      <c r="H119" s="36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6"/>
      <c r="T119" s="36"/>
      <c r="U119" s="36"/>
      <c r="V119" s="36"/>
      <c r="W119" s="36"/>
      <c r="X119" s="36"/>
      <c r="Y119" s="36"/>
      <c r="Z119" s="36"/>
      <c r="AA119" s="36"/>
      <c r="AB119" s="36"/>
      <c r="AC119" s="36"/>
      <c r="AD119" s="36"/>
      <c r="AE119" s="36"/>
      <c r="AF119" s="36"/>
      <c r="AG119" s="36"/>
      <c r="AH119" s="36"/>
      <c r="AI119" s="36"/>
      <c r="AJ119" s="36"/>
      <c r="AK119" s="36"/>
      <c r="AL119" s="36"/>
      <c r="AM119" s="36"/>
      <c r="AN119" s="36"/>
      <c r="AO119" s="36"/>
      <c r="AP119" s="36"/>
      <c r="AQ119" s="36"/>
      <c r="AR119" s="36"/>
      <c r="AS119" s="36"/>
      <c r="AT119" s="36"/>
      <c r="AU119" s="36"/>
      <c r="AV119" s="36"/>
      <c r="AW119" s="36"/>
      <c r="AX119" s="36"/>
      <c r="AY119" s="36"/>
      <c r="AZ119" s="36"/>
      <c r="BA119" s="36"/>
      <c r="BB119" s="36"/>
    </row>
    <row r="120" spans="1:54" x14ac:dyDescent="0.25">
      <c r="A120" s="34"/>
      <c r="B120" s="34"/>
      <c r="C120" s="34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35"/>
      <c r="Z120" s="35"/>
      <c r="AA120" s="35"/>
      <c r="AB120" s="35"/>
      <c r="AC120" s="35"/>
      <c r="AD120" s="35"/>
      <c r="AE120" s="35"/>
      <c r="AF120" s="37"/>
      <c r="AG120" s="35"/>
      <c r="AH120" s="35"/>
      <c r="AI120" s="35"/>
      <c r="AJ120" s="35"/>
      <c r="AK120" s="35"/>
      <c r="AL120" s="37"/>
      <c r="AM120" s="35"/>
      <c r="AN120" s="35"/>
      <c r="AO120" s="35"/>
      <c r="AP120" s="35"/>
      <c r="AQ120" s="35"/>
      <c r="AR120" s="35"/>
      <c r="AS120" s="35"/>
      <c r="AT120" s="35"/>
      <c r="AU120" s="37"/>
      <c r="AV120" s="35"/>
      <c r="AW120" s="35"/>
      <c r="AX120" s="35"/>
      <c r="AY120" s="35"/>
      <c r="AZ120" s="35"/>
      <c r="BA120" s="35"/>
      <c r="BB120" s="35"/>
    </row>
    <row r="121" spans="1:54" s="5" customFormat="1" x14ac:dyDescent="0.25">
      <c r="A121" s="32"/>
      <c r="B121" s="32"/>
      <c r="C121" s="32"/>
      <c r="D121" s="33"/>
      <c r="E121" s="33"/>
      <c r="F121" s="33"/>
      <c r="G121" s="33"/>
      <c r="H121" s="33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S121" s="33"/>
      <c r="T121" s="36"/>
      <c r="U121" s="36"/>
      <c r="V121" s="36"/>
      <c r="W121" s="36"/>
      <c r="X121" s="33"/>
      <c r="Y121" s="33"/>
      <c r="Z121" s="33"/>
      <c r="AA121" s="36"/>
      <c r="AB121" s="36"/>
      <c r="AC121" s="33"/>
      <c r="AD121" s="36"/>
      <c r="AE121" s="33"/>
      <c r="AF121" s="33"/>
      <c r="AG121" s="33"/>
      <c r="AH121" s="33"/>
      <c r="AI121" s="33"/>
      <c r="AJ121" s="36"/>
      <c r="AK121" s="36"/>
      <c r="AL121" s="33"/>
      <c r="AM121" s="33"/>
      <c r="AN121" s="33"/>
      <c r="AO121" s="36"/>
      <c r="AP121" s="36"/>
      <c r="AQ121" s="36"/>
      <c r="AR121" s="36"/>
      <c r="AS121" s="36"/>
      <c r="AT121" s="36"/>
      <c r="AU121" s="33"/>
      <c r="AV121" s="33"/>
      <c r="AW121" s="36"/>
      <c r="AX121" s="36"/>
      <c r="AY121" s="33"/>
      <c r="AZ121" s="33"/>
      <c r="BA121" s="33"/>
      <c r="BB121" s="33"/>
    </row>
    <row r="122" spans="1:54" x14ac:dyDescent="0.25">
      <c r="A122" s="34"/>
      <c r="B122" s="34"/>
      <c r="C122" s="34"/>
      <c r="D122" s="37"/>
      <c r="E122" s="37"/>
      <c r="F122" s="37"/>
      <c r="G122" s="37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  <c r="AD122" s="37"/>
      <c r="AE122" s="37"/>
      <c r="AF122" s="37"/>
      <c r="AG122" s="37"/>
      <c r="AH122" s="37"/>
      <c r="AI122" s="37"/>
      <c r="AJ122" s="37"/>
      <c r="AK122" s="37"/>
      <c r="AL122" s="37"/>
      <c r="AM122" s="37"/>
      <c r="AN122" s="37"/>
      <c r="AO122" s="37"/>
      <c r="AP122" s="37"/>
      <c r="AQ122" s="37"/>
      <c r="AR122" s="37"/>
      <c r="AS122" s="37"/>
      <c r="AT122" s="37"/>
      <c r="AU122" s="37"/>
      <c r="AV122" s="37"/>
      <c r="AW122" s="37"/>
      <c r="AX122" s="37"/>
      <c r="AY122" s="37"/>
      <c r="AZ122" s="37"/>
      <c r="BA122" s="37"/>
      <c r="BB122" s="37"/>
    </row>
    <row r="123" spans="1:54" s="5" customFormat="1" x14ac:dyDescent="0.25">
      <c r="A123" s="32"/>
      <c r="B123" s="32"/>
      <c r="C123" s="32"/>
      <c r="D123" s="36"/>
      <c r="E123" s="36"/>
      <c r="F123" s="36"/>
      <c r="G123" s="36"/>
      <c r="H123" s="36"/>
      <c r="I123" s="36"/>
      <c r="J123" s="36"/>
      <c r="K123" s="36"/>
      <c r="L123" s="36"/>
      <c r="M123" s="36"/>
      <c r="N123" s="36"/>
      <c r="O123" s="36"/>
      <c r="P123" s="36"/>
      <c r="Q123" s="36"/>
      <c r="R123" s="36"/>
      <c r="S123" s="36"/>
      <c r="T123" s="36"/>
      <c r="U123" s="36"/>
      <c r="V123" s="36"/>
      <c r="W123" s="36"/>
      <c r="X123" s="36"/>
      <c r="Y123" s="36"/>
      <c r="Z123" s="36"/>
      <c r="AA123" s="36"/>
      <c r="AB123" s="36"/>
      <c r="AC123" s="36"/>
      <c r="AD123" s="36"/>
      <c r="AE123" s="36"/>
      <c r="AF123" s="36"/>
      <c r="AG123" s="36"/>
      <c r="AH123" s="36"/>
      <c r="AI123" s="36"/>
      <c r="AJ123" s="36"/>
      <c r="AK123" s="36"/>
      <c r="AL123" s="36"/>
      <c r="AM123" s="36"/>
      <c r="AN123" s="36"/>
      <c r="AO123" s="36"/>
      <c r="AP123" s="36"/>
      <c r="AQ123" s="36"/>
      <c r="AR123" s="36"/>
      <c r="AS123" s="36"/>
      <c r="AT123" s="36"/>
      <c r="AU123" s="36"/>
      <c r="AV123" s="36"/>
      <c r="AW123" s="36"/>
      <c r="AX123" s="36"/>
      <c r="AY123" s="36"/>
      <c r="AZ123" s="36"/>
      <c r="BA123" s="36"/>
      <c r="BB123" s="36"/>
    </row>
    <row r="124" spans="1:54" x14ac:dyDescent="0.25">
      <c r="A124" s="34"/>
      <c r="B124" s="34"/>
      <c r="C124" s="34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  <c r="AA124" s="35"/>
      <c r="AB124" s="35"/>
      <c r="AC124" s="35"/>
      <c r="AD124" s="35"/>
      <c r="AE124" s="35"/>
      <c r="AF124" s="35"/>
      <c r="AG124" s="35"/>
      <c r="AH124" s="35"/>
      <c r="AI124" s="35"/>
      <c r="AJ124" s="35"/>
      <c r="AK124" s="35"/>
      <c r="AL124" s="35"/>
      <c r="AM124" s="35"/>
      <c r="AN124" s="35"/>
      <c r="AO124" s="35"/>
      <c r="AP124" s="35"/>
      <c r="AQ124" s="35"/>
      <c r="AR124" s="35"/>
      <c r="AS124" s="35"/>
      <c r="AT124" s="35"/>
      <c r="AU124" s="35"/>
      <c r="AV124" s="35"/>
      <c r="AW124" s="35"/>
      <c r="AX124" s="35"/>
      <c r="AY124" s="35"/>
      <c r="AZ124" s="35"/>
      <c r="BA124" s="35"/>
      <c r="BB124" s="35"/>
    </row>
    <row r="125" spans="1:54" s="5" customFormat="1" x14ac:dyDescent="0.25">
      <c r="A125" s="32"/>
      <c r="B125" s="32"/>
      <c r="C125" s="32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  <c r="AF125" s="36"/>
      <c r="AG125" s="33"/>
      <c r="AH125" s="33"/>
      <c r="AI125" s="33"/>
      <c r="AJ125" s="33"/>
      <c r="AK125" s="33"/>
      <c r="AL125" s="33"/>
      <c r="AM125" s="33"/>
      <c r="AN125" s="33"/>
      <c r="AO125" s="33"/>
      <c r="AP125" s="33"/>
      <c r="AQ125" s="33"/>
      <c r="AR125" s="33"/>
      <c r="AS125" s="33"/>
      <c r="AT125" s="33"/>
      <c r="AU125" s="33"/>
      <c r="AV125" s="33"/>
      <c r="AW125" s="33"/>
      <c r="AX125" s="33"/>
      <c r="AY125" s="33"/>
      <c r="AZ125" s="33"/>
      <c r="BA125" s="33"/>
      <c r="BB125" s="33"/>
    </row>
    <row r="126" spans="1:54" x14ac:dyDescent="0.25">
      <c r="A126" s="34"/>
      <c r="B126" s="34"/>
      <c r="C126" s="34"/>
      <c r="D126" s="37"/>
      <c r="E126" s="37"/>
      <c r="F126" s="37"/>
      <c r="G126" s="37"/>
      <c r="H126" s="37"/>
      <c r="I126" s="37"/>
      <c r="J126" s="37"/>
      <c r="K126" s="37"/>
      <c r="L126" s="37"/>
      <c r="M126" s="37"/>
      <c r="N126" s="37"/>
      <c r="O126" s="37"/>
      <c r="P126" s="37"/>
      <c r="Q126" s="37"/>
      <c r="R126" s="37"/>
      <c r="S126" s="37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  <c r="AD126" s="37"/>
      <c r="AE126" s="37"/>
      <c r="AF126" s="37"/>
      <c r="AG126" s="37"/>
      <c r="AH126" s="37"/>
      <c r="AI126" s="37"/>
      <c r="AJ126" s="37"/>
      <c r="AK126" s="37"/>
      <c r="AL126" s="37"/>
      <c r="AM126" s="37"/>
      <c r="AN126" s="37"/>
      <c r="AO126" s="37"/>
      <c r="AP126" s="37"/>
      <c r="AQ126" s="37"/>
      <c r="AR126" s="37"/>
      <c r="AS126" s="37"/>
      <c r="AT126" s="37"/>
      <c r="AU126" s="37"/>
      <c r="AV126" s="37"/>
      <c r="AW126" s="37"/>
      <c r="AX126" s="37"/>
      <c r="AY126" s="37"/>
      <c r="AZ126" s="37"/>
      <c r="BA126" s="37"/>
      <c r="BB126" s="37"/>
    </row>
    <row r="127" spans="1:54" s="5" customFormat="1" x14ac:dyDescent="0.25">
      <c r="A127" s="34"/>
      <c r="B127" s="34"/>
      <c r="C127" s="34"/>
      <c r="D127" s="35"/>
      <c r="E127" s="35"/>
      <c r="F127" s="37"/>
      <c r="G127" s="37"/>
      <c r="H127" s="37"/>
      <c r="I127" s="37"/>
      <c r="J127" s="37"/>
      <c r="K127" s="37"/>
      <c r="L127" s="37"/>
      <c r="M127" s="37"/>
      <c r="N127" s="37"/>
      <c r="O127" s="37"/>
      <c r="P127" s="37"/>
      <c r="Q127" s="37"/>
      <c r="R127" s="37"/>
      <c r="S127" s="37"/>
      <c r="T127" s="37"/>
      <c r="U127" s="37"/>
      <c r="V127" s="37"/>
      <c r="W127" s="37"/>
      <c r="X127" s="37"/>
      <c r="Y127" s="37"/>
      <c r="Z127" s="37"/>
      <c r="AA127" s="37"/>
      <c r="AB127" s="37"/>
      <c r="AC127" s="37"/>
      <c r="AD127" s="37"/>
      <c r="AE127" s="37"/>
      <c r="AF127" s="37"/>
      <c r="AG127" s="37"/>
      <c r="AH127" s="37"/>
      <c r="AI127" s="37"/>
      <c r="AJ127" s="37"/>
      <c r="AK127" s="37"/>
      <c r="AL127" s="37"/>
      <c r="AM127" s="37"/>
      <c r="AN127" s="37"/>
      <c r="AO127" s="37"/>
      <c r="AP127" s="37"/>
      <c r="AQ127" s="37"/>
      <c r="AR127" s="37"/>
      <c r="AS127" s="37"/>
      <c r="AT127" s="37"/>
      <c r="AU127" s="37"/>
      <c r="AV127" s="37"/>
      <c r="AW127" s="37"/>
      <c r="AX127" s="37"/>
      <c r="AY127" s="37"/>
      <c r="AZ127" s="37"/>
      <c r="BA127" s="37"/>
      <c r="BB127" s="37"/>
    </row>
    <row r="128" spans="1:54" x14ac:dyDescent="0.25">
      <c r="A128" s="34"/>
      <c r="B128" s="32"/>
      <c r="C128" s="32"/>
      <c r="D128" s="33"/>
      <c r="E128" s="33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  <c r="AJ128" s="33"/>
      <c r="AK128" s="36"/>
      <c r="AL128" s="36"/>
      <c r="AM128" s="36"/>
      <c r="AN128" s="36"/>
      <c r="AO128" s="33"/>
      <c r="AP128" s="33"/>
      <c r="AQ128" s="33"/>
      <c r="AR128" s="36"/>
      <c r="AS128" s="36"/>
      <c r="AT128" s="33"/>
      <c r="AU128" s="36"/>
      <c r="AV128" s="36"/>
      <c r="AW128" s="36"/>
      <c r="AX128" s="36"/>
      <c r="AY128" s="33"/>
      <c r="AZ128" s="36"/>
      <c r="BA128" s="36"/>
      <c r="BB128" s="36"/>
    </row>
    <row r="129" spans="1:54" s="5" customFormat="1" x14ac:dyDescent="0.25">
      <c r="A129" s="34"/>
      <c r="B129" s="34"/>
      <c r="C129" s="34"/>
      <c r="D129" s="35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  <c r="AA129" s="35"/>
      <c r="AB129" s="35"/>
      <c r="AC129" s="35"/>
      <c r="AD129" s="35"/>
      <c r="AE129" s="35"/>
      <c r="AF129" s="35"/>
      <c r="AG129" s="35"/>
      <c r="AH129" s="35"/>
      <c r="AI129" s="37"/>
      <c r="AJ129" s="37"/>
      <c r="AK129" s="37"/>
      <c r="AL129" s="35"/>
      <c r="AM129" s="35"/>
      <c r="AN129" s="35"/>
      <c r="AO129" s="35"/>
      <c r="AP129" s="35"/>
      <c r="AQ129" s="35"/>
      <c r="AR129" s="35"/>
      <c r="AS129" s="35"/>
      <c r="AT129" s="35"/>
      <c r="AU129" s="35"/>
      <c r="AV129" s="35"/>
      <c r="AW129" s="35"/>
      <c r="AX129" s="35"/>
      <c r="AY129" s="35"/>
      <c r="AZ129" s="35"/>
      <c r="BA129" s="35"/>
      <c r="BB129" s="35"/>
    </row>
    <row r="130" spans="1:54" x14ac:dyDescent="0.25">
      <c r="A130" s="34"/>
      <c r="B130" s="32"/>
      <c r="C130" s="32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  <c r="AJ130" s="36"/>
      <c r="AK130" s="36"/>
      <c r="AL130" s="36"/>
      <c r="AM130" s="36"/>
      <c r="AN130" s="36"/>
      <c r="AO130" s="36"/>
      <c r="AP130" s="36"/>
      <c r="AQ130" s="36"/>
      <c r="AR130" s="36"/>
      <c r="AS130" s="36"/>
      <c r="AT130" s="36"/>
      <c r="AU130" s="36"/>
      <c r="AV130" s="36"/>
      <c r="AW130" s="36"/>
      <c r="AX130" s="36"/>
      <c r="AY130" s="36"/>
      <c r="AZ130" s="36"/>
      <c r="BA130" s="36"/>
      <c r="BB130" s="36"/>
    </row>
    <row r="131" spans="1:54" x14ac:dyDescent="0.25">
      <c r="A131" s="34"/>
      <c r="B131" s="34"/>
      <c r="C131" s="34"/>
      <c r="D131" s="37"/>
      <c r="E131" s="37"/>
      <c r="F131" s="37"/>
      <c r="G131" s="37"/>
      <c r="H131" s="37"/>
      <c r="I131" s="37"/>
      <c r="J131" s="37"/>
      <c r="K131" s="37"/>
      <c r="L131" s="37"/>
      <c r="M131" s="37"/>
      <c r="N131" s="37"/>
      <c r="O131" s="37"/>
      <c r="P131" s="37"/>
      <c r="Q131" s="37"/>
      <c r="R131" s="37"/>
      <c r="S131" s="37"/>
      <c r="T131" s="37"/>
      <c r="U131" s="37"/>
      <c r="V131" s="37"/>
      <c r="W131" s="37"/>
      <c r="X131" s="37"/>
      <c r="Y131" s="37"/>
      <c r="Z131" s="37"/>
      <c r="AA131" s="37"/>
      <c r="AB131" s="37"/>
      <c r="AC131" s="37"/>
      <c r="AD131" s="37"/>
      <c r="AE131" s="37"/>
      <c r="AF131" s="37"/>
      <c r="AG131" s="37"/>
      <c r="AH131" s="37"/>
      <c r="AI131" s="37"/>
      <c r="AJ131" s="37"/>
      <c r="AK131" s="37"/>
      <c r="AL131" s="37"/>
      <c r="AM131" s="37"/>
      <c r="AN131" s="37"/>
      <c r="AO131" s="37"/>
      <c r="AP131" s="37"/>
      <c r="AQ131" s="37"/>
      <c r="AR131" s="37"/>
      <c r="AS131" s="37"/>
      <c r="AT131" s="37"/>
      <c r="AU131" s="37"/>
      <c r="AV131" s="37"/>
      <c r="AW131" s="37"/>
      <c r="AX131" s="37"/>
      <c r="AY131" s="37"/>
      <c r="AZ131" s="37"/>
      <c r="BA131" s="37"/>
      <c r="BB131" s="37"/>
    </row>
    <row r="132" spans="1:54" s="5" customFormat="1" x14ac:dyDescent="0.25">
      <c r="A132" s="32"/>
      <c r="B132" s="32"/>
      <c r="C132" s="32"/>
      <c r="D132" s="3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  <c r="AE132" s="36"/>
      <c r="AF132" s="36"/>
      <c r="AG132" s="36"/>
      <c r="AH132" s="36"/>
      <c r="AI132" s="36"/>
      <c r="AJ132" s="36"/>
      <c r="AK132" s="36"/>
      <c r="AL132" s="36"/>
      <c r="AM132" s="36"/>
      <c r="AN132" s="36"/>
      <c r="AO132" s="36"/>
      <c r="AP132" s="33"/>
      <c r="AQ132" s="36"/>
      <c r="AR132" s="33"/>
      <c r="AS132" s="36"/>
      <c r="AT132" s="33"/>
      <c r="AU132" s="36"/>
      <c r="AV132" s="36"/>
      <c r="AW132" s="36"/>
      <c r="AX132" s="33"/>
      <c r="AY132" s="33"/>
      <c r="AZ132" s="33"/>
      <c r="BA132" s="36"/>
      <c r="BB132" s="36"/>
    </row>
    <row r="133" spans="1:54" x14ac:dyDescent="0.25">
      <c r="A133" s="34"/>
      <c r="B133" s="34"/>
      <c r="C133" s="34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35"/>
      <c r="AE133" s="35"/>
      <c r="AF133" s="35"/>
      <c r="AG133" s="35"/>
      <c r="AH133" s="35"/>
      <c r="AI133" s="35"/>
      <c r="AJ133" s="35"/>
      <c r="AK133" s="35"/>
      <c r="AL133" s="35"/>
      <c r="AM133" s="35"/>
      <c r="AN133" s="35"/>
      <c r="AO133" s="37"/>
      <c r="AP133" s="35"/>
      <c r="AQ133" s="35"/>
      <c r="AR133" s="35"/>
      <c r="AS133" s="37"/>
      <c r="AT133" s="37"/>
      <c r="AU133" s="37"/>
      <c r="AV133" s="37"/>
      <c r="AW133" s="37"/>
      <c r="AX133" s="37"/>
      <c r="AY133" s="37"/>
      <c r="AZ133" s="35"/>
      <c r="BA133" s="35"/>
      <c r="BB133" s="37"/>
    </row>
    <row r="134" spans="1:54" s="5" customFormat="1" x14ac:dyDescent="0.25">
      <c r="A134" s="32"/>
      <c r="B134" s="32"/>
      <c r="C134" s="32"/>
      <c r="D134" s="36"/>
      <c r="E134" s="36"/>
      <c r="F134" s="36"/>
      <c r="G134" s="36"/>
      <c r="H134" s="36"/>
      <c r="I134" s="36"/>
      <c r="J134" s="36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36"/>
      <c r="W134" s="36"/>
      <c r="X134" s="36"/>
      <c r="Y134" s="36"/>
      <c r="Z134" s="36"/>
      <c r="AA134" s="36"/>
      <c r="AB134" s="36"/>
      <c r="AC134" s="36"/>
      <c r="AD134" s="36"/>
      <c r="AE134" s="36"/>
      <c r="AF134" s="36"/>
      <c r="AG134" s="36"/>
      <c r="AH134" s="36"/>
      <c r="AI134" s="36"/>
      <c r="AJ134" s="36"/>
      <c r="AK134" s="36"/>
      <c r="AL134" s="36"/>
      <c r="AM134" s="36"/>
      <c r="AN134" s="36"/>
      <c r="AO134" s="36"/>
      <c r="AP134" s="36"/>
      <c r="AQ134" s="36"/>
      <c r="AR134" s="36"/>
      <c r="AS134" s="36"/>
      <c r="AT134" s="36"/>
      <c r="AU134" s="36"/>
      <c r="AV134" s="36"/>
      <c r="AW134" s="36"/>
      <c r="AX134" s="36"/>
      <c r="AY134" s="36"/>
      <c r="AZ134" s="36"/>
      <c r="BA134" s="36"/>
      <c r="BB134" s="36"/>
    </row>
    <row r="135" spans="1:54" x14ac:dyDescent="0.25">
      <c r="A135" s="34"/>
      <c r="B135" s="34"/>
      <c r="C135" s="34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37"/>
      <c r="Q135" s="37"/>
      <c r="R135" s="37"/>
      <c r="S135" s="37"/>
      <c r="T135" s="37"/>
      <c r="U135" s="37"/>
      <c r="V135" s="37"/>
      <c r="W135" s="37"/>
      <c r="X135" s="37"/>
      <c r="Y135" s="37"/>
      <c r="Z135" s="37"/>
      <c r="AA135" s="37"/>
      <c r="AB135" s="37"/>
      <c r="AC135" s="37"/>
      <c r="AD135" s="37"/>
      <c r="AE135" s="37"/>
      <c r="AF135" s="37"/>
      <c r="AG135" s="37"/>
      <c r="AH135" s="37"/>
      <c r="AI135" s="37"/>
      <c r="AJ135" s="37"/>
      <c r="AK135" s="37"/>
      <c r="AL135" s="37"/>
      <c r="AM135" s="37"/>
      <c r="AN135" s="37"/>
      <c r="AO135" s="37"/>
      <c r="AP135" s="37"/>
      <c r="AQ135" s="37"/>
      <c r="AR135" s="37"/>
      <c r="AS135" s="37"/>
      <c r="AT135" s="37"/>
      <c r="AU135" s="37"/>
      <c r="AV135" s="37"/>
      <c r="AW135" s="37"/>
      <c r="AX135" s="37"/>
      <c r="AY135" s="37"/>
      <c r="AZ135" s="37"/>
      <c r="BA135" s="37"/>
      <c r="BB135" s="37"/>
    </row>
    <row r="136" spans="1:54" s="5" customFormat="1" x14ac:dyDescent="0.25">
      <c r="A136" s="32"/>
      <c r="B136" s="32"/>
      <c r="C136" s="32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  <c r="W136" s="33"/>
      <c r="X136" s="33"/>
      <c r="Y136" s="36"/>
      <c r="Z136" s="36"/>
      <c r="AA136" s="36"/>
      <c r="AB136" s="36"/>
      <c r="AC136" s="36"/>
      <c r="AD136" s="36"/>
      <c r="AE136" s="36"/>
      <c r="AF136" s="36"/>
      <c r="AG136" s="36"/>
      <c r="AH136" s="36"/>
      <c r="AI136" s="36"/>
      <c r="AJ136" s="36"/>
      <c r="AK136" s="36"/>
      <c r="AL136" s="36"/>
      <c r="AM136" s="36"/>
      <c r="AN136" s="36"/>
      <c r="AO136" s="36"/>
      <c r="AP136" s="36"/>
      <c r="AQ136" s="36"/>
      <c r="AR136" s="36"/>
      <c r="AS136" s="36"/>
      <c r="AT136" s="36"/>
      <c r="AU136" s="36"/>
      <c r="AV136" s="36"/>
      <c r="AW136" s="36"/>
      <c r="AX136" s="36"/>
      <c r="AY136" s="36"/>
      <c r="AZ136" s="36"/>
      <c r="BA136" s="36"/>
      <c r="BB136" s="36"/>
    </row>
    <row r="137" spans="1:54" x14ac:dyDescent="0.25">
      <c r="A137" s="34"/>
      <c r="B137" s="34"/>
      <c r="C137" s="34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  <c r="AA137" s="35"/>
      <c r="AB137" s="35"/>
      <c r="AC137" s="35"/>
      <c r="AD137" s="35"/>
      <c r="AE137" s="35"/>
      <c r="AF137" s="35"/>
      <c r="AG137" s="35"/>
      <c r="AH137" s="35"/>
      <c r="AI137" s="35"/>
      <c r="AJ137" s="35"/>
      <c r="AK137" s="35"/>
      <c r="AL137" s="35"/>
      <c r="AM137" s="35"/>
      <c r="AN137" s="35"/>
      <c r="AO137" s="35"/>
      <c r="AP137" s="35"/>
      <c r="AQ137" s="35"/>
      <c r="AR137" s="35"/>
      <c r="AS137" s="35"/>
      <c r="AT137" s="35"/>
      <c r="AU137" s="35"/>
      <c r="AV137" s="35"/>
      <c r="AW137" s="35"/>
      <c r="AX137" s="35"/>
      <c r="AY137" s="35"/>
      <c r="AZ137" s="35"/>
      <c r="BA137" s="35"/>
      <c r="BB137" s="35"/>
    </row>
    <row r="138" spans="1:54" s="5" customFormat="1" x14ac:dyDescent="0.25">
      <c r="A138" s="32"/>
      <c r="B138" s="32"/>
      <c r="C138" s="32"/>
      <c r="D138" s="36"/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  <c r="AC138" s="36"/>
      <c r="AD138" s="36"/>
      <c r="AE138" s="36"/>
      <c r="AF138" s="36"/>
      <c r="AG138" s="36"/>
      <c r="AH138" s="36"/>
      <c r="AI138" s="36"/>
      <c r="AJ138" s="36"/>
      <c r="AK138" s="36"/>
      <c r="AL138" s="36"/>
      <c r="AM138" s="36"/>
      <c r="AN138" s="36"/>
      <c r="AO138" s="36"/>
      <c r="AP138" s="36"/>
      <c r="AQ138" s="36"/>
      <c r="AR138" s="36"/>
      <c r="AS138" s="36"/>
      <c r="AT138" s="36"/>
      <c r="AU138" s="36"/>
      <c r="AV138" s="36"/>
      <c r="AW138" s="36"/>
      <c r="AX138" s="36"/>
      <c r="AY138" s="36"/>
      <c r="AZ138" s="36"/>
      <c r="BA138" s="36"/>
      <c r="BB138" s="36"/>
    </row>
    <row r="139" spans="1:54" x14ac:dyDescent="0.25">
      <c r="A139" s="34"/>
      <c r="B139" s="34"/>
      <c r="C139" s="34"/>
      <c r="D139" s="37"/>
      <c r="E139" s="37"/>
      <c r="F139" s="37"/>
      <c r="G139" s="37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7"/>
      <c r="S139" s="37"/>
      <c r="T139" s="37"/>
      <c r="U139" s="37"/>
      <c r="V139" s="37"/>
      <c r="W139" s="37"/>
      <c r="X139" s="37"/>
      <c r="Y139" s="37"/>
      <c r="Z139" s="37"/>
      <c r="AA139" s="37"/>
      <c r="AB139" s="37"/>
      <c r="AC139" s="37"/>
      <c r="AD139" s="37"/>
      <c r="AE139" s="37"/>
      <c r="AF139" s="37"/>
      <c r="AG139" s="37"/>
      <c r="AH139" s="37"/>
      <c r="AI139" s="37"/>
      <c r="AJ139" s="37"/>
      <c r="AK139" s="37"/>
      <c r="AL139" s="37"/>
      <c r="AM139" s="37"/>
      <c r="AN139" s="37"/>
      <c r="AO139" s="37"/>
      <c r="AP139" s="37"/>
      <c r="AQ139" s="37"/>
      <c r="AR139" s="35"/>
      <c r="AS139" s="37"/>
      <c r="AT139" s="37"/>
      <c r="AU139" s="35"/>
      <c r="AV139" s="37"/>
      <c r="AW139" s="35"/>
      <c r="AX139" s="35"/>
      <c r="AY139" s="35"/>
      <c r="AZ139" s="35"/>
      <c r="BA139" s="35"/>
      <c r="BB139" s="35"/>
    </row>
    <row r="140" spans="1:54" s="5" customFormat="1" x14ac:dyDescent="0.25">
      <c r="A140" s="32"/>
      <c r="B140" s="32"/>
      <c r="C140" s="32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  <c r="AF140" s="33"/>
      <c r="AG140" s="33"/>
      <c r="AH140" s="33"/>
      <c r="AI140" s="33"/>
      <c r="AJ140" s="33"/>
      <c r="AK140" s="33"/>
      <c r="AL140" s="33"/>
      <c r="AM140" s="33"/>
      <c r="AN140" s="33"/>
      <c r="AO140" s="33"/>
      <c r="AP140" s="33"/>
      <c r="AQ140" s="33"/>
      <c r="AR140" s="33"/>
      <c r="AS140" s="33"/>
      <c r="AT140" s="33"/>
      <c r="AU140" s="33"/>
      <c r="AV140" s="33"/>
      <c r="AW140" s="33"/>
      <c r="AX140" s="33"/>
      <c r="AY140" s="33"/>
      <c r="AZ140" s="33"/>
      <c r="BA140" s="33"/>
      <c r="BB140" s="33"/>
    </row>
    <row r="141" spans="1:54" x14ac:dyDescent="0.25">
      <c r="A141" s="34"/>
      <c r="B141" s="34"/>
      <c r="C141" s="34"/>
      <c r="D141" s="37"/>
      <c r="E141" s="37"/>
      <c r="F141" s="37"/>
      <c r="G141" s="37"/>
      <c r="H141" s="37"/>
      <c r="I141" s="37"/>
      <c r="J141" s="37"/>
      <c r="K141" s="37"/>
      <c r="L141" s="37"/>
      <c r="M141" s="37"/>
      <c r="N141" s="37"/>
      <c r="O141" s="37"/>
      <c r="P141" s="37"/>
      <c r="Q141" s="37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  <c r="AE141" s="35"/>
      <c r="AF141" s="35"/>
      <c r="AG141" s="35"/>
      <c r="AH141" s="35"/>
      <c r="AI141" s="35"/>
      <c r="AJ141" s="35"/>
      <c r="AK141" s="35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</row>
    <row r="142" spans="1:54" s="5" customFormat="1" x14ac:dyDescent="0.25">
      <c r="A142" s="32"/>
      <c r="B142" s="32"/>
      <c r="C142" s="32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6"/>
      <c r="R142" s="36"/>
      <c r="S142" s="36"/>
      <c r="T142" s="36"/>
      <c r="U142" s="36"/>
      <c r="V142" s="36"/>
      <c r="W142" s="36"/>
      <c r="X142" s="36"/>
      <c r="Y142" s="36"/>
      <c r="Z142" s="36"/>
      <c r="AA142" s="36"/>
      <c r="AB142" s="36"/>
      <c r="AC142" s="36"/>
      <c r="AD142" s="36"/>
      <c r="AE142" s="36"/>
      <c r="AF142" s="36"/>
      <c r="AG142" s="36"/>
      <c r="AH142" s="36"/>
      <c r="AI142" s="36"/>
      <c r="AJ142" s="36"/>
      <c r="AK142" s="36"/>
      <c r="AL142" s="36"/>
      <c r="AM142" s="36"/>
      <c r="AN142" s="33"/>
      <c r="AO142" s="36"/>
      <c r="AP142" s="33"/>
      <c r="AQ142" s="33"/>
      <c r="AR142" s="33"/>
      <c r="AS142" s="33"/>
      <c r="AT142" s="33"/>
      <c r="AU142" s="33"/>
      <c r="AV142" s="33"/>
      <c r="AW142" s="36"/>
      <c r="AX142" s="36"/>
      <c r="AY142" s="33"/>
      <c r="AZ142" s="33"/>
      <c r="BA142" s="33"/>
      <c r="BB142" s="33"/>
    </row>
    <row r="143" spans="1:54" x14ac:dyDescent="0.25">
      <c r="A143" s="34"/>
      <c r="B143" s="34"/>
      <c r="C143" s="34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</row>
    <row r="144" spans="1:54" s="5" customFormat="1" x14ac:dyDescent="0.25">
      <c r="A144" s="32"/>
      <c r="B144" s="32"/>
      <c r="C144" s="32"/>
      <c r="D144" s="33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F144" s="33"/>
      <c r="AG144" s="33"/>
      <c r="AH144" s="33"/>
      <c r="AI144" s="33"/>
      <c r="AJ144" s="33"/>
      <c r="AK144" s="33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6"/>
      <c r="AY144" s="36"/>
      <c r="AZ144" s="36"/>
      <c r="BA144" s="36"/>
      <c r="BB144" s="36"/>
    </row>
    <row r="145" spans="1:54" x14ac:dyDescent="0.25">
      <c r="A145" s="34"/>
      <c r="B145" s="34"/>
      <c r="C145" s="34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7"/>
      <c r="AY145" s="37"/>
      <c r="AZ145" s="37"/>
      <c r="BA145" s="37"/>
      <c r="BB145" s="37"/>
    </row>
    <row r="146" spans="1:54" s="5" customFormat="1" x14ac:dyDescent="0.25">
      <c r="A146" s="32"/>
      <c r="B146" s="32"/>
      <c r="C146" s="32"/>
      <c r="D146" s="33"/>
      <c r="E146" s="33"/>
      <c r="F146" s="36"/>
      <c r="G146" s="36"/>
      <c r="H146" s="36"/>
      <c r="I146" s="36"/>
      <c r="J146" s="3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6"/>
      <c r="W146" s="36"/>
      <c r="X146" s="36"/>
      <c r="Y146" s="36"/>
      <c r="Z146" s="36"/>
      <c r="AA146" s="36"/>
      <c r="AB146" s="36"/>
      <c r="AC146" s="36"/>
      <c r="AD146" s="36"/>
      <c r="AE146" s="36"/>
      <c r="AF146" s="36"/>
      <c r="AG146" s="36"/>
      <c r="AH146" s="36"/>
      <c r="AI146" s="36"/>
      <c r="AJ146" s="36"/>
      <c r="AK146" s="36"/>
      <c r="AL146" s="36"/>
      <c r="AM146" s="36"/>
      <c r="AN146" s="36"/>
      <c r="AO146" s="36"/>
      <c r="AP146" s="36"/>
      <c r="AQ146" s="36"/>
      <c r="AR146" s="36"/>
      <c r="AS146" s="36"/>
      <c r="AT146" s="36"/>
      <c r="AU146" s="36"/>
      <c r="AV146" s="36"/>
      <c r="AW146" s="36"/>
      <c r="AX146" s="36"/>
      <c r="AY146" s="36"/>
      <c r="AZ146" s="36"/>
      <c r="BA146" s="36"/>
      <c r="BB146" s="36"/>
    </row>
    <row r="147" spans="1:54" x14ac:dyDescent="0.25">
      <c r="A147" s="34"/>
      <c r="B147" s="34"/>
      <c r="C147" s="34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  <c r="AM147" s="35"/>
      <c r="AN147" s="35"/>
      <c r="AO147" s="35"/>
      <c r="AP147" s="35"/>
      <c r="AQ147" s="35"/>
      <c r="AR147" s="35"/>
      <c r="AS147" s="35"/>
      <c r="AT147" s="35"/>
      <c r="AU147" s="35"/>
      <c r="AV147" s="35"/>
      <c r="AW147" s="35"/>
      <c r="AX147" s="35"/>
      <c r="AY147" s="35"/>
      <c r="AZ147" s="35"/>
      <c r="BA147" s="35"/>
      <c r="BB147" s="35"/>
    </row>
    <row r="148" spans="1:54" s="5" customFormat="1" x14ac:dyDescent="0.25">
      <c r="A148" s="32"/>
      <c r="B148" s="32"/>
      <c r="C148" s="32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6"/>
      <c r="AW148" s="33"/>
      <c r="AX148" s="36"/>
      <c r="AY148" s="33"/>
      <c r="AZ148" s="33"/>
      <c r="BA148" s="33"/>
      <c r="BB148" s="33"/>
    </row>
    <row r="149" spans="1:54" x14ac:dyDescent="0.25">
      <c r="A149" s="34"/>
      <c r="B149" s="34"/>
      <c r="C149" s="34"/>
      <c r="D149" s="35"/>
      <c r="E149" s="35"/>
      <c r="F149" s="35"/>
      <c r="G149" s="35"/>
      <c r="H149" s="37"/>
      <c r="I149" s="35"/>
      <c r="J149" s="35"/>
      <c r="K149" s="35"/>
      <c r="L149" s="35"/>
      <c r="M149" s="37"/>
      <c r="N149" s="37"/>
      <c r="O149" s="37"/>
      <c r="P149" s="37"/>
      <c r="Q149" s="37"/>
      <c r="R149" s="37"/>
      <c r="S149" s="37"/>
      <c r="T149" s="37"/>
      <c r="U149" s="37"/>
      <c r="V149" s="37"/>
      <c r="W149" s="37"/>
      <c r="X149" s="37"/>
      <c r="Y149" s="37"/>
      <c r="Z149" s="37"/>
      <c r="AA149" s="37"/>
      <c r="AB149" s="37"/>
      <c r="AC149" s="37"/>
      <c r="AD149" s="37"/>
      <c r="AE149" s="37"/>
      <c r="AF149" s="37"/>
      <c r="AG149" s="37"/>
      <c r="AH149" s="37"/>
      <c r="AI149" s="37"/>
      <c r="AJ149" s="37"/>
      <c r="AK149" s="37"/>
      <c r="AL149" s="37"/>
      <c r="AM149" s="37"/>
      <c r="AN149" s="37"/>
      <c r="AO149" s="37"/>
      <c r="AP149" s="37"/>
      <c r="AQ149" s="37"/>
      <c r="AR149" s="37"/>
      <c r="AS149" s="37"/>
      <c r="AT149" s="37"/>
      <c r="AU149" s="37"/>
      <c r="AV149" s="37"/>
      <c r="AW149" s="37"/>
      <c r="AX149" s="37"/>
      <c r="AY149" s="37"/>
      <c r="AZ149" s="37"/>
      <c r="BA149" s="37"/>
      <c r="BB149" s="37"/>
    </row>
    <row r="150" spans="1:54" s="5" customFormat="1" x14ac:dyDescent="0.25">
      <c r="A150" s="32"/>
      <c r="B150" s="32"/>
      <c r="C150" s="32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</row>
    <row r="151" spans="1:54" x14ac:dyDescent="0.25">
      <c r="A151" s="34"/>
      <c r="B151" s="34"/>
      <c r="C151" s="34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</row>
    <row r="152" spans="1:54" s="5" customFormat="1" x14ac:dyDescent="0.25">
      <c r="A152" s="32"/>
      <c r="B152" s="32"/>
      <c r="C152" s="32"/>
      <c r="D152" s="33"/>
      <c r="E152" s="33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  <c r="AM152" s="33"/>
      <c r="AN152" s="33"/>
      <c r="AO152" s="33"/>
      <c r="AP152" s="33"/>
      <c r="AQ152" s="33"/>
      <c r="AR152" s="33"/>
      <c r="AS152" s="33"/>
      <c r="AT152" s="33"/>
      <c r="AU152" s="33"/>
      <c r="AV152" s="33"/>
      <c r="AW152" s="33"/>
      <c r="AX152" s="33"/>
      <c r="AY152" s="33"/>
      <c r="AZ152" s="33"/>
      <c r="BA152" s="33"/>
      <c r="BB152" s="33"/>
    </row>
    <row r="153" spans="1:54" x14ac:dyDescent="0.25">
      <c r="A153" s="34"/>
      <c r="B153" s="34"/>
      <c r="C153" s="34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  <c r="AY153" s="35"/>
      <c r="AZ153" s="35"/>
      <c r="BA153" s="35"/>
      <c r="BB153" s="35"/>
    </row>
    <row r="154" spans="1:54" s="5" customFormat="1" x14ac:dyDescent="0.25">
      <c r="A154" s="34"/>
      <c r="B154" s="34"/>
      <c r="C154" s="34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7"/>
      <c r="AK154" s="37"/>
      <c r="AL154" s="37"/>
      <c r="AM154" s="37"/>
      <c r="AN154" s="37"/>
      <c r="AO154" s="37"/>
      <c r="AP154" s="37"/>
      <c r="AQ154" s="37"/>
      <c r="AR154" s="37"/>
      <c r="AS154" s="37"/>
      <c r="AT154" s="37"/>
      <c r="AU154" s="37"/>
      <c r="AV154" s="37"/>
      <c r="AW154" s="37"/>
      <c r="AX154" s="37"/>
      <c r="AY154" s="37"/>
      <c r="AZ154" s="37"/>
      <c r="BA154" s="37"/>
      <c r="BB154" s="37"/>
    </row>
    <row r="155" spans="1:54" x14ac:dyDescent="0.25">
      <c r="A155" s="34"/>
      <c r="B155" s="32"/>
      <c r="C155" s="32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  <c r="AM155" s="33"/>
      <c r="AN155" s="36"/>
      <c r="AO155" s="33"/>
      <c r="AP155" s="33"/>
      <c r="AQ155" s="33"/>
      <c r="AR155" s="33"/>
      <c r="AS155" s="36"/>
      <c r="AT155" s="36"/>
      <c r="AU155" s="33"/>
      <c r="AV155" s="33"/>
      <c r="AW155" s="36"/>
      <c r="AX155" s="33"/>
      <c r="AY155" s="36"/>
      <c r="AZ155" s="36"/>
      <c r="BA155" s="33"/>
      <c r="BB155" s="36"/>
    </row>
    <row r="156" spans="1:54" s="5" customFormat="1" x14ac:dyDescent="0.25">
      <c r="A156" s="34"/>
      <c r="B156" s="34"/>
      <c r="C156" s="34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  <c r="AM156" s="35"/>
      <c r="AN156" s="35"/>
      <c r="AO156" s="35"/>
      <c r="AP156" s="35"/>
      <c r="AQ156" s="35"/>
      <c r="AR156" s="35"/>
      <c r="AS156" s="35"/>
      <c r="AT156" s="35"/>
      <c r="AU156" s="35"/>
      <c r="AV156" s="35"/>
      <c r="AW156" s="35"/>
      <c r="AX156" s="35"/>
      <c r="AY156" s="35"/>
      <c r="AZ156" s="35"/>
      <c r="BA156" s="35"/>
      <c r="BB156" s="35"/>
    </row>
    <row r="157" spans="1:54" x14ac:dyDescent="0.25">
      <c r="A157" s="34"/>
      <c r="B157" s="32"/>
      <c r="C157" s="32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6"/>
      <c r="W157" s="36"/>
      <c r="X157" s="36"/>
      <c r="Y157" s="36"/>
      <c r="Z157" s="36"/>
      <c r="AA157" s="36"/>
      <c r="AB157" s="36"/>
      <c r="AC157" s="36"/>
      <c r="AD157" s="36"/>
      <c r="AE157" s="36"/>
      <c r="AF157" s="36"/>
      <c r="AG157" s="36"/>
      <c r="AH157" s="36"/>
      <c r="AI157" s="36"/>
      <c r="AJ157" s="36"/>
      <c r="AK157" s="36"/>
      <c r="AL157" s="36"/>
      <c r="AM157" s="36"/>
      <c r="AN157" s="36"/>
      <c r="AO157" s="36"/>
      <c r="AP157" s="36"/>
      <c r="AQ157" s="36"/>
      <c r="AR157" s="36"/>
      <c r="AS157" s="36"/>
      <c r="AT157" s="36"/>
      <c r="AU157" s="36"/>
      <c r="AV157" s="36"/>
      <c r="AW157" s="36"/>
      <c r="AX157" s="36"/>
      <c r="AY157" s="36"/>
      <c r="AZ157" s="36"/>
      <c r="BA157" s="36"/>
      <c r="BB157" s="36"/>
    </row>
    <row r="158" spans="1:54" x14ac:dyDescent="0.25">
      <c r="A158" s="34"/>
      <c r="B158" s="34"/>
      <c r="C158" s="34"/>
      <c r="D158" s="37"/>
      <c r="E158" s="37"/>
      <c r="F158" s="37"/>
      <c r="G158" s="37"/>
      <c r="H158" s="37"/>
      <c r="I158" s="37"/>
      <c r="J158" s="37"/>
      <c r="K158" s="37"/>
      <c r="L158" s="37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  <c r="AA158" s="37"/>
      <c r="AB158" s="37"/>
      <c r="AC158" s="37"/>
      <c r="AD158" s="37"/>
      <c r="AE158" s="37"/>
      <c r="AF158" s="37"/>
      <c r="AG158" s="37"/>
      <c r="AH158" s="37"/>
      <c r="AI158" s="37"/>
      <c r="AJ158" s="37"/>
      <c r="AK158" s="37"/>
      <c r="AL158" s="37"/>
      <c r="AM158" s="37"/>
      <c r="AN158" s="37"/>
      <c r="AO158" s="37"/>
      <c r="AP158" s="37"/>
      <c r="AQ158" s="37"/>
      <c r="AR158" s="37"/>
      <c r="AS158" s="37"/>
      <c r="AT158" s="37"/>
      <c r="AU158" s="37"/>
      <c r="AV158" s="37"/>
      <c r="AW158" s="37"/>
      <c r="AX158" s="37"/>
      <c r="AY158" s="37"/>
      <c r="AZ158" s="37"/>
      <c r="BA158" s="37"/>
      <c r="BB158" s="37"/>
    </row>
    <row r="159" spans="1:54" s="5" customFormat="1" x14ac:dyDescent="0.25">
      <c r="A159" s="32"/>
      <c r="B159" s="32"/>
      <c r="C159" s="32"/>
      <c r="D159" s="33"/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6"/>
      <c r="W159" s="36"/>
      <c r="X159" s="36"/>
      <c r="Y159" s="36"/>
      <c r="Z159" s="36"/>
      <c r="AA159" s="36"/>
      <c r="AB159" s="36"/>
      <c r="AC159" s="36"/>
      <c r="AD159" s="36"/>
      <c r="AE159" s="36"/>
      <c r="AF159" s="36"/>
      <c r="AG159" s="36"/>
      <c r="AH159" s="36"/>
      <c r="AI159" s="36"/>
      <c r="AJ159" s="36"/>
      <c r="AK159" s="36"/>
      <c r="AL159" s="36"/>
      <c r="AM159" s="36"/>
      <c r="AN159" s="36"/>
      <c r="AO159" s="36"/>
      <c r="AP159" s="36"/>
      <c r="AQ159" s="36"/>
      <c r="AR159" s="36"/>
      <c r="AS159" s="36"/>
      <c r="AT159" s="36"/>
      <c r="AU159" s="36"/>
      <c r="AV159" s="36"/>
      <c r="AW159" s="36"/>
      <c r="AX159" s="36"/>
      <c r="AY159" s="36"/>
      <c r="AZ159" s="36"/>
      <c r="BA159" s="36"/>
      <c r="BB159" s="36"/>
    </row>
    <row r="160" spans="1:54" x14ac:dyDescent="0.25">
      <c r="A160" s="34"/>
      <c r="B160" s="34"/>
      <c r="C160" s="34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  <c r="AM160" s="35"/>
      <c r="AN160" s="35"/>
      <c r="AO160" s="35"/>
      <c r="AP160" s="35"/>
      <c r="AQ160" s="35"/>
      <c r="AR160" s="35"/>
      <c r="AS160" s="35"/>
      <c r="AT160" s="35"/>
      <c r="AU160" s="35"/>
      <c r="AV160" s="35"/>
      <c r="AW160" s="35"/>
      <c r="AX160" s="35"/>
      <c r="AY160" s="35"/>
      <c r="AZ160" s="35"/>
      <c r="BA160" s="35"/>
      <c r="BB160" s="35"/>
    </row>
    <row r="161" spans="1:54" s="5" customFormat="1" x14ac:dyDescent="0.25">
      <c r="A161" s="32"/>
      <c r="B161" s="32"/>
      <c r="C161" s="32"/>
      <c r="D161" s="36"/>
      <c r="E161" s="36"/>
      <c r="F161" s="36"/>
      <c r="G161" s="36"/>
      <c r="H161" s="36"/>
      <c r="I161" s="36"/>
      <c r="J161" s="36"/>
      <c r="K161" s="36"/>
      <c r="L161" s="36"/>
      <c r="M161" s="36"/>
      <c r="N161" s="36"/>
      <c r="O161" s="36"/>
      <c r="P161" s="36"/>
      <c r="Q161" s="36"/>
      <c r="R161" s="36"/>
      <c r="S161" s="36"/>
      <c r="T161" s="36"/>
      <c r="U161" s="36"/>
      <c r="V161" s="36"/>
      <c r="W161" s="36"/>
      <c r="X161" s="36"/>
      <c r="Y161" s="36"/>
      <c r="Z161" s="36"/>
      <c r="AA161" s="36"/>
      <c r="AB161" s="36"/>
      <c r="AC161" s="36"/>
      <c r="AD161" s="36"/>
      <c r="AE161" s="36"/>
      <c r="AF161" s="36"/>
      <c r="AG161" s="36"/>
      <c r="AH161" s="36"/>
      <c r="AI161" s="36"/>
      <c r="AJ161" s="36"/>
      <c r="AK161" s="36"/>
      <c r="AL161" s="36"/>
      <c r="AM161" s="36"/>
      <c r="AN161" s="36"/>
      <c r="AO161" s="36"/>
      <c r="AP161" s="36"/>
      <c r="AQ161" s="36"/>
      <c r="AR161" s="36"/>
      <c r="AS161" s="36"/>
      <c r="AT161" s="36"/>
      <c r="AU161" s="36"/>
      <c r="AV161" s="36"/>
      <c r="AW161" s="36"/>
      <c r="AX161" s="36"/>
      <c r="AY161" s="36"/>
      <c r="AZ161" s="36"/>
      <c r="BA161" s="36"/>
      <c r="BB161" s="36"/>
    </row>
    <row r="162" spans="1:54" x14ac:dyDescent="0.25">
      <c r="A162" s="34"/>
      <c r="B162" s="34"/>
      <c r="C162" s="34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  <c r="AM162" s="35"/>
      <c r="AN162" s="35"/>
      <c r="AO162" s="35"/>
      <c r="AP162" s="35"/>
      <c r="AQ162" s="37"/>
      <c r="AR162" s="37"/>
      <c r="AS162" s="37"/>
      <c r="AT162" s="37"/>
      <c r="AU162" s="37"/>
      <c r="AV162" s="37"/>
      <c r="AW162" s="37"/>
      <c r="AX162" s="37"/>
      <c r="AY162" s="37"/>
      <c r="AZ162" s="37"/>
      <c r="BA162" s="37"/>
      <c r="BB162" s="37"/>
    </row>
    <row r="163" spans="1:54" s="5" customFormat="1" x14ac:dyDescent="0.25">
      <c r="A163" s="32"/>
      <c r="B163" s="32"/>
      <c r="C163" s="32"/>
      <c r="D163" s="33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  <c r="AM163" s="33"/>
      <c r="AN163" s="33"/>
      <c r="AO163" s="33"/>
      <c r="AP163" s="33"/>
      <c r="AQ163" s="36"/>
      <c r="AR163" s="36"/>
      <c r="AS163" s="36"/>
      <c r="AT163" s="36"/>
      <c r="AU163" s="36"/>
      <c r="AV163" s="36"/>
      <c r="AW163" s="36"/>
      <c r="AX163" s="36"/>
      <c r="AY163" s="36"/>
      <c r="AZ163" s="36"/>
      <c r="BA163" s="36"/>
      <c r="BB163" s="36"/>
    </row>
    <row r="164" spans="1:54" x14ac:dyDescent="0.25">
      <c r="A164" s="34"/>
      <c r="B164" s="34"/>
      <c r="C164" s="34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  <c r="AM164" s="35"/>
      <c r="AN164" s="35"/>
      <c r="AO164" s="35"/>
      <c r="AP164" s="35"/>
      <c r="AQ164" s="37"/>
      <c r="AR164" s="35"/>
      <c r="AS164" s="37"/>
      <c r="AT164" s="35"/>
      <c r="AU164" s="35"/>
      <c r="AV164" s="35"/>
      <c r="AW164" s="35"/>
      <c r="AX164" s="35"/>
      <c r="AY164" s="35"/>
      <c r="AZ164" s="37"/>
      <c r="BA164" s="37"/>
      <c r="BB164" s="37"/>
    </row>
    <row r="165" spans="1:54" s="5" customFormat="1" x14ac:dyDescent="0.25">
      <c r="A165" s="32"/>
      <c r="B165" s="32"/>
      <c r="C165" s="32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  <c r="AM165" s="33"/>
      <c r="AN165" s="33"/>
      <c r="AO165" s="33"/>
      <c r="AP165" s="33"/>
      <c r="AQ165" s="36"/>
      <c r="AR165" s="36"/>
      <c r="AS165" s="36"/>
      <c r="AT165" s="36"/>
      <c r="AU165" s="36"/>
      <c r="AV165" s="36"/>
      <c r="AW165" s="36"/>
      <c r="AX165" s="36"/>
      <c r="AY165" s="36"/>
      <c r="AZ165" s="36"/>
      <c r="BA165" s="36"/>
      <c r="BB165" s="36"/>
    </row>
    <row r="166" spans="1:54" x14ac:dyDescent="0.25">
      <c r="A166" s="34"/>
      <c r="B166" s="34"/>
      <c r="C166" s="34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  <c r="AM166" s="35"/>
      <c r="AN166" s="35"/>
      <c r="AO166" s="35"/>
      <c r="AP166" s="35"/>
      <c r="AQ166" s="37"/>
      <c r="AR166" s="37"/>
      <c r="AS166" s="37"/>
      <c r="AT166" s="35"/>
      <c r="AU166" s="35"/>
      <c r="AV166" s="37"/>
      <c r="AW166" s="37"/>
      <c r="AX166" s="37"/>
      <c r="AY166" s="35"/>
      <c r="AZ166" s="35"/>
      <c r="BA166" s="35"/>
      <c r="BB166" s="37"/>
    </row>
    <row r="167" spans="1:54" s="5" customFormat="1" x14ac:dyDescent="0.25">
      <c r="A167" s="32"/>
      <c r="B167" s="32"/>
      <c r="C167" s="32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  <c r="AM167" s="33"/>
      <c r="AN167" s="33"/>
      <c r="AO167" s="33"/>
      <c r="AP167" s="33"/>
      <c r="AQ167" s="36"/>
      <c r="AR167" s="36"/>
      <c r="AS167" s="36"/>
      <c r="AT167" s="36"/>
      <c r="AU167" s="36"/>
      <c r="AV167" s="36"/>
      <c r="AW167" s="36"/>
      <c r="AX167" s="36"/>
      <c r="AY167" s="36"/>
      <c r="AZ167" s="36"/>
      <c r="BA167" s="36"/>
      <c r="BB167" s="36"/>
    </row>
    <row r="168" spans="1:54" x14ac:dyDescent="0.25">
      <c r="A168" s="34"/>
      <c r="B168" s="34"/>
      <c r="C168" s="34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  <c r="AM168" s="35"/>
      <c r="AN168" s="35"/>
      <c r="AO168" s="35"/>
      <c r="AP168" s="35"/>
      <c r="AQ168" s="35"/>
      <c r="AR168" s="35"/>
      <c r="AS168" s="35"/>
      <c r="AT168" s="35"/>
      <c r="AU168" s="35"/>
      <c r="AV168" s="35"/>
      <c r="AW168" s="35"/>
      <c r="AX168" s="35"/>
      <c r="AY168" s="35"/>
      <c r="AZ168" s="35"/>
      <c r="BA168" s="35"/>
      <c r="BB168" s="35"/>
    </row>
    <row r="169" spans="1:54" s="5" customFormat="1" x14ac:dyDescent="0.25">
      <c r="A169" s="32"/>
      <c r="B169" s="32"/>
      <c r="C169" s="32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  <c r="AM169" s="33"/>
      <c r="AN169" s="33"/>
      <c r="AO169" s="33"/>
      <c r="AP169" s="33"/>
      <c r="AQ169" s="36"/>
      <c r="AR169" s="36"/>
      <c r="AS169" s="36"/>
      <c r="AT169" s="36"/>
      <c r="AU169" s="36"/>
      <c r="AV169" s="36"/>
      <c r="AW169" s="36"/>
      <c r="AX169" s="36"/>
      <c r="AY169" s="36"/>
      <c r="AZ169" s="36"/>
      <c r="BA169" s="36"/>
      <c r="BB169" s="36"/>
    </row>
    <row r="170" spans="1:54" x14ac:dyDescent="0.25">
      <c r="A170" s="34"/>
      <c r="B170" s="34"/>
      <c r="C170" s="34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  <c r="AM170" s="35"/>
      <c r="AN170" s="35"/>
      <c r="AO170" s="35"/>
      <c r="AP170" s="35"/>
      <c r="AQ170" s="37"/>
      <c r="AR170" s="37"/>
      <c r="AS170" s="37"/>
      <c r="AT170" s="37"/>
      <c r="AU170" s="37"/>
      <c r="AV170" s="37"/>
      <c r="AW170" s="37"/>
      <c r="AX170" s="37"/>
      <c r="AY170" s="37"/>
      <c r="AZ170" s="37"/>
      <c r="BA170" s="37"/>
      <c r="BB170" s="37"/>
    </row>
    <row r="171" spans="1:54" s="5" customFormat="1" x14ac:dyDescent="0.25">
      <c r="A171" s="32"/>
      <c r="B171" s="32"/>
      <c r="C171" s="32"/>
      <c r="D171" s="33"/>
      <c r="E171" s="33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  <c r="AM171" s="33"/>
      <c r="AN171" s="33"/>
      <c r="AO171" s="33"/>
      <c r="AP171" s="33"/>
      <c r="AQ171" s="36"/>
      <c r="AR171" s="36"/>
      <c r="AS171" s="36"/>
      <c r="AT171" s="36"/>
      <c r="AU171" s="36"/>
      <c r="AV171" s="36"/>
      <c r="AW171" s="36"/>
      <c r="AX171" s="36"/>
      <c r="AY171" s="36"/>
      <c r="AZ171" s="36"/>
      <c r="BA171" s="36"/>
      <c r="BB171" s="36"/>
    </row>
    <row r="172" spans="1:54" x14ac:dyDescent="0.25">
      <c r="A172" s="34"/>
      <c r="B172" s="34"/>
      <c r="C172" s="34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  <c r="AM172" s="35"/>
      <c r="AN172" s="35"/>
      <c r="AO172" s="35"/>
      <c r="AP172" s="35"/>
      <c r="AQ172" s="35"/>
      <c r="AR172" s="35"/>
      <c r="AS172" s="35"/>
      <c r="AT172" s="35"/>
      <c r="AU172" s="35"/>
      <c r="AV172" s="35"/>
      <c r="AW172" s="35"/>
      <c r="AX172" s="35"/>
      <c r="AY172" s="35"/>
      <c r="AZ172" s="35"/>
      <c r="BA172" s="35"/>
      <c r="BB172" s="35"/>
    </row>
    <row r="173" spans="1:54" s="5" customFormat="1" x14ac:dyDescent="0.25">
      <c r="A173" s="32"/>
      <c r="B173" s="32"/>
      <c r="C173" s="32"/>
      <c r="D173" s="33"/>
      <c r="E173" s="33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  <c r="AM173" s="33"/>
      <c r="AN173" s="33"/>
      <c r="AO173" s="33"/>
      <c r="AP173" s="33"/>
      <c r="AQ173" s="36"/>
      <c r="AR173" s="36"/>
      <c r="AS173" s="36"/>
      <c r="AT173" s="36"/>
      <c r="AU173" s="36"/>
      <c r="AV173" s="36"/>
      <c r="AW173" s="36"/>
      <c r="AX173" s="36"/>
      <c r="AY173" s="36"/>
      <c r="AZ173" s="36"/>
      <c r="BA173" s="36"/>
      <c r="BB173" s="36"/>
    </row>
    <row r="174" spans="1:54" x14ac:dyDescent="0.25">
      <c r="A174" s="34"/>
      <c r="B174" s="34"/>
      <c r="C174" s="34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35"/>
      <c r="AE174" s="35"/>
      <c r="AF174" s="35"/>
      <c r="AG174" s="35"/>
      <c r="AH174" s="35"/>
      <c r="AI174" s="35"/>
      <c r="AJ174" s="35"/>
      <c r="AK174" s="35"/>
      <c r="AL174" s="35"/>
      <c r="AM174" s="35"/>
      <c r="AN174" s="35"/>
      <c r="AO174" s="35"/>
      <c r="AP174" s="35"/>
      <c r="AQ174" s="35"/>
      <c r="AR174" s="35"/>
      <c r="AS174" s="35"/>
      <c r="AT174" s="35"/>
      <c r="AU174" s="35"/>
      <c r="AV174" s="35"/>
      <c r="AW174" s="35"/>
      <c r="AX174" s="35"/>
      <c r="AY174" s="35"/>
      <c r="AZ174" s="35"/>
      <c r="BA174" s="35"/>
      <c r="BB174" s="35"/>
    </row>
    <row r="175" spans="1:54" s="5" customFormat="1" x14ac:dyDescent="0.25">
      <c r="A175" s="32"/>
      <c r="B175" s="32"/>
      <c r="C175" s="32"/>
      <c r="D175" s="33"/>
      <c r="E175" s="33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F175" s="33"/>
      <c r="AG175" s="33"/>
      <c r="AH175" s="33"/>
      <c r="AI175" s="33"/>
      <c r="AJ175" s="33"/>
      <c r="AK175" s="33"/>
      <c r="AL175" s="33"/>
      <c r="AM175" s="33"/>
      <c r="AN175" s="33"/>
      <c r="AO175" s="33"/>
      <c r="AP175" s="33"/>
      <c r="AQ175" s="33"/>
      <c r="AR175" s="33"/>
      <c r="AS175" s="33"/>
      <c r="AT175" s="33"/>
      <c r="AU175" s="36"/>
      <c r="AV175" s="33"/>
      <c r="AW175" s="33"/>
      <c r="AX175" s="33"/>
      <c r="AY175" s="36"/>
      <c r="AZ175" s="33"/>
      <c r="BA175" s="33"/>
      <c r="BB175" s="33"/>
    </row>
    <row r="176" spans="1:54" x14ac:dyDescent="0.25">
      <c r="A176" s="34"/>
      <c r="B176" s="34"/>
      <c r="C176" s="34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  <c r="AB176" s="35"/>
      <c r="AC176" s="35"/>
      <c r="AD176" s="35"/>
      <c r="AE176" s="35"/>
      <c r="AF176" s="35"/>
      <c r="AG176" s="35"/>
      <c r="AH176" s="35"/>
      <c r="AI176" s="35"/>
      <c r="AJ176" s="35"/>
      <c r="AK176" s="35"/>
      <c r="AL176" s="35"/>
      <c r="AM176" s="35"/>
      <c r="AN176" s="35"/>
      <c r="AO176" s="35"/>
      <c r="AP176" s="35"/>
      <c r="AQ176" s="35"/>
      <c r="AR176" s="35"/>
      <c r="AS176" s="35"/>
      <c r="AT176" s="35"/>
      <c r="AU176" s="35"/>
      <c r="AV176" s="35"/>
      <c r="AW176" s="35"/>
      <c r="AX176" s="35"/>
      <c r="AY176" s="35"/>
      <c r="AZ176" s="35"/>
      <c r="BA176" s="35"/>
      <c r="BB176" s="35"/>
    </row>
    <row r="177" spans="1:54" s="5" customFormat="1" x14ac:dyDescent="0.25">
      <c r="A177" s="32"/>
      <c r="B177" s="32"/>
      <c r="C177" s="32"/>
      <c r="D177" s="33"/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F177" s="33"/>
      <c r="AG177" s="33"/>
      <c r="AH177" s="33"/>
      <c r="AI177" s="33"/>
      <c r="AJ177" s="33"/>
      <c r="AK177" s="33"/>
      <c r="AL177" s="33"/>
      <c r="AM177" s="33"/>
      <c r="AN177" s="33"/>
      <c r="AO177" s="33"/>
      <c r="AP177" s="33"/>
      <c r="AQ177" s="33"/>
      <c r="AR177" s="33"/>
      <c r="AS177" s="33"/>
      <c r="AT177" s="33"/>
      <c r="AU177" s="36"/>
      <c r="AV177" s="33"/>
      <c r="AW177" s="33"/>
      <c r="AX177" s="36"/>
      <c r="AY177" s="36"/>
      <c r="AZ177" s="33"/>
      <c r="BA177" s="33"/>
      <c r="BB177" s="36"/>
    </row>
    <row r="178" spans="1:54" x14ac:dyDescent="0.25">
      <c r="A178" s="34"/>
      <c r="B178" s="34"/>
      <c r="C178" s="34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35"/>
      <c r="AE178" s="35"/>
      <c r="AF178" s="35"/>
      <c r="AG178" s="35"/>
      <c r="AH178" s="35"/>
      <c r="AI178" s="35"/>
      <c r="AJ178" s="35"/>
      <c r="AK178" s="35"/>
      <c r="AL178" s="35"/>
      <c r="AM178" s="35"/>
      <c r="AN178" s="35"/>
      <c r="AO178" s="35"/>
      <c r="AP178" s="35"/>
      <c r="AQ178" s="35"/>
      <c r="AR178" s="35"/>
      <c r="AS178" s="35"/>
      <c r="AT178" s="35"/>
      <c r="AU178" s="35"/>
      <c r="AV178" s="35"/>
      <c r="AW178" s="35"/>
      <c r="AX178" s="37"/>
      <c r="AY178" s="37"/>
      <c r="AZ178" s="37"/>
      <c r="BA178" s="37"/>
      <c r="BB178" s="37"/>
    </row>
    <row r="179" spans="1:54" s="5" customFormat="1" x14ac:dyDescent="0.25">
      <c r="A179" s="34"/>
      <c r="B179" s="32"/>
      <c r="C179" s="32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F179" s="33"/>
      <c r="AG179" s="33"/>
      <c r="AH179" s="33"/>
      <c r="AI179" s="33"/>
      <c r="AJ179" s="33"/>
      <c r="AK179" s="33"/>
      <c r="AL179" s="33"/>
      <c r="AM179" s="33"/>
      <c r="AN179" s="33"/>
      <c r="AO179" s="33"/>
      <c r="AP179" s="33"/>
      <c r="AQ179" s="33"/>
      <c r="AR179" s="33"/>
      <c r="AS179" s="33"/>
      <c r="AT179" s="33"/>
      <c r="AU179" s="33"/>
      <c r="AV179" s="33"/>
      <c r="AW179" s="33"/>
      <c r="AX179" s="36"/>
      <c r="AY179" s="36"/>
      <c r="AZ179" s="36"/>
      <c r="BA179" s="36"/>
      <c r="BB179" s="36"/>
    </row>
    <row r="180" spans="1:54" x14ac:dyDescent="0.25">
      <c r="A180" s="34"/>
      <c r="B180" s="34"/>
      <c r="C180" s="34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  <c r="AA180" s="35"/>
      <c r="AB180" s="35"/>
      <c r="AC180" s="35"/>
      <c r="AD180" s="35"/>
      <c r="AE180" s="35"/>
      <c r="AF180" s="35"/>
      <c r="AG180" s="35"/>
      <c r="AH180" s="35"/>
      <c r="AI180" s="35"/>
      <c r="AJ180" s="35"/>
      <c r="AK180" s="35"/>
      <c r="AL180" s="35"/>
      <c r="AM180" s="35"/>
      <c r="AN180" s="35"/>
      <c r="AO180" s="35"/>
      <c r="AP180" s="35"/>
      <c r="AQ180" s="35"/>
      <c r="AR180" s="35"/>
      <c r="AS180" s="35"/>
      <c r="AT180" s="35"/>
      <c r="AU180" s="35"/>
      <c r="AV180" s="35"/>
      <c r="AW180" s="35"/>
      <c r="AX180" s="37"/>
      <c r="AY180" s="37"/>
      <c r="AZ180" s="37"/>
      <c r="BA180" s="37"/>
      <c r="BB180" s="37"/>
    </row>
    <row r="181" spans="1:54" s="5" customFormat="1" x14ac:dyDescent="0.25">
      <c r="A181" s="34"/>
      <c r="B181" s="32"/>
      <c r="C181" s="32"/>
      <c r="D181" s="33"/>
      <c r="E181" s="33"/>
      <c r="F181" s="33"/>
      <c r="G181" s="33"/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F181" s="33"/>
      <c r="AG181" s="33"/>
      <c r="AH181" s="33"/>
      <c r="AI181" s="33"/>
      <c r="AJ181" s="33"/>
      <c r="AK181" s="33"/>
      <c r="AL181" s="33"/>
      <c r="AM181" s="33"/>
      <c r="AN181" s="33"/>
      <c r="AO181" s="33"/>
      <c r="AP181" s="33"/>
      <c r="AQ181" s="33"/>
      <c r="AR181" s="33"/>
      <c r="AS181" s="33"/>
      <c r="AT181" s="33"/>
      <c r="AU181" s="33"/>
      <c r="AV181" s="33"/>
      <c r="AW181" s="33"/>
      <c r="AX181" s="36"/>
      <c r="AY181" s="36"/>
      <c r="AZ181" s="36"/>
      <c r="BA181" s="36"/>
      <c r="BB181" s="36"/>
    </row>
    <row r="182" spans="1:54" s="5" customFormat="1" x14ac:dyDescent="0.25">
      <c r="A182" s="32"/>
      <c r="B182" s="32"/>
      <c r="C182" s="32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F182" s="33"/>
      <c r="AG182" s="33"/>
      <c r="AH182" s="33"/>
      <c r="AI182" s="33"/>
      <c r="AJ182" s="33"/>
      <c r="AK182" s="33"/>
      <c r="AL182" s="33"/>
      <c r="AM182" s="33"/>
      <c r="AN182" s="33"/>
      <c r="AO182" s="33"/>
      <c r="AP182" s="33"/>
      <c r="AQ182" s="36"/>
      <c r="AR182" s="36"/>
      <c r="AS182" s="36"/>
      <c r="AT182" s="36"/>
      <c r="AU182" s="36"/>
      <c r="AV182" s="36"/>
      <c r="AW182" s="36"/>
      <c r="AX182" s="36"/>
      <c r="AY182" s="36"/>
      <c r="AZ182" s="36"/>
      <c r="BA182" s="36"/>
      <c r="BB182" s="36"/>
    </row>
    <row r="183" spans="1:54" x14ac:dyDescent="0.25">
      <c r="A183" s="34"/>
      <c r="B183" s="34"/>
      <c r="C183" s="34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35"/>
      <c r="AE183" s="35"/>
      <c r="AF183" s="35"/>
      <c r="AG183" s="35"/>
      <c r="AH183" s="35"/>
      <c r="AI183" s="35"/>
      <c r="AJ183" s="35"/>
      <c r="AK183" s="35"/>
      <c r="AL183" s="35"/>
      <c r="AM183" s="35"/>
      <c r="AN183" s="35"/>
      <c r="AO183" s="35"/>
      <c r="AP183" s="35"/>
      <c r="AQ183" s="37"/>
      <c r="AR183" s="37"/>
      <c r="AS183" s="37"/>
      <c r="AT183" s="37"/>
      <c r="AU183" s="37"/>
      <c r="AV183" s="37"/>
      <c r="AW183" s="37"/>
      <c r="AX183" s="37"/>
      <c r="AY183" s="37"/>
      <c r="AZ183" s="37"/>
      <c r="BA183" s="37"/>
      <c r="BB183" s="37"/>
    </row>
    <row r="184" spans="1:54" s="5" customFormat="1" x14ac:dyDescent="0.25">
      <c r="A184" s="32"/>
      <c r="B184" s="32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3"/>
      <c r="V184" s="33"/>
      <c r="W184" s="33"/>
      <c r="X184" s="33"/>
      <c r="Y184" s="33"/>
      <c r="Z184" s="33"/>
      <c r="AA184" s="33"/>
      <c r="AB184" s="33"/>
      <c r="AC184" s="33"/>
      <c r="AD184" s="33"/>
      <c r="AE184" s="33"/>
      <c r="AF184" s="33"/>
      <c r="AG184" s="33"/>
      <c r="AH184" s="33"/>
      <c r="AI184" s="33"/>
      <c r="AJ184" s="33"/>
      <c r="AK184" s="33"/>
      <c r="AL184" s="33"/>
      <c r="AM184" s="33"/>
      <c r="AN184" s="33"/>
      <c r="AO184" s="33"/>
      <c r="AP184" s="33"/>
      <c r="AQ184" s="36"/>
      <c r="AR184" s="36"/>
      <c r="AS184" s="36"/>
      <c r="AT184" s="36"/>
      <c r="AU184" s="36"/>
      <c r="AV184" s="36"/>
      <c r="AW184" s="36"/>
      <c r="AX184" s="36"/>
      <c r="AY184" s="36"/>
      <c r="AZ184" s="36"/>
      <c r="BA184" s="36"/>
      <c r="BB184" s="36"/>
    </row>
    <row r="185" spans="1:54" x14ac:dyDescent="0.25">
      <c r="A185" s="34"/>
      <c r="B185" s="34"/>
      <c r="C185" s="34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35"/>
      <c r="AE185" s="35"/>
      <c r="AF185" s="35"/>
      <c r="AG185" s="35"/>
      <c r="AH185" s="35"/>
      <c r="AI185" s="35"/>
      <c r="AJ185" s="35"/>
      <c r="AK185" s="35"/>
      <c r="AL185" s="35"/>
      <c r="AM185" s="35"/>
      <c r="AN185" s="35"/>
      <c r="AO185" s="35"/>
      <c r="AP185" s="35"/>
      <c r="AQ185" s="37"/>
      <c r="AR185" s="37"/>
      <c r="AS185" s="37"/>
      <c r="AT185" s="37"/>
      <c r="AU185" s="37"/>
      <c r="AV185" s="37"/>
      <c r="AW185" s="37"/>
      <c r="AX185" s="37"/>
      <c r="AY185" s="37"/>
      <c r="AZ185" s="37"/>
      <c r="BA185" s="37"/>
      <c r="BB185" s="37"/>
    </row>
    <row r="186" spans="1:54" s="5" customFormat="1" x14ac:dyDescent="0.25">
      <c r="A186" s="32"/>
      <c r="B186" s="32"/>
      <c r="C186" s="32"/>
      <c r="D186" s="36"/>
      <c r="E186" s="36"/>
      <c r="F186" s="36"/>
      <c r="G186" s="36"/>
      <c r="H186" s="36"/>
      <c r="I186" s="36"/>
      <c r="J186" s="36"/>
      <c r="K186" s="36"/>
      <c r="L186" s="36"/>
      <c r="M186" s="36"/>
      <c r="N186" s="36"/>
      <c r="O186" s="36"/>
      <c r="P186" s="36"/>
      <c r="Q186" s="36"/>
      <c r="R186" s="36"/>
      <c r="S186" s="36"/>
      <c r="T186" s="36"/>
      <c r="U186" s="36"/>
      <c r="V186" s="36"/>
      <c r="W186" s="36"/>
      <c r="X186" s="36"/>
      <c r="Y186" s="36"/>
      <c r="Z186" s="36"/>
      <c r="AA186" s="36"/>
      <c r="AB186" s="36"/>
      <c r="AC186" s="36"/>
      <c r="AD186" s="36"/>
      <c r="AE186" s="36"/>
      <c r="AF186" s="36"/>
      <c r="AG186" s="36"/>
      <c r="AH186" s="36"/>
      <c r="AI186" s="36"/>
      <c r="AJ186" s="36"/>
      <c r="AK186" s="36"/>
      <c r="AL186" s="36"/>
      <c r="AM186" s="36"/>
      <c r="AN186" s="36"/>
      <c r="AO186" s="36"/>
      <c r="AP186" s="36"/>
      <c r="AQ186" s="36"/>
      <c r="AR186" s="36"/>
      <c r="AS186" s="36"/>
      <c r="AT186" s="36"/>
      <c r="AU186" s="36"/>
      <c r="AV186" s="36"/>
      <c r="AW186" s="36"/>
      <c r="AX186" s="36"/>
      <c r="AY186" s="36"/>
      <c r="AZ186" s="36"/>
      <c r="BA186" s="36"/>
      <c r="BB186" s="36"/>
    </row>
    <row r="187" spans="1:54" x14ac:dyDescent="0.25">
      <c r="A187" s="34"/>
      <c r="B187" s="34"/>
      <c r="C187" s="34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35"/>
      <c r="AA187" s="35"/>
      <c r="AB187" s="35"/>
      <c r="AC187" s="35"/>
      <c r="AD187" s="35"/>
      <c r="AE187" s="35"/>
      <c r="AF187" s="35"/>
      <c r="AG187" s="35"/>
      <c r="AH187" s="35"/>
      <c r="AI187" s="35"/>
      <c r="AJ187" s="35"/>
      <c r="AK187" s="35"/>
      <c r="AL187" s="35"/>
      <c r="AM187" s="35"/>
      <c r="AN187" s="35"/>
      <c r="AO187" s="35"/>
      <c r="AP187" s="35"/>
      <c r="AQ187" s="35"/>
      <c r="AR187" s="35"/>
      <c r="AS187" s="35"/>
      <c r="AT187" s="35"/>
      <c r="AU187" s="35"/>
      <c r="AV187" s="35"/>
      <c r="AW187" s="35"/>
      <c r="AX187" s="35"/>
      <c r="AY187" s="35"/>
      <c r="AZ187" s="35"/>
      <c r="BA187" s="35"/>
      <c r="BB187" s="35"/>
    </row>
    <row r="188" spans="1:54" s="5" customFormat="1" x14ac:dyDescent="0.25">
      <c r="A188" s="32"/>
      <c r="B188" s="32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  <c r="V188" s="33"/>
      <c r="W188" s="33"/>
      <c r="X188" s="33"/>
      <c r="Y188" s="33"/>
      <c r="Z188" s="33"/>
      <c r="AA188" s="33"/>
      <c r="AB188" s="33"/>
      <c r="AC188" s="33"/>
      <c r="AD188" s="33"/>
      <c r="AE188" s="33"/>
      <c r="AF188" s="33"/>
      <c r="AG188" s="33"/>
      <c r="AH188" s="33"/>
      <c r="AI188" s="33"/>
      <c r="AJ188" s="33"/>
      <c r="AK188" s="33"/>
      <c r="AL188" s="33"/>
      <c r="AM188" s="33"/>
      <c r="AN188" s="33"/>
      <c r="AO188" s="33"/>
      <c r="AP188" s="33"/>
      <c r="AQ188" s="33"/>
      <c r="AR188" s="33"/>
      <c r="AS188" s="33"/>
      <c r="AT188" s="33"/>
      <c r="AU188" s="36"/>
      <c r="AV188" s="33"/>
      <c r="AW188" s="33"/>
      <c r="AX188" s="36"/>
      <c r="AY188" s="36"/>
      <c r="AZ188" s="36"/>
      <c r="BA188" s="36"/>
      <c r="BB188" s="36"/>
    </row>
    <row r="189" spans="1:54" x14ac:dyDescent="0.25">
      <c r="A189" s="34"/>
      <c r="B189" s="34"/>
      <c r="C189" s="34"/>
      <c r="D189" s="37"/>
      <c r="E189" s="37"/>
      <c r="F189" s="37"/>
      <c r="G189" s="37"/>
      <c r="H189" s="37"/>
      <c r="I189" s="37"/>
      <c r="J189" s="37"/>
      <c r="K189" s="37"/>
      <c r="L189" s="37"/>
      <c r="M189" s="37"/>
      <c r="N189" s="37"/>
      <c r="O189" s="37"/>
      <c r="P189" s="37"/>
      <c r="Q189" s="37"/>
      <c r="R189" s="37"/>
      <c r="S189" s="37"/>
      <c r="T189" s="37"/>
      <c r="U189" s="37"/>
      <c r="V189" s="37"/>
      <c r="W189" s="37"/>
      <c r="X189" s="37"/>
      <c r="Y189" s="37"/>
      <c r="Z189" s="37"/>
      <c r="AA189" s="37"/>
      <c r="AB189" s="37"/>
      <c r="AC189" s="37"/>
      <c r="AD189" s="37"/>
      <c r="AE189" s="37"/>
      <c r="AF189" s="37"/>
      <c r="AG189" s="37"/>
      <c r="AH189" s="37"/>
      <c r="AI189" s="37"/>
      <c r="AJ189" s="37"/>
      <c r="AK189" s="37"/>
      <c r="AL189" s="37"/>
      <c r="AM189" s="37"/>
      <c r="AN189" s="37"/>
      <c r="AO189" s="37"/>
      <c r="AP189" s="37"/>
      <c r="AQ189" s="37"/>
      <c r="AR189" s="37"/>
      <c r="AS189" s="37"/>
      <c r="AT189" s="37"/>
      <c r="AU189" s="37"/>
      <c r="AV189" s="37"/>
      <c r="AW189" s="37"/>
      <c r="AX189" s="37"/>
      <c r="AY189" s="37"/>
      <c r="AZ189" s="37"/>
      <c r="BA189" s="37"/>
      <c r="BB189" s="37"/>
    </row>
    <row r="190" spans="1:54" s="5" customFormat="1" x14ac:dyDescent="0.25">
      <c r="A190" s="32"/>
      <c r="B190" s="32"/>
      <c r="C190" s="32"/>
      <c r="D190" s="36"/>
      <c r="E190" s="36"/>
      <c r="F190" s="36"/>
      <c r="G190" s="36"/>
      <c r="H190" s="36"/>
      <c r="I190" s="36"/>
      <c r="J190" s="36"/>
      <c r="K190" s="36"/>
      <c r="L190" s="36"/>
      <c r="M190" s="36"/>
      <c r="N190" s="36"/>
      <c r="O190" s="36"/>
      <c r="P190" s="36"/>
      <c r="Q190" s="36"/>
      <c r="R190" s="36"/>
      <c r="S190" s="36"/>
      <c r="T190" s="36"/>
      <c r="U190" s="36"/>
      <c r="V190" s="36"/>
      <c r="W190" s="36"/>
      <c r="X190" s="36"/>
      <c r="Y190" s="36"/>
      <c r="Z190" s="36"/>
      <c r="AA190" s="36"/>
      <c r="AB190" s="36"/>
      <c r="AC190" s="36"/>
      <c r="AD190" s="36"/>
      <c r="AE190" s="36"/>
      <c r="AF190" s="36"/>
      <c r="AG190" s="36"/>
      <c r="AH190" s="36"/>
      <c r="AI190" s="36"/>
      <c r="AJ190" s="36"/>
      <c r="AK190" s="36"/>
      <c r="AL190" s="36"/>
      <c r="AM190" s="36"/>
      <c r="AN190" s="36"/>
      <c r="AO190" s="36"/>
      <c r="AP190" s="36"/>
      <c r="AQ190" s="36"/>
      <c r="AR190" s="36"/>
      <c r="AS190" s="36"/>
      <c r="AT190" s="36"/>
      <c r="AU190" s="36"/>
      <c r="AV190" s="36"/>
      <c r="AW190" s="36"/>
      <c r="AX190" s="36"/>
      <c r="AY190" s="36"/>
      <c r="AZ190" s="36"/>
      <c r="BA190" s="36"/>
      <c r="BB190" s="36"/>
    </row>
    <row r="191" spans="1:54" x14ac:dyDescent="0.25">
      <c r="A191" s="34"/>
      <c r="B191" s="34"/>
      <c r="C191" s="34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  <c r="Y191" s="35"/>
      <c r="Z191" s="35"/>
      <c r="AA191" s="35"/>
      <c r="AB191" s="35"/>
      <c r="AC191" s="35"/>
      <c r="AD191" s="35"/>
      <c r="AE191" s="35"/>
      <c r="AF191" s="35"/>
      <c r="AG191" s="35"/>
      <c r="AH191" s="35"/>
      <c r="AI191" s="35"/>
      <c r="AJ191" s="35"/>
      <c r="AK191" s="35"/>
      <c r="AL191" s="35"/>
      <c r="AM191" s="35"/>
      <c r="AN191" s="35"/>
      <c r="AO191" s="35"/>
      <c r="AP191" s="35"/>
      <c r="AQ191" s="37"/>
      <c r="AR191" s="37"/>
      <c r="AS191" s="37"/>
      <c r="AT191" s="37"/>
      <c r="AU191" s="35"/>
      <c r="AV191" s="37"/>
      <c r="AW191" s="35"/>
      <c r="AX191" s="35"/>
      <c r="AY191" s="35"/>
      <c r="AZ191" s="35"/>
      <c r="BA191" s="35"/>
      <c r="BB191" s="35"/>
    </row>
    <row r="192" spans="1:54" s="5" customFormat="1" x14ac:dyDescent="0.25">
      <c r="A192" s="32"/>
      <c r="B192" s="32"/>
      <c r="C192" s="32"/>
      <c r="D192" s="33"/>
      <c r="E192" s="33"/>
      <c r="F192" s="33"/>
      <c r="G192" s="33"/>
      <c r="H192" s="33"/>
      <c r="I192" s="33"/>
      <c r="J192" s="33"/>
      <c r="K192" s="33"/>
      <c r="L192" s="33"/>
      <c r="M192" s="33"/>
      <c r="N192" s="33"/>
      <c r="O192" s="33"/>
      <c r="P192" s="33"/>
      <c r="Q192" s="33"/>
      <c r="R192" s="33"/>
      <c r="S192" s="33"/>
      <c r="T192" s="33"/>
      <c r="U192" s="33"/>
      <c r="V192" s="33"/>
      <c r="W192" s="33"/>
      <c r="X192" s="33"/>
      <c r="Y192" s="33"/>
      <c r="Z192" s="33"/>
      <c r="AA192" s="33"/>
      <c r="AB192" s="33"/>
      <c r="AC192" s="33"/>
      <c r="AD192" s="36"/>
      <c r="AE192" s="33"/>
      <c r="AF192" s="33"/>
      <c r="AG192" s="36"/>
      <c r="AH192" s="33"/>
      <c r="AI192" s="33"/>
      <c r="AJ192" s="33"/>
      <c r="AK192" s="33"/>
      <c r="AL192" s="33"/>
      <c r="AM192" s="33"/>
      <c r="AN192" s="36"/>
      <c r="AO192" s="33"/>
      <c r="AP192" s="33"/>
      <c r="AQ192" s="33"/>
      <c r="AR192" s="33"/>
      <c r="AS192" s="33"/>
      <c r="AT192" s="33"/>
      <c r="AU192" s="33"/>
      <c r="AV192" s="33"/>
      <c r="AW192" s="36"/>
      <c r="AX192" s="36"/>
      <c r="AY192" s="36"/>
      <c r="AZ192" s="36"/>
      <c r="BA192" s="36"/>
      <c r="BB192" s="36"/>
    </row>
    <row r="193" spans="1:54" x14ac:dyDescent="0.25">
      <c r="A193" s="34"/>
      <c r="B193" s="34"/>
      <c r="C193" s="34"/>
      <c r="D193" s="37"/>
      <c r="E193" s="37"/>
      <c r="F193" s="37"/>
      <c r="G193" s="37"/>
      <c r="H193" s="37"/>
      <c r="I193" s="37"/>
      <c r="J193" s="37"/>
      <c r="K193" s="37"/>
      <c r="L193" s="37"/>
      <c r="M193" s="37"/>
      <c r="N193" s="37"/>
      <c r="O193" s="37"/>
      <c r="P193" s="37"/>
      <c r="Q193" s="37"/>
      <c r="R193" s="37"/>
      <c r="S193" s="37"/>
      <c r="T193" s="37"/>
      <c r="U193" s="37"/>
      <c r="V193" s="37"/>
      <c r="W193" s="37"/>
      <c r="X193" s="37"/>
      <c r="Y193" s="37"/>
      <c r="Z193" s="37"/>
      <c r="AA193" s="37"/>
      <c r="AB193" s="37"/>
      <c r="AC193" s="37"/>
      <c r="AD193" s="37"/>
      <c r="AE193" s="37"/>
      <c r="AF193" s="37"/>
      <c r="AG193" s="37"/>
      <c r="AH193" s="37"/>
      <c r="AI193" s="37"/>
      <c r="AJ193" s="37"/>
      <c r="AK193" s="37"/>
      <c r="AL193" s="37"/>
      <c r="AM193" s="37"/>
      <c r="AN193" s="37"/>
      <c r="AO193" s="37"/>
      <c r="AP193" s="37"/>
      <c r="AQ193" s="37"/>
      <c r="AR193" s="37"/>
      <c r="AS193" s="37"/>
      <c r="AT193" s="37"/>
      <c r="AU193" s="37"/>
      <c r="AV193" s="37"/>
      <c r="AW193" s="37"/>
      <c r="AX193" s="37"/>
      <c r="AY193" s="37"/>
      <c r="AZ193" s="37"/>
      <c r="BA193" s="37"/>
      <c r="BB193" s="37"/>
    </row>
    <row r="194" spans="1:54" s="5" customFormat="1" x14ac:dyDescent="0.25">
      <c r="A194" s="32"/>
      <c r="B194" s="32"/>
      <c r="C194" s="32"/>
      <c r="D194" s="33"/>
      <c r="E194" s="33"/>
      <c r="F194" s="33"/>
      <c r="G194" s="33"/>
      <c r="H194" s="33"/>
      <c r="I194" s="33"/>
      <c r="J194" s="33"/>
      <c r="K194" s="33"/>
      <c r="L194" s="33"/>
      <c r="M194" s="33"/>
      <c r="N194" s="33"/>
      <c r="O194" s="33"/>
      <c r="P194" s="33"/>
      <c r="Q194" s="33"/>
      <c r="R194" s="33"/>
      <c r="S194" s="33"/>
      <c r="T194" s="33"/>
      <c r="U194" s="33"/>
      <c r="V194" s="33"/>
      <c r="W194" s="33"/>
      <c r="X194" s="33"/>
      <c r="Y194" s="33"/>
      <c r="Z194" s="33"/>
      <c r="AA194" s="33"/>
      <c r="AB194" s="33"/>
      <c r="AC194" s="36"/>
      <c r="AD194" s="33"/>
      <c r="AE194" s="33"/>
      <c r="AF194" s="36"/>
      <c r="AG194" s="36"/>
      <c r="AH194" s="36"/>
      <c r="AI194" s="36"/>
      <c r="AJ194" s="36"/>
      <c r="AK194" s="36"/>
      <c r="AL194" s="36"/>
      <c r="AM194" s="36"/>
      <c r="AN194" s="36"/>
      <c r="AO194" s="36"/>
      <c r="AP194" s="36"/>
      <c r="AQ194" s="36"/>
      <c r="AR194" s="36"/>
      <c r="AS194" s="36"/>
      <c r="AT194" s="36"/>
      <c r="AU194" s="36"/>
      <c r="AV194" s="36"/>
      <c r="AW194" s="36"/>
      <c r="AX194" s="36"/>
      <c r="AY194" s="36"/>
      <c r="AZ194" s="36"/>
      <c r="BA194" s="36"/>
      <c r="BB194" s="36"/>
    </row>
    <row r="195" spans="1:54" x14ac:dyDescent="0.25">
      <c r="A195" s="34"/>
      <c r="B195" s="34"/>
      <c r="C195" s="34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  <c r="Y195" s="35"/>
      <c r="Z195" s="35"/>
      <c r="AA195" s="35"/>
      <c r="AB195" s="35"/>
      <c r="AC195" s="35"/>
      <c r="AD195" s="35"/>
      <c r="AE195" s="35"/>
      <c r="AF195" s="35"/>
      <c r="AG195" s="35"/>
      <c r="AH195" s="35"/>
      <c r="AI195" s="35"/>
      <c r="AJ195" s="35"/>
      <c r="AK195" s="35"/>
      <c r="AL195" s="35"/>
      <c r="AM195" s="35"/>
      <c r="AN195" s="35"/>
      <c r="AO195" s="35"/>
      <c r="AP195" s="35"/>
      <c r="AQ195" s="35"/>
      <c r="AR195" s="35"/>
      <c r="AS195" s="35"/>
      <c r="AT195" s="35"/>
      <c r="AU195" s="35"/>
      <c r="AV195" s="35"/>
      <c r="AW195" s="35"/>
      <c r="AX195" s="35"/>
      <c r="AY195" s="35"/>
      <c r="AZ195" s="35"/>
      <c r="BA195" s="35"/>
      <c r="BB195" s="35"/>
    </row>
    <row r="196" spans="1:54" s="5" customFormat="1" x14ac:dyDescent="0.25">
      <c r="A196" s="32"/>
      <c r="B196" s="32"/>
      <c r="C196" s="32"/>
      <c r="D196" s="33"/>
      <c r="E196" s="33"/>
      <c r="F196" s="33"/>
      <c r="G196" s="33"/>
      <c r="H196" s="33"/>
      <c r="I196" s="33"/>
      <c r="J196" s="33"/>
      <c r="K196" s="33"/>
      <c r="L196" s="33"/>
      <c r="M196" s="33"/>
      <c r="N196" s="33"/>
      <c r="O196" s="33"/>
      <c r="P196" s="33"/>
      <c r="Q196" s="33"/>
      <c r="R196" s="33"/>
      <c r="S196" s="33"/>
      <c r="T196" s="33"/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F196" s="33"/>
      <c r="AG196" s="33"/>
      <c r="AH196" s="33"/>
      <c r="AI196" s="33"/>
      <c r="AJ196" s="33"/>
      <c r="AK196" s="33"/>
      <c r="AL196" s="33"/>
      <c r="AM196" s="33"/>
      <c r="AN196" s="33"/>
      <c r="AO196" s="33"/>
      <c r="AP196" s="33"/>
      <c r="AQ196" s="33"/>
      <c r="AR196" s="33"/>
      <c r="AS196" s="33"/>
      <c r="AT196" s="33"/>
      <c r="AU196" s="33"/>
      <c r="AV196" s="33"/>
      <c r="AW196" s="33"/>
      <c r="AX196" s="33"/>
      <c r="AY196" s="33"/>
      <c r="AZ196" s="33"/>
      <c r="BA196" s="33"/>
      <c r="BB196" s="33"/>
    </row>
    <row r="197" spans="1:54" x14ac:dyDescent="0.25">
      <c r="A197" s="34"/>
      <c r="B197" s="34"/>
      <c r="C197" s="34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  <c r="Y197" s="35"/>
      <c r="Z197" s="35"/>
      <c r="AA197" s="35"/>
      <c r="AB197" s="35"/>
      <c r="AC197" s="37"/>
      <c r="AD197" s="35"/>
      <c r="AE197" s="35"/>
      <c r="AF197" s="37"/>
      <c r="AG197" s="37"/>
      <c r="AH197" s="37"/>
      <c r="AI197" s="37"/>
      <c r="AJ197" s="37"/>
      <c r="AK197" s="37"/>
      <c r="AL197" s="37"/>
      <c r="AM197" s="37"/>
      <c r="AN197" s="37"/>
      <c r="AO197" s="37"/>
      <c r="AP197" s="37"/>
      <c r="AQ197" s="37"/>
      <c r="AR197" s="37"/>
      <c r="AS197" s="37"/>
      <c r="AT197" s="37"/>
      <c r="AU197" s="37"/>
      <c r="AV197" s="37"/>
      <c r="AW197" s="37"/>
      <c r="AX197" s="37"/>
      <c r="AY197" s="37"/>
      <c r="AZ197" s="37"/>
      <c r="BA197" s="37"/>
      <c r="BB197" s="37"/>
    </row>
    <row r="198" spans="1:54" s="5" customFormat="1" x14ac:dyDescent="0.25">
      <c r="A198" s="32"/>
      <c r="B198" s="32"/>
      <c r="C198" s="32"/>
      <c r="D198" s="36"/>
      <c r="E198" s="36"/>
      <c r="F198" s="36"/>
      <c r="G198" s="36"/>
      <c r="H198" s="36"/>
      <c r="I198" s="36"/>
      <c r="J198" s="36"/>
      <c r="K198" s="36"/>
      <c r="L198" s="36"/>
      <c r="M198" s="36"/>
      <c r="N198" s="36"/>
      <c r="O198" s="36"/>
      <c r="P198" s="36"/>
      <c r="Q198" s="36"/>
      <c r="R198" s="36"/>
      <c r="S198" s="36"/>
      <c r="T198" s="36"/>
      <c r="U198" s="36"/>
      <c r="V198" s="36"/>
      <c r="W198" s="36"/>
      <c r="X198" s="36"/>
      <c r="Y198" s="36"/>
      <c r="Z198" s="36"/>
      <c r="AA198" s="36"/>
      <c r="AB198" s="36"/>
      <c r="AC198" s="36"/>
      <c r="AD198" s="36"/>
      <c r="AE198" s="36"/>
      <c r="AF198" s="36"/>
      <c r="AG198" s="36"/>
      <c r="AH198" s="36"/>
      <c r="AI198" s="36"/>
      <c r="AJ198" s="36"/>
      <c r="AK198" s="36"/>
      <c r="AL198" s="36"/>
      <c r="AM198" s="36"/>
      <c r="AN198" s="36"/>
      <c r="AO198" s="36"/>
      <c r="AP198" s="36"/>
      <c r="AQ198" s="36"/>
      <c r="AR198" s="36"/>
      <c r="AS198" s="36"/>
      <c r="AT198" s="36"/>
      <c r="AU198" s="36"/>
      <c r="AV198" s="36"/>
      <c r="AW198" s="36"/>
      <c r="AX198" s="36"/>
      <c r="AY198" s="36"/>
      <c r="AZ198" s="36"/>
      <c r="BA198" s="36"/>
      <c r="BB198" s="36"/>
    </row>
    <row r="199" spans="1:54" x14ac:dyDescent="0.25">
      <c r="A199" s="34"/>
      <c r="B199" s="34"/>
      <c r="C199" s="34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  <c r="Y199" s="35"/>
      <c r="Z199" s="35"/>
      <c r="AA199" s="35"/>
      <c r="AB199" s="35"/>
      <c r="AC199" s="35"/>
      <c r="AD199" s="35"/>
      <c r="AE199" s="35"/>
      <c r="AF199" s="35"/>
      <c r="AG199" s="35"/>
      <c r="AH199" s="35"/>
      <c r="AI199" s="35"/>
      <c r="AJ199" s="35"/>
      <c r="AK199" s="35"/>
      <c r="AL199" s="35"/>
      <c r="AM199" s="35"/>
      <c r="AN199" s="35"/>
      <c r="AO199" s="35"/>
      <c r="AP199" s="35"/>
      <c r="AQ199" s="35"/>
      <c r="AR199" s="35"/>
      <c r="AS199" s="35"/>
      <c r="AT199" s="35"/>
      <c r="AU199" s="35"/>
      <c r="AV199" s="35"/>
      <c r="AW199" s="35"/>
      <c r="AX199" s="35"/>
      <c r="AY199" s="35"/>
      <c r="AZ199" s="35"/>
      <c r="BA199" s="35"/>
      <c r="BB199" s="35"/>
    </row>
    <row r="200" spans="1:54" s="5" customFormat="1" x14ac:dyDescent="0.25">
      <c r="A200" s="32"/>
      <c r="B200" s="32"/>
      <c r="C200" s="32"/>
      <c r="D200" s="33"/>
      <c r="E200" s="33"/>
      <c r="F200" s="33"/>
      <c r="G200" s="33"/>
      <c r="H200" s="33"/>
      <c r="I200" s="33"/>
      <c r="J200" s="33"/>
      <c r="K200" s="33"/>
      <c r="L200" s="33"/>
      <c r="M200" s="33"/>
      <c r="N200" s="33"/>
      <c r="O200" s="33"/>
      <c r="P200" s="33"/>
      <c r="Q200" s="33"/>
      <c r="R200" s="33"/>
      <c r="S200" s="33"/>
      <c r="T200" s="33"/>
      <c r="U200" s="33"/>
      <c r="V200" s="33"/>
      <c r="W200" s="33"/>
      <c r="X200" s="33"/>
      <c r="Y200" s="33"/>
      <c r="Z200" s="33"/>
      <c r="AA200" s="33"/>
      <c r="AB200" s="33"/>
      <c r="AC200" s="33"/>
      <c r="AD200" s="33"/>
      <c r="AE200" s="33"/>
      <c r="AF200" s="33"/>
      <c r="AG200" s="33"/>
      <c r="AH200" s="33"/>
      <c r="AI200" s="33"/>
      <c r="AJ200" s="33"/>
      <c r="AK200" s="33"/>
      <c r="AL200" s="36"/>
      <c r="AM200" s="36"/>
      <c r="AN200" s="36"/>
      <c r="AO200" s="36"/>
      <c r="AP200" s="36"/>
      <c r="AQ200" s="36"/>
      <c r="AR200" s="36"/>
      <c r="AS200" s="36"/>
      <c r="AT200" s="36"/>
      <c r="AU200" s="36"/>
      <c r="AV200" s="36"/>
      <c r="AW200" s="36"/>
      <c r="AX200" s="36"/>
      <c r="AY200" s="36"/>
      <c r="AZ200" s="36"/>
      <c r="BA200" s="36"/>
      <c r="BB200" s="36"/>
    </row>
    <row r="201" spans="1:54" x14ac:dyDescent="0.25">
      <c r="A201" s="34"/>
      <c r="B201" s="34"/>
      <c r="C201" s="34"/>
      <c r="D201" s="37"/>
      <c r="E201" s="37"/>
      <c r="F201" s="37"/>
      <c r="G201" s="37"/>
      <c r="H201" s="37"/>
      <c r="I201" s="37"/>
      <c r="J201" s="37"/>
      <c r="K201" s="37"/>
      <c r="L201" s="37"/>
      <c r="M201" s="37"/>
      <c r="N201" s="37"/>
      <c r="O201" s="37"/>
      <c r="P201" s="37"/>
      <c r="Q201" s="37"/>
      <c r="R201" s="37"/>
      <c r="S201" s="37"/>
      <c r="T201" s="37"/>
      <c r="U201" s="37"/>
      <c r="V201" s="37"/>
      <c r="W201" s="37"/>
      <c r="X201" s="37"/>
      <c r="Y201" s="37"/>
      <c r="Z201" s="37"/>
      <c r="AA201" s="37"/>
      <c r="AB201" s="37"/>
      <c r="AC201" s="37"/>
      <c r="AD201" s="37"/>
      <c r="AE201" s="37"/>
      <c r="AF201" s="37"/>
      <c r="AG201" s="37"/>
      <c r="AH201" s="37"/>
      <c r="AI201" s="37"/>
      <c r="AJ201" s="37"/>
      <c r="AK201" s="37"/>
      <c r="AL201" s="37"/>
      <c r="AM201" s="37"/>
      <c r="AN201" s="37"/>
      <c r="AO201" s="37"/>
      <c r="AP201" s="37"/>
      <c r="AQ201" s="37"/>
      <c r="AR201" s="37"/>
      <c r="AS201" s="37"/>
      <c r="AT201" s="37"/>
      <c r="AU201" s="37"/>
      <c r="AV201" s="37"/>
      <c r="AW201" s="37"/>
      <c r="AX201" s="37"/>
      <c r="AY201" s="37"/>
      <c r="AZ201" s="37"/>
      <c r="BA201" s="37"/>
      <c r="BB201" s="37"/>
    </row>
    <row r="202" spans="1:54" s="5" customFormat="1" x14ac:dyDescent="0.25">
      <c r="A202" s="32"/>
      <c r="B202" s="32"/>
      <c r="C202" s="32"/>
      <c r="D202" s="36"/>
      <c r="E202" s="36"/>
      <c r="F202" s="36"/>
      <c r="G202" s="36"/>
      <c r="H202" s="36"/>
      <c r="I202" s="36"/>
      <c r="J202" s="36"/>
      <c r="K202" s="36"/>
      <c r="L202" s="36"/>
      <c r="M202" s="36"/>
      <c r="N202" s="36"/>
      <c r="O202" s="36"/>
      <c r="P202" s="36"/>
      <c r="Q202" s="36"/>
      <c r="R202" s="36"/>
      <c r="S202" s="36"/>
      <c r="T202" s="36"/>
      <c r="U202" s="36"/>
      <c r="V202" s="36"/>
      <c r="W202" s="36"/>
      <c r="X202" s="36"/>
      <c r="Y202" s="36"/>
      <c r="Z202" s="36"/>
      <c r="AA202" s="36"/>
      <c r="AB202" s="36"/>
      <c r="AC202" s="36"/>
      <c r="AD202" s="36"/>
      <c r="AE202" s="36"/>
      <c r="AF202" s="36"/>
      <c r="AG202" s="36"/>
      <c r="AH202" s="36"/>
      <c r="AI202" s="36"/>
      <c r="AJ202" s="36"/>
      <c r="AK202" s="36"/>
      <c r="AL202" s="36"/>
      <c r="AM202" s="36"/>
      <c r="AN202" s="36"/>
      <c r="AO202" s="36"/>
      <c r="AP202" s="36"/>
      <c r="AQ202" s="36"/>
      <c r="AR202" s="36"/>
      <c r="AS202" s="36"/>
      <c r="AT202" s="36"/>
      <c r="AU202" s="36"/>
      <c r="AV202" s="36"/>
      <c r="AW202" s="36"/>
      <c r="AX202" s="36"/>
      <c r="AY202" s="36"/>
      <c r="AZ202" s="36"/>
      <c r="BA202" s="36"/>
      <c r="BB202" s="36"/>
    </row>
    <row r="203" spans="1:54" x14ac:dyDescent="0.25">
      <c r="A203" s="34"/>
      <c r="B203" s="34"/>
      <c r="C203" s="34"/>
      <c r="D203" s="35"/>
      <c r="E203" s="35"/>
      <c r="F203" s="35"/>
      <c r="G203" s="35"/>
      <c r="H203" s="35"/>
      <c r="I203" s="37"/>
      <c r="J203" s="37"/>
      <c r="K203" s="37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  <c r="AB203" s="35"/>
      <c r="AC203" s="35"/>
      <c r="AD203" s="35"/>
      <c r="AE203" s="35"/>
      <c r="AF203" s="35"/>
      <c r="AG203" s="35"/>
      <c r="AH203" s="35"/>
      <c r="AI203" s="35"/>
      <c r="AJ203" s="35"/>
      <c r="AK203" s="35"/>
      <c r="AL203" s="35"/>
      <c r="AM203" s="35"/>
      <c r="AN203" s="35"/>
      <c r="AO203" s="35"/>
      <c r="AP203" s="35"/>
      <c r="AQ203" s="35"/>
      <c r="AR203" s="35"/>
      <c r="AS203" s="35"/>
      <c r="AT203" s="35"/>
      <c r="AU203" s="35"/>
      <c r="AV203" s="35"/>
      <c r="AW203" s="35"/>
      <c r="AX203" s="35"/>
      <c r="AY203" s="35"/>
      <c r="AZ203" s="35"/>
      <c r="BA203" s="35"/>
      <c r="BB203" s="35"/>
    </row>
    <row r="204" spans="1:54" s="5" customFormat="1" x14ac:dyDescent="0.25">
      <c r="A204" s="32"/>
      <c r="B204" s="32"/>
      <c r="C204" s="32"/>
      <c r="D204" s="33"/>
      <c r="E204" s="33"/>
      <c r="F204" s="33"/>
      <c r="G204" s="33"/>
      <c r="H204" s="33"/>
      <c r="I204" s="33"/>
      <c r="J204" s="33"/>
      <c r="K204" s="33"/>
      <c r="L204" s="33"/>
      <c r="M204" s="33"/>
      <c r="N204" s="33"/>
      <c r="O204" s="33"/>
      <c r="P204" s="33"/>
      <c r="Q204" s="33"/>
      <c r="R204" s="33"/>
      <c r="S204" s="33"/>
      <c r="T204" s="33"/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F204" s="33"/>
      <c r="AG204" s="33"/>
      <c r="AH204" s="33"/>
      <c r="AI204" s="33"/>
      <c r="AJ204" s="33"/>
      <c r="AK204" s="33"/>
      <c r="AL204" s="33"/>
      <c r="AM204" s="33"/>
      <c r="AN204" s="33"/>
      <c r="AO204" s="33"/>
      <c r="AP204" s="33"/>
      <c r="AQ204" s="33"/>
      <c r="AR204" s="33"/>
      <c r="AS204" s="33"/>
      <c r="AT204" s="33"/>
      <c r="AU204" s="33"/>
      <c r="AV204" s="33"/>
      <c r="AW204" s="33"/>
      <c r="AX204" s="33"/>
      <c r="AY204" s="33"/>
      <c r="AZ204" s="33"/>
      <c r="BA204" s="33"/>
      <c r="BB204" s="33"/>
    </row>
    <row r="205" spans="1:54" x14ac:dyDescent="0.25">
      <c r="A205" s="34"/>
      <c r="B205" s="34"/>
      <c r="C205" s="34"/>
      <c r="D205" s="37"/>
      <c r="E205" s="37"/>
      <c r="F205" s="37"/>
      <c r="G205" s="37"/>
      <c r="H205" s="37"/>
      <c r="I205" s="37"/>
      <c r="J205" s="37"/>
      <c r="K205" s="37"/>
      <c r="L205" s="37"/>
      <c r="M205" s="37"/>
      <c r="N205" s="37"/>
      <c r="O205" s="37"/>
      <c r="P205" s="37"/>
      <c r="Q205" s="37"/>
      <c r="R205" s="37"/>
      <c r="S205" s="37"/>
      <c r="T205" s="37"/>
      <c r="U205" s="37"/>
      <c r="V205" s="37"/>
      <c r="W205" s="37"/>
      <c r="X205" s="37"/>
      <c r="Y205" s="37"/>
      <c r="Z205" s="37"/>
      <c r="AA205" s="37"/>
      <c r="AB205" s="37"/>
      <c r="AC205" s="37"/>
      <c r="AD205" s="37"/>
      <c r="AE205" s="37"/>
      <c r="AF205" s="37"/>
      <c r="AG205" s="37"/>
      <c r="AH205" s="37"/>
      <c r="AI205" s="37"/>
      <c r="AJ205" s="37"/>
      <c r="AK205" s="37"/>
      <c r="AL205" s="37"/>
      <c r="AM205" s="37"/>
      <c r="AN205" s="37"/>
      <c r="AO205" s="37"/>
      <c r="AP205" s="37"/>
      <c r="AQ205" s="37"/>
      <c r="AR205" s="37"/>
      <c r="AS205" s="37"/>
      <c r="AT205" s="37"/>
      <c r="AU205" s="37"/>
      <c r="AV205" s="37"/>
      <c r="AW205" s="37"/>
      <c r="AX205" s="37"/>
      <c r="AY205" s="37"/>
      <c r="AZ205" s="37"/>
      <c r="BA205" s="37"/>
      <c r="BB205" s="37"/>
    </row>
    <row r="206" spans="1:54" s="5" customFormat="1" x14ac:dyDescent="0.25">
      <c r="A206" s="34"/>
      <c r="B206" s="34"/>
      <c r="C206" s="34"/>
      <c r="D206" s="37"/>
      <c r="E206" s="37"/>
      <c r="F206" s="37"/>
      <c r="G206" s="37"/>
      <c r="H206" s="37"/>
      <c r="I206" s="37"/>
      <c r="J206" s="37"/>
      <c r="K206" s="37"/>
      <c r="L206" s="37"/>
      <c r="M206" s="37"/>
      <c r="N206" s="37"/>
      <c r="O206" s="37"/>
      <c r="P206" s="37"/>
      <c r="Q206" s="37"/>
      <c r="R206" s="37"/>
      <c r="S206" s="37"/>
      <c r="T206" s="37"/>
      <c r="U206" s="37"/>
      <c r="V206" s="37"/>
      <c r="W206" s="37"/>
      <c r="X206" s="37"/>
      <c r="Y206" s="37"/>
      <c r="Z206" s="37"/>
      <c r="AA206" s="37"/>
      <c r="AB206" s="37"/>
      <c r="AC206" s="37"/>
      <c r="AD206" s="37"/>
      <c r="AE206" s="37"/>
      <c r="AF206" s="37"/>
      <c r="AG206" s="37"/>
      <c r="AH206" s="37"/>
      <c r="AI206" s="37"/>
      <c r="AJ206" s="37"/>
      <c r="AK206" s="37"/>
      <c r="AL206" s="37"/>
      <c r="AM206" s="37"/>
      <c r="AN206" s="37"/>
      <c r="AO206" s="37"/>
      <c r="AP206" s="37"/>
      <c r="AQ206" s="37"/>
      <c r="AR206" s="37"/>
      <c r="AS206" s="37"/>
      <c r="AT206" s="37"/>
      <c r="AU206" s="37"/>
      <c r="AV206" s="37"/>
      <c r="AW206" s="37"/>
      <c r="AX206" s="37"/>
      <c r="AY206" s="37"/>
      <c r="AZ206" s="37"/>
      <c r="BA206" s="37"/>
      <c r="BB206" s="37"/>
    </row>
    <row r="207" spans="1:54" x14ac:dyDescent="0.25">
      <c r="A207" s="34"/>
      <c r="B207" s="32"/>
      <c r="C207" s="32"/>
      <c r="D207" s="33"/>
      <c r="E207" s="33"/>
      <c r="F207" s="33"/>
      <c r="G207" s="33"/>
      <c r="H207" s="33"/>
      <c r="I207" s="33"/>
      <c r="J207" s="33"/>
      <c r="K207" s="33"/>
      <c r="L207" s="33"/>
      <c r="M207" s="33"/>
      <c r="N207" s="33"/>
      <c r="O207" s="33"/>
      <c r="P207" s="33"/>
      <c r="Q207" s="33"/>
      <c r="R207" s="33"/>
      <c r="S207" s="33"/>
      <c r="T207" s="33"/>
      <c r="U207" s="33"/>
      <c r="V207" s="33"/>
      <c r="W207" s="33"/>
      <c r="X207" s="33"/>
      <c r="Y207" s="33"/>
      <c r="Z207" s="33"/>
      <c r="AA207" s="33"/>
      <c r="AB207" s="36"/>
      <c r="AC207" s="36"/>
      <c r="AD207" s="36"/>
      <c r="AE207" s="33"/>
      <c r="AF207" s="33"/>
      <c r="AG207" s="33"/>
      <c r="AH207" s="33"/>
      <c r="AI207" s="33"/>
      <c r="AJ207" s="33"/>
      <c r="AK207" s="36"/>
      <c r="AL207" s="33"/>
      <c r="AM207" s="33"/>
      <c r="AN207" s="33"/>
      <c r="AO207" s="36"/>
      <c r="AP207" s="36"/>
      <c r="AQ207" s="33"/>
      <c r="AR207" s="33"/>
      <c r="AS207" s="33"/>
      <c r="AT207" s="33"/>
      <c r="AU207" s="33"/>
      <c r="AV207" s="36"/>
      <c r="AW207" s="33"/>
      <c r="AX207" s="33"/>
      <c r="AY207" s="33"/>
      <c r="AZ207" s="36"/>
      <c r="BA207" s="36"/>
      <c r="BB207" s="36"/>
    </row>
    <row r="208" spans="1:54" s="5" customFormat="1" x14ac:dyDescent="0.25">
      <c r="A208" s="34"/>
      <c r="B208" s="34"/>
      <c r="C208" s="34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  <c r="AB208" s="35"/>
      <c r="AC208" s="35"/>
      <c r="AD208" s="35"/>
      <c r="AE208" s="35"/>
      <c r="AF208" s="35"/>
      <c r="AG208" s="35"/>
      <c r="AH208" s="35"/>
      <c r="AI208" s="35"/>
      <c r="AJ208" s="35"/>
      <c r="AK208" s="35"/>
      <c r="AL208" s="35"/>
      <c r="AM208" s="35"/>
      <c r="AN208" s="35"/>
      <c r="AO208" s="35"/>
      <c r="AP208" s="35"/>
      <c r="AQ208" s="35"/>
      <c r="AR208" s="37"/>
      <c r="AS208" s="37"/>
      <c r="AT208" s="37"/>
      <c r="AU208" s="35"/>
      <c r="AV208" s="35"/>
      <c r="AW208" s="37"/>
      <c r="AX208" s="37"/>
      <c r="AY208" s="37"/>
      <c r="AZ208" s="35"/>
      <c r="BA208" s="35"/>
      <c r="BB208" s="35"/>
    </row>
    <row r="209" spans="1:54" x14ac:dyDescent="0.25">
      <c r="A209" s="34"/>
      <c r="B209" s="32"/>
      <c r="C209" s="32"/>
      <c r="D209" s="36"/>
      <c r="E209" s="36"/>
      <c r="F209" s="36"/>
      <c r="G209" s="36"/>
      <c r="H209" s="36"/>
      <c r="I209" s="36"/>
      <c r="J209" s="36"/>
      <c r="K209" s="36"/>
      <c r="L209" s="36"/>
      <c r="M209" s="36"/>
      <c r="N209" s="36"/>
      <c r="O209" s="36"/>
      <c r="P209" s="36"/>
      <c r="Q209" s="36"/>
      <c r="R209" s="36"/>
      <c r="S209" s="36"/>
      <c r="T209" s="36"/>
      <c r="U209" s="36"/>
      <c r="V209" s="36"/>
      <c r="W209" s="36"/>
      <c r="X209" s="36"/>
      <c r="Y209" s="36"/>
      <c r="Z209" s="36"/>
      <c r="AA209" s="36"/>
      <c r="AB209" s="36"/>
      <c r="AC209" s="36"/>
      <c r="AD209" s="36"/>
      <c r="AE209" s="36"/>
      <c r="AF209" s="36"/>
      <c r="AG209" s="36"/>
      <c r="AH209" s="36"/>
      <c r="AI209" s="36"/>
      <c r="AJ209" s="36"/>
      <c r="AK209" s="36"/>
      <c r="AL209" s="36"/>
      <c r="AM209" s="36"/>
      <c r="AN209" s="36"/>
      <c r="AO209" s="36"/>
      <c r="AP209" s="36"/>
      <c r="AQ209" s="36"/>
      <c r="AR209" s="36"/>
      <c r="AS209" s="36"/>
      <c r="AT209" s="36"/>
      <c r="AU209" s="36"/>
      <c r="AV209" s="36"/>
      <c r="AW209" s="36"/>
      <c r="AX209" s="36"/>
      <c r="AY209" s="36"/>
      <c r="AZ209" s="36"/>
      <c r="BA209" s="36"/>
      <c r="BB209" s="36"/>
    </row>
    <row r="210" spans="1:54" x14ac:dyDescent="0.25">
      <c r="A210" s="34"/>
      <c r="B210" s="34"/>
      <c r="C210" s="34"/>
      <c r="D210" s="37"/>
      <c r="E210" s="37"/>
      <c r="F210" s="37"/>
      <c r="G210" s="37"/>
      <c r="H210" s="37"/>
      <c r="I210" s="37"/>
      <c r="J210" s="37"/>
      <c r="K210" s="37"/>
      <c r="L210" s="37"/>
      <c r="M210" s="37"/>
      <c r="N210" s="37"/>
      <c r="O210" s="37"/>
      <c r="P210" s="37"/>
      <c r="Q210" s="37"/>
      <c r="R210" s="37"/>
      <c r="S210" s="37"/>
      <c r="T210" s="37"/>
      <c r="U210" s="37"/>
      <c r="V210" s="37"/>
      <c r="W210" s="37"/>
      <c r="X210" s="37"/>
      <c r="Y210" s="37"/>
      <c r="Z210" s="37"/>
      <c r="AA210" s="37"/>
      <c r="AB210" s="37"/>
      <c r="AC210" s="37"/>
      <c r="AD210" s="37"/>
      <c r="AE210" s="37"/>
      <c r="AF210" s="37"/>
      <c r="AG210" s="37"/>
      <c r="AH210" s="37"/>
      <c r="AI210" s="37"/>
      <c r="AJ210" s="37"/>
      <c r="AK210" s="37"/>
      <c r="AL210" s="37"/>
      <c r="AM210" s="37"/>
      <c r="AN210" s="37"/>
      <c r="AO210" s="37"/>
      <c r="AP210" s="37"/>
      <c r="AQ210" s="37"/>
      <c r="AR210" s="37"/>
      <c r="AS210" s="37"/>
      <c r="AT210" s="37"/>
      <c r="AU210" s="37"/>
      <c r="AV210" s="37"/>
      <c r="AW210" s="37"/>
      <c r="AX210" s="37"/>
      <c r="AY210" s="37"/>
      <c r="AZ210" s="37"/>
      <c r="BA210" s="37"/>
      <c r="BB210" s="37"/>
    </row>
    <row r="211" spans="1:54" s="5" customFormat="1" x14ac:dyDescent="0.25">
      <c r="A211" s="32"/>
      <c r="B211" s="32"/>
      <c r="C211" s="32"/>
      <c r="D211" s="36"/>
      <c r="E211" s="36"/>
      <c r="F211" s="36"/>
      <c r="G211" s="36"/>
      <c r="H211" s="36"/>
      <c r="I211" s="36"/>
      <c r="J211" s="36"/>
      <c r="K211" s="36"/>
      <c r="L211" s="36"/>
      <c r="M211" s="36"/>
      <c r="N211" s="36"/>
      <c r="O211" s="36"/>
      <c r="P211" s="33"/>
      <c r="Q211" s="36"/>
      <c r="R211" s="36"/>
      <c r="S211" s="36"/>
      <c r="T211" s="36"/>
      <c r="U211" s="33"/>
      <c r="V211" s="33"/>
      <c r="W211" s="33"/>
      <c r="X211" s="33"/>
      <c r="Y211" s="36"/>
      <c r="Z211" s="36"/>
      <c r="AA211" s="36"/>
      <c r="AB211" s="33"/>
      <c r="AC211" s="33"/>
      <c r="AD211" s="33"/>
      <c r="AE211" s="33"/>
      <c r="AF211" s="36"/>
      <c r="AG211" s="33"/>
      <c r="AH211" s="33"/>
      <c r="AI211" s="33"/>
      <c r="AJ211" s="36"/>
      <c r="AK211" s="33"/>
      <c r="AL211" s="33"/>
      <c r="AM211" s="33"/>
      <c r="AN211" s="36"/>
      <c r="AO211" s="36"/>
      <c r="AP211" s="36"/>
      <c r="AQ211" s="36"/>
      <c r="AR211" s="33"/>
      <c r="AS211" s="33"/>
      <c r="AT211" s="33"/>
      <c r="AU211" s="33"/>
      <c r="AV211" s="33"/>
      <c r="AW211" s="33"/>
      <c r="AX211" s="36"/>
      <c r="AY211" s="36"/>
      <c r="AZ211" s="33"/>
      <c r="BA211" s="33"/>
      <c r="BB211" s="33"/>
    </row>
    <row r="212" spans="1:54" x14ac:dyDescent="0.25">
      <c r="A212" s="34"/>
      <c r="B212" s="34"/>
      <c r="C212" s="34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  <c r="Y212" s="35"/>
      <c r="Z212" s="35"/>
      <c r="AA212" s="35"/>
      <c r="AB212" s="35"/>
      <c r="AC212" s="35"/>
      <c r="AD212" s="35"/>
      <c r="AE212" s="35"/>
      <c r="AF212" s="35"/>
      <c r="AG212" s="35"/>
      <c r="AH212" s="35"/>
      <c r="AI212" s="35"/>
      <c r="AJ212" s="35"/>
      <c r="AK212" s="35"/>
      <c r="AL212" s="35"/>
      <c r="AM212" s="37"/>
      <c r="AN212" s="37"/>
      <c r="AO212" s="35"/>
      <c r="AP212" s="35"/>
      <c r="AQ212" s="35"/>
      <c r="AR212" s="37"/>
      <c r="AS212" s="37"/>
      <c r="AT212" s="37"/>
      <c r="AU212" s="37"/>
      <c r="AV212" s="37"/>
      <c r="AW212" s="35"/>
      <c r="AX212" s="35"/>
      <c r="AY212" s="35"/>
      <c r="AZ212" s="35"/>
      <c r="BA212" s="35"/>
      <c r="BB212" s="35"/>
    </row>
    <row r="213" spans="1:54" s="5" customFormat="1" x14ac:dyDescent="0.25">
      <c r="A213" s="32"/>
      <c r="B213" s="32"/>
      <c r="C213" s="32"/>
      <c r="D213" s="36"/>
      <c r="E213" s="36"/>
      <c r="F213" s="36"/>
      <c r="G213" s="36"/>
      <c r="H213" s="36"/>
      <c r="I213" s="36"/>
      <c r="J213" s="36"/>
      <c r="K213" s="36"/>
      <c r="L213" s="36"/>
      <c r="M213" s="36"/>
      <c r="N213" s="36"/>
      <c r="O213" s="36"/>
      <c r="P213" s="36"/>
      <c r="Q213" s="36"/>
      <c r="R213" s="36"/>
      <c r="S213" s="36"/>
      <c r="T213" s="36"/>
      <c r="U213" s="36"/>
      <c r="V213" s="36"/>
      <c r="W213" s="36"/>
      <c r="X213" s="36"/>
      <c r="Y213" s="36"/>
      <c r="Z213" s="36"/>
      <c r="AA213" s="36"/>
      <c r="AB213" s="36"/>
      <c r="AC213" s="36"/>
      <c r="AD213" s="36"/>
      <c r="AE213" s="36"/>
      <c r="AF213" s="36"/>
      <c r="AG213" s="36"/>
      <c r="AH213" s="36"/>
      <c r="AI213" s="36"/>
      <c r="AJ213" s="36"/>
      <c r="AK213" s="36"/>
      <c r="AL213" s="36"/>
      <c r="AM213" s="36"/>
      <c r="AN213" s="36"/>
      <c r="AO213" s="36"/>
      <c r="AP213" s="36"/>
      <c r="AQ213" s="36"/>
      <c r="AR213" s="36"/>
      <c r="AS213" s="36"/>
      <c r="AT213" s="36"/>
      <c r="AU213" s="36"/>
      <c r="AV213" s="36"/>
      <c r="AW213" s="36"/>
      <c r="AX213" s="36"/>
      <c r="AY213" s="36"/>
      <c r="AZ213" s="36"/>
      <c r="BA213" s="36"/>
      <c r="BB213" s="36"/>
    </row>
    <row r="214" spans="1:54" x14ac:dyDescent="0.25">
      <c r="A214" s="34"/>
      <c r="B214" s="34"/>
      <c r="C214" s="34"/>
      <c r="D214" s="37"/>
      <c r="E214" s="37"/>
      <c r="F214" s="37"/>
      <c r="G214" s="37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  <c r="S214" s="37"/>
      <c r="T214" s="37"/>
      <c r="U214" s="37"/>
      <c r="V214" s="37"/>
      <c r="W214" s="37"/>
      <c r="X214" s="37"/>
      <c r="Y214" s="37"/>
      <c r="Z214" s="37"/>
      <c r="AA214" s="37"/>
      <c r="AB214" s="37"/>
      <c r="AC214" s="37"/>
      <c r="AD214" s="37"/>
      <c r="AE214" s="37"/>
      <c r="AF214" s="37"/>
      <c r="AG214" s="37"/>
      <c r="AH214" s="37"/>
      <c r="AI214" s="37"/>
      <c r="AJ214" s="37"/>
      <c r="AK214" s="37"/>
      <c r="AL214" s="37"/>
      <c r="AM214" s="37"/>
      <c r="AN214" s="37"/>
      <c r="AO214" s="37"/>
      <c r="AP214" s="37"/>
      <c r="AQ214" s="37"/>
      <c r="AR214" s="37"/>
      <c r="AS214" s="37"/>
      <c r="AT214" s="37"/>
      <c r="AU214" s="37"/>
      <c r="AV214" s="37"/>
      <c r="AW214" s="37"/>
      <c r="AX214" s="37"/>
      <c r="AY214" s="37"/>
      <c r="AZ214" s="37"/>
      <c r="BA214" s="37"/>
      <c r="BB214" s="37"/>
    </row>
    <row r="215" spans="1:54" s="5" customFormat="1" x14ac:dyDescent="0.25">
      <c r="A215" s="32"/>
      <c r="B215" s="32"/>
      <c r="C215" s="32"/>
      <c r="D215" s="33"/>
      <c r="E215" s="33"/>
      <c r="F215" s="33"/>
      <c r="G215" s="33"/>
      <c r="H215" s="33"/>
      <c r="I215" s="33"/>
      <c r="J215" s="33"/>
      <c r="K215" s="33"/>
      <c r="L215" s="33"/>
      <c r="M215" s="33"/>
      <c r="N215" s="33"/>
      <c r="O215" s="33"/>
      <c r="P215" s="33"/>
      <c r="Q215" s="33"/>
      <c r="R215" s="33"/>
      <c r="S215" s="33"/>
      <c r="T215" s="33"/>
      <c r="U215" s="33"/>
      <c r="V215" s="33"/>
      <c r="W215" s="33"/>
      <c r="X215" s="33"/>
      <c r="Y215" s="33"/>
      <c r="Z215" s="33"/>
      <c r="AA215" s="33"/>
      <c r="AB215" s="33"/>
      <c r="AC215" s="33"/>
      <c r="AD215" s="33"/>
      <c r="AE215" s="33"/>
      <c r="AF215" s="33"/>
      <c r="AG215" s="33"/>
      <c r="AH215" s="33"/>
      <c r="AI215" s="33"/>
      <c r="AJ215" s="33"/>
      <c r="AK215" s="36"/>
      <c r="AL215" s="36"/>
      <c r="AM215" s="33"/>
      <c r="AN215" s="33"/>
      <c r="AO215" s="33"/>
      <c r="AP215" s="33"/>
      <c r="AQ215" s="36"/>
      <c r="AR215" s="36"/>
      <c r="AS215" s="36"/>
      <c r="AT215" s="36"/>
      <c r="AU215" s="36"/>
      <c r="AV215" s="33"/>
      <c r="AW215" s="36"/>
      <c r="AX215" s="36"/>
      <c r="AY215" s="33"/>
      <c r="AZ215" s="33"/>
      <c r="BA215" s="36"/>
      <c r="BB215" s="36"/>
    </row>
    <row r="216" spans="1:54" x14ac:dyDescent="0.25">
      <c r="A216" s="34"/>
      <c r="B216" s="34"/>
      <c r="C216" s="34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R216" s="35"/>
      <c r="S216" s="35"/>
      <c r="T216" s="35"/>
      <c r="U216" s="35"/>
      <c r="V216" s="35"/>
      <c r="W216" s="35"/>
      <c r="X216" s="35"/>
      <c r="Y216" s="35"/>
      <c r="Z216" s="35"/>
      <c r="AA216" s="35"/>
      <c r="AB216" s="35"/>
      <c r="AC216" s="35"/>
      <c r="AD216" s="35"/>
      <c r="AE216" s="35"/>
      <c r="AF216" s="35"/>
      <c r="AG216" s="35"/>
      <c r="AH216" s="35"/>
      <c r="AI216" s="35"/>
      <c r="AJ216" s="35"/>
      <c r="AK216" s="35"/>
      <c r="AL216" s="35"/>
      <c r="AM216" s="35"/>
      <c r="AN216" s="35"/>
      <c r="AO216" s="35"/>
      <c r="AP216" s="35"/>
      <c r="AQ216" s="35"/>
      <c r="AR216" s="35"/>
      <c r="AS216" s="35"/>
      <c r="AT216" s="35"/>
      <c r="AU216" s="35"/>
      <c r="AV216" s="35"/>
      <c r="AW216" s="35"/>
      <c r="AX216" s="35"/>
      <c r="AY216" s="35"/>
      <c r="AZ216" s="35"/>
      <c r="BA216" s="35"/>
      <c r="BB216" s="35"/>
    </row>
    <row r="217" spans="1:54" s="5" customFormat="1" x14ac:dyDescent="0.25">
      <c r="A217" s="32"/>
      <c r="B217" s="32"/>
      <c r="C217" s="32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6"/>
      <c r="V217" s="36"/>
      <c r="W217" s="36"/>
      <c r="X217" s="36"/>
      <c r="Y217" s="36"/>
      <c r="Z217" s="36"/>
      <c r="AA217" s="36"/>
      <c r="AB217" s="36"/>
      <c r="AC217" s="36"/>
      <c r="AD217" s="36"/>
      <c r="AE217" s="36"/>
      <c r="AF217" s="36"/>
      <c r="AG217" s="36"/>
      <c r="AH217" s="36"/>
      <c r="AI217" s="36"/>
      <c r="AJ217" s="36"/>
      <c r="AK217" s="36"/>
      <c r="AL217" s="36"/>
      <c r="AM217" s="36"/>
      <c r="AN217" s="36"/>
      <c r="AO217" s="36"/>
      <c r="AP217" s="36"/>
      <c r="AQ217" s="36"/>
      <c r="AR217" s="36"/>
      <c r="AS217" s="36"/>
      <c r="AT217" s="36"/>
      <c r="AU217" s="36"/>
      <c r="AV217" s="36"/>
      <c r="AW217" s="36"/>
      <c r="AX217" s="36"/>
      <c r="AY217" s="36"/>
      <c r="AZ217" s="36"/>
      <c r="BA217" s="36"/>
      <c r="BB217" s="36"/>
    </row>
    <row r="218" spans="1:54" x14ac:dyDescent="0.25">
      <c r="A218" s="34"/>
      <c r="B218" s="34"/>
      <c r="C218" s="34"/>
      <c r="D218" s="35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R218" s="35"/>
      <c r="S218" s="35"/>
      <c r="T218" s="35"/>
      <c r="U218" s="35"/>
      <c r="V218" s="35"/>
      <c r="W218" s="35"/>
      <c r="X218" s="35"/>
      <c r="Y218" s="35"/>
      <c r="Z218" s="35"/>
      <c r="AA218" s="35"/>
      <c r="AB218" s="35"/>
      <c r="AC218" s="35"/>
      <c r="AD218" s="35"/>
      <c r="AE218" s="35"/>
      <c r="AF218" s="35"/>
      <c r="AG218" s="35"/>
      <c r="AH218" s="35"/>
      <c r="AI218" s="35"/>
      <c r="AJ218" s="35"/>
      <c r="AK218" s="35"/>
      <c r="AL218" s="35"/>
      <c r="AM218" s="35"/>
      <c r="AN218" s="35"/>
      <c r="AO218" s="35"/>
      <c r="AP218" s="35"/>
      <c r="AQ218" s="35"/>
      <c r="AR218" s="35"/>
      <c r="AS218" s="35"/>
      <c r="AT218" s="35"/>
      <c r="AU218" s="35"/>
      <c r="AV218" s="35"/>
      <c r="AW218" s="35"/>
      <c r="AX218" s="35"/>
      <c r="AY218" s="35"/>
      <c r="AZ218" s="35"/>
      <c r="BA218" s="35"/>
      <c r="BB218" s="35"/>
    </row>
    <row r="219" spans="1:54" s="5" customFormat="1" x14ac:dyDescent="0.25">
      <c r="A219" s="32"/>
      <c r="B219" s="32"/>
      <c r="C219" s="32"/>
      <c r="D219" s="33"/>
      <c r="E219" s="33"/>
      <c r="F219" s="33"/>
      <c r="G219" s="33"/>
      <c r="H219" s="33"/>
      <c r="I219" s="33"/>
      <c r="J219" s="33"/>
      <c r="K219" s="33"/>
      <c r="L219" s="33"/>
      <c r="M219" s="33"/>
      <c r="N219" s="33"/>
      <c r="O219" s="33"/>
      <c r="P219" s="33"/>
      <c r="Q219" s="33"/>
      <c r="R219" s="33"/>
      <c r="S219" s="33"/>
      <c r="T219" s="33"/>
      <c r="U219" s="33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F219" s="36"/>
      <c r="AG219" s="36"/>
      <c r="AH219" s="36"/>
      <c r="AI219" s="36"/>
      <c r="AJ219" s="36"/>
      <c r="AK219" s="36"/>
      <c r="AL219" s="36"/>
      <c r="AM219" s="36"/>
      <c r="AN219" s="36"/>
      <c r="AO219" s="36"/>
      <c r="AP219" s="36"/>
      <c r="AQ219" s="36"/>
      <c r="AR219" s="36"/>
      <c r="AS219" s="36"/>
      <c r="AT219" s="36"/>
      <c r="AU219" s="36"/>
      <c r="AV219" s="36"/>
      <c r="AW219" s="36"/>
      <c r="AX219" s="36"/>
      <c r="AY219" s="36"/>
      <c r="AZ219" s="36"/>
      <c r="BA219" s="36"/>
      <c r="BB219" s="36"/>
    </row>
    <row r="220" spans="1:54" x14ac:dyDescent="0.25">
      <c r="A220" s="34"/>
      <c r="B220" s="34"/>
      <c r="C220" s="34"/>
      <c r="D220" s="35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R220" s="35"/>
      <c r="S220" s="35"/>
      <c r="T220" s="35"/>
      <c r="U220" s="35"/>
      <c r="V220" s="35"/>
      <c r="W220" s="35"/>
      <c r="X220" s="35"/>
      <c r="Y220" s="35"/>
      <c r="Z220" s="35"/>
      <c r="AA220" s="35"/>
      <c r="AB220" s="35"/>
      <c r="AC220" s="35"/>
      <c r="AD220" s="35"/>
      <c r="AE220" s="35"/>
      <c r="AF220" s="35"/>
      <c r="AG220" s="35"/>
      <c r="AH220" s="35"/>
      <c r="AI220" s="35"/>
      <c r="AJ220" s="35"/>
      <c r="AK220" s="35"/>
      <c r="AL220" s="35"/>
      <c r="AM220" s="35"/>
      <c r="AN220" s="35"/>
      <c r="AO220" s="35"/>
      <c r="AP220" s="35"/>
      <c r="AQ220" s="35"/>
      <c r="AR220" s="35"/>
      <c r="AS220" s="35"/>
      <c r="AT220" s="35"/>
      <c r="AU220" s="35"/>
      <c r="AV220" s="35"/>
      <c r="AW220" s="35"/>
      <c r="AX220" s="35"/>
      <c r="AY220" s="35"/>
      <c r="AZ220" s="35"/>
      <c r="BA220" s="35"/>
      <c r="BB220" s="35"/>
    </row>
    <row r="221" spans="1:54" s="5" customFormat="1" x14ac:dyDescent="0.25">
      <c r="A221" s="32"/>
      <c r="B221" s="32"/>
      <c r="C221" s="32"/>
      <c r="D221" s="33"/>
      <c r="E221" s="33"/>
      <c r="F221" s="33"/>
      <c r="G221" s="33"/>
      <c r="H221" s="33"/>
      <c r="I221" s="33"/>
      <c r="J221" s="33"/>
      <c r="K221" s="33"/>
      <c r="L221" s="33"/>
      <c r="M221" s="33"/>
      <c r="N221" s="33"/>
      <c r="O221" s="33"/>
      <c r="P221" s="33"/>
      <c r="Q221" s="33"/>
      <c r="R221" s="33"/>
      <c r="S221" s="33"/>
      <c r="T221" s="33"/>
      <c r="U221" s="33"/>
      <c r="V221" s="33"/>
      <c r="W221" s="33"/>
      <c r="X221" s="33"/>
      <c r="Y221" s="33"/>
      <c r="Z221" s="33"/>
      <c r="AA221" s="33"/>
      <c r="AB221" s="33"/>
      <c r="AC221" s="33"/>
      <c r="AD221" s="33"/>
      <c r="AE221" s="33"/>
      <c r="AF221" s="36"/>
      <c r="AG221" s="36"/>
      <c r="AH221" s="36"/>
      <c r="AI221" s="36"/>
      <c r="AJ221" s="36"/>
      <c r="AK221" s="36"/>
      <c r="AL221" s="36"/>
      <c r="AM221" s="36"/>
      <c r="AN221" s="36"/>
      <c r="AO221" s="36"/>
      <c r="AP221" s="36"/>
      <c r="AQ221" s="36"/>
      <c r="AR221" s="36"/>
      <c r="AS221" s="36"/>
      <c r="AT221" s="36"/>
      <c r="AU221" s="36"/>
      <c r="AV221" s="36"/>
      <c r="AW221" s="36"/>
      <c r="AX221" s="36"/>
      <c r="AY221" s="36"/>
      <c r="AZ221" s="36"/>
      <c r="BA221" s="36"/>
      <c r="BB221" s="36"/>
    </row>
    <row r="222" spans="1:54" x14ac:dyDescent="0.25">
      <c r="A222" s="34"/>
      <c r="B222" s="34"/>
      <c r="C222" s="34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R222" s="35"/>
      <c r="S222" s="35"/>
      <c r="T222" s="35"/>
      <c r="U222" s="35"/>
      <c r="V222" s="35"/>
      <c r="W222" s="35"/>
      <c r="X222" s="35"/>
      <c r="Y222" s="35"/>
      <c r="Z222" s="35"/>
      <c r="AA222" s="35"/>
      <c r="AB222" s="35"/>
      <c r="AC222" s="35"/>
      <c r="AD222" s="35"/>
      <c r="AE222" s="37"/>
      <c r="AF222" s="37"/>
      <c r="AG222" s="37"/>
      <c r="AH222" s="37"/>
      <c r="AI222" s="37"/>
      <c r="AJ222" s="37"/>
      <c r="AK222" s="37"/>
      <c r="AL222" s="37"/>
      <c r="AM222" s="37"/>
      <c r="AN222" s="37"/>
      <c r="AO222" s="37"/>
      <c r="AP222" s="37"/>
      <c r="AQ222" s="37"/>
      <c r="AR222" s="37"/>
      <c r="AS222" s="35"/>
      <c r="AT222" s="35"/>
      <c r="AU222" s="35"/>
      <c r="AV222" s="35"/>
      <c r="AW222" s="35"/>
      <c r="AX222" s="35"/>
      <c r="AY222" s="35"/>
      <c r="AZ222" s="35"/>
      <c r="BA222" s="35"/>
      <c r="BB222" s="35"/>
    </row>
    <row r="223" spans="1:54" s="5" customFormat="1" x14ac:dyDescent="0.25">
      <c r="A223" s="32"/>
      <c r="B223" s="32"/>
      <c r="C223" s="32"/>
      <c r="D223" s="33"/>
      <c r="E223" s="33"/>
      <c r="F223" s="33"/>
      <c r="G223" s="33"/>
      <c r="H223" s="33"/>
      <c r="I223" s="33"/>
      <c r="J223" s="33"/>
      <c r="K223" s="33"/>
      <c r="L223" s="33"/>
      <c r="M223" s="33"/>
      <c r="N223" s="33"/>
      <c r="O223" s="33"/>
      <c r="P223" s="33"/>
      <c r="Q223" s="33"/>
      <c r="R223" s="33"/>
      <c r="S223" s="33"/>
      <c r="T223" s="33"/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F223" s="33"/>
      <c r="AG223" s="33"/>
      <c r="AH223" s="33"/>
      <c r="AI223" s="33"/>
      <c r="AJ223" s="33"/>
      <c r="AK223" s="33"/>
      <c r="AL223" s="33"/>
      <c r="AM223" s="33"/>
      <c r="AN223" s="33"/>
      <c r="AO223" s="33"/>
      <c r="AP223" s="36"/>
      <c r="AQ223" s="36"/>
      <c r="AR223" s="36"/>
      <c r="AS223" s="36"/>
      <c r="AT223" s="36"/>
      <c r="AU223" s="36"/>
      <c r="AV223" s="36"/>
      <c r="AW223" s="36"/>
      <c r="AX223" s="36"/>
      <c r="AY223" s="36"/>
      <c r="AZ223" s="36"/>
      <c r="BA223" s="36"/>
      <c r="BB223" s="36"/>
    </row>
    <row r="224" spans="1:54" x14ac:dyDescent="0.25">
      <c r="A224" s="34"/>
      <c r="B224" s="34"/>
      <c r="C224" s="34"/>
      <c r="D224" s="35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R224" s="35"/>
      <c r="S224" s="35"/>
      <c r="T224" s="35"/>
      <c r="U224" s="35"/>
      <c r="V224" s="35"/>
      <c r="W224" s="35"/>
      <c r="X224" s="35"/>
      <c r="Y224" s="35"/>
      <c r="Z224" s="35"/>
      <c r="AA224" s="35"/>
      <c r="AB224" s="35"/>
      <c r="AC224" s="35"/>
      <c r="AD224" s="35"/>
      <c r="AE224" s="35"/>
      <c r="AF224" s="35"/>
      <c r="AG224" s="35"/>
      <c r="AH224" s="35"/>
      <c r="AI224" s="35"/>
      <c r="AJ224" s="35"/>
      <c r="AK224" s="35"/>
      <c r="AL224" s="35"/>
      <c r="AM224" s="35"/>
      <c r="AN224" s="35"/>
      <c r="AO224" s="35"/>
      <c r="AP224" s="35"/>
      <c r="AQ224" s="35"/>
      <c r="AR224" s="35"/>
      <c r="AS224" s="35"/>
      <c r="AT224" s="35"/>
      <c r="AU224" s="35"/>
      <c r="AV224" s="35"/>
      <c r="AW224" s="35"/>
      <c r="AX224" s="35"/>
      <c r="AY224" s="35"/>
      <c r="AZ224" s="35"/>
      <c r="BA224" s="35"/>
      <c r="BB224" s="35"/>
    </row>
    <row r="225" spans="1:54" s="5" customFormat="1" x14ac:dyDescent="0.25">
      <c r="A225" s="32"/>
      <c r="B225" s="32"/>
      <c r="C225" s="32"/>
      <c r="D225" s="33"/>
      <c r="E225" s="33"/>
      <c r="F225" s="33"/>
      <c r="G225" s="33"/>
      <c r="H225" s="33"/>
      <c r="I225" s="33"/>
      <c r="J225" s="33"/>
      <c r="K225" s="33"/>
      <c r="L225" s="33"/>
      <c r="M225" s="33"/>
      <c r="N225" s="33"/>
      <c r="O225" s="33"/>
      <c r="P225" s="33"/>
      <c r="Q225" s="33"/>
      <c r="R225" s="33"/>
      <c r="S225" s="33"/>
      <c r="T225" s="33"/>
      <c r="U225" s="33"/>
      <c r="V225" s="33"/>
      <c r="W225" s="33"/>
      <c r="X225" s="36"/>
      <c r="Y225" s="33"/>
      <c r="Z225" s="36"/>
      <c r="AA225" s="36"/>
      <c r="AB225" s="36"/>
      <c r="AC225" s="36"/>
      <c r="AD225" s="36"/>
      <c r="AE225" s="36"/>
      <c r="AF225" s="36"/>
      <c r="AG225" s="36"/>
      <c r="AH225" s="36"/>
      <c r="AI225" s="36"/>
      <c r="AJ225" s="36"/>
      <c r="AK225" s="36"/>
      <c r="AL225" s="36"/>
      <c r="AM225" s="36"/>
      <c r="AN225" s="36"/>
      <c r="AO225" s="36"/>
      <c r="AP225" s="36"/>
      <c r="AQ225" s="36"/>
      <c r="AR225" s="36"/>
      <c r="AS225" s="36"/>
      <c r="AT225" s="36"/>
      <c r="AU225" s="36"/>
      <c r="AV225" s="36"/>
      <c r="AW225" s="36"/>
      <c r="AX225" s="36"/>
      <c r="AY225" s="36"/>
      <c r="AZ225" s="36"/>
      <c r="BA225" s="36"/>
      <c r="BB225" s="36"/>
    </row>
    <row r="226" spans="1:54" x14ac:dyDescent="0.25">
      <c r="A226" s="34"/>
      <c r="B226" s="34"/>
      <c r="C226" s="34"/>
      <c r="D226" s="37"/>
      <c r="E226" s="37"/>
      <c r="F226" s="37"/>
      <c r="G226" s="37"/>
      <c r="H226" s="37"/>
      <c r="I226" s="37"/>
      <c r="J226" s="37"/>
      <c r="K226" s="37"/>
      <c r="L226" s="37"/>
      <c r="M226" s="37"/>
      <c r="N226" s="37"/>
      <c r="O226" s="37"/>
      <c r="P226" s="37"/>
      <c r="Q226" s="37"/>
      <c r="R226" s="37"/>
      <c r="S226" s="37"/>
      <c r="T226" s="37"/>
      <c r="U226" s="37"/>
      <c r="V226" s="37"/>
      <c r="W226" s="37"/>
      <c r="X226" s="37"/>
      <c r="Y226" s="37"/>
      <c r="Z226" s="37"/>
      <c r="AA226" s="37"/>
      <c r="AB226" s="37"/>
      <c r="AC226" s="37"/>
      <c r="AD226" s="37"/>
      <c r="AE226" s="37"/>
      <c r="AF226" s="37"/>
      <c r="AG226" s="37"/>
      <c r="AH226" s="37"/>
      <c r="AI226" s="37"/>
      <c r="AJ226" s="37"/>
      <c r="AK226" s="37"/>
      <c r="AL226" s="37"/>
      <c r="AM226" s="37"/>
      <c r="AN226" s="37"/>
      <c r="AO226" s="37"/>
      <c r="AP226" s="37"/>
      <c r="AQ226" s="37"/>
      <c r="AR226" s="37"/>
      <c r="AS226" s="37"/>
      <c r="AT226" s="37"/>
      <c r="AU226" s="37"/>
      <c r="AV226" s="37"/>
      <c r="AW226" s="37"/>
      <c r="AX226" s="37"/>
      <c r="AY226" s="37"/>
      <c r="AZ226" s="37"/>
      <c r="BA226" s="37"/>
      <c r="BB226" s="37"/>
    </row>
    <row r="227" spans="1:54" s="5" customFormat="1" x14ac:dyDescent="0.25">
      <c r="A227" s="32"/>
      <c r="B227" s="32"/>
      <c r="C227" s="32"/>
      <c r="D227" s="36"/>
      <c r="E227" s="36"/>
      <c r="F227" s="36"/>
      <c r="G227" s="36"/>
      <c r="H227" s="33"/>
      <c r="I227" s="33"/>
      <c r="J227" s="33"/>
      <c r="K227" s="33"/>
      <c r="L227" s="33"/>
      <c r="M227" s="33"/>
      <c r="N227" s="33"/>
      <c r="O227" s="33"/>
      <c r="P227" s="36"/>
      <c r="Q227" s="36"/>
      <c r="R227" s="33"/>
      <c r="S227" s="36"/>
      <c r="T227" s="36"/>
      <c r="U227" s="36"/>
      <c r="V227" s="36"/>
      <c r="W227" s="36"/>
      <c r="X227" s="33"/>
      <c r="Y227" s="33"/>
      <c r="Z227" s="36"/>
      <c r="AA227" s="33"/>
      <c r="AB227" s="33"/>
      <c r="AC227" s="33"/>
      <c r="AD227" s="33"/>
      <c r="AE227" s="33"/>
      <c r="AF227" s="33"/>
      <c r="AG227" s="33"/>
      <c r="AH227" s="33"/>
      <c r="AI227" s="33"/>
      <c r="AJ227" s="33"/>
      <c r="AK227" s="36"/>
      <c r="AL227" s="36"/>
      <c r="AM227" s="36"/>
      <c r="AN227" s="33"/>
      <c r="AO227" s="36"/>
      <c r="AP227" s="36"/>
      <c r="AQ227" s="36"/>
      <c r="AR227" s="36"/>
      <c r="AS227" s="36"/>
      <c r="AT227" s="36"/>
      <c r="AU227" s="33"/>
      <c r="AV227" s="33"/>
      <c r="AW227" s="33"/>
      <c r="AX227" s="36"/>
      <c r="AY227" s="33"/>
      <c r="AZ227" s="33"/>
      <c r="BA227" s="36"/>
      <c r="BB227" s="36"/>
    </row>
    <row r="228" spans="1:54" x14ac:dyDescent="0.25">
      <c r="A228" s="34"/>
      <c r="B228" s="34"/>
      <c r="C228" s="34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  <c r="V228" s="35"/>
      <c r="W228" s="35"/>
      <c r="X228" s="35"/>
      <c r="Y228" s="35"/>
      <c r="Z228" s="35"/>
      <c r="AA228" s="35"/>
      <c r="AB228" s="35"/>
      <c r="AC228" s="35"/>
      <c r="AD228" s="35"/>
      <c r="AE228" s="35"/>
      <c r="AF228" s="35"/>
      <c r="AG228" s="35"/>
      <c r="AH228" s="35"/>
      <c r="AI228" s="35"/>
      <c r="AJ228" s="35"/>
      <c r="AK228" s="35"/>
      <c r="AL228" s="35"/>
      <c r="AM228" s="35"/>
      <c r="AN228" s="35"/>
      <c r="AO228" s="35"/>
      <c r="AP228" s="35"/>
      <c r="AQ228" s="35"/>
      <c r="AR228" s="35"/>
      <c r="AS228" s="35"/>
      <c r="AT228" s="35"/>
      <c r="AU228" s="35"/>
      <c r="AV228" s="35"/>
      <c r="AW228" s="35"/>
      <c r="AX228" s="35"/>
      <c r="AY228" s="35"/>
      <c r="AZ228" s="35"/>
      <c r="BA228" s="35"/>
      <c r="BB228" s="35"/>
    </row>
    <row r="229" spans="1:54" s="5" customFormat="1" x14ac:dyDescent="0.25">
      <c r="A229" s="32"/>
      <c r="B229" s="32"/>
      <c r="C229" s="32"/>
      <c r="D229" s="36"/>
      <c r="E229" s="36"/>
      <c r="F229" s="36"/>
      <c r="G229" s="36"/>
      <c r="H229" s="36"/>
      <c r="I229" s="36"/>
      <c r="J229" s="36"/>
      <c r="K229" s="36"/>
      <c r="L229" s="36"/>
      <c r="M229" s="36"/>
      <c r="N229" s="36"/>
      <c r="O229" s="36"/>
      <c r="P229" s="36"/>
      <c r="Q229" s="36"/>
      <c r="R229" s="36"/>
      <c r="S229" s="36"/>
      <c r="T229" s="36"/>
      <c r="U229" s="36"/>
      <c r="V229" s="36"/>
      <c r="W229" s="36"/>
      <c r="X229" s="36"/>
      <c r="Y229" s="36"/>
      <c r="Z229" s="36"/>
      <c r="AA229" s="36"/>
      <c r="AB229" s="36"/>
      <c r="AC229" s="36"/>
      <c r="AD229" s="36"/>
      <c r="AE229" s="36"/>
      <c r="AF229" s="36"/>
      <c r="AG229" s="36"/>
      <c r="AH229" s="36"/>
      <c r="AI229" s="36"/>
      <c r="AJ229" s="36"/>
      <c r="AK229" s="36"/>
      <c r="AL229" s="36"/>
      <c r="AM229" s="36"/>
      <c r="AN229" s="36"/>
      <c r="AO229" s="36"/>
      <c r="AP229" s="36"/>
      <c r="AQ229" s="36"/>
      <c r="AR229" s="36"/>
      <c r="AS229" s="36"/>
      <c r="AT229" s="36"/>
      <c r="AU229" s="36"/>
      <c r="AV229" s="36"/>
      <c r="AW229" s="36"/>
      <c r="AX229" s="36"/>
      <c r="AY229" s="36"/>
      <c r="AZ229" s="36"/>
      <c r="BA229" s="36"/>
      <c r="BB229" s="36"/>
    </row>
    <row r="230" spans="1:54" s="5" customFormat="1" x14ac:dyDescent="0.25">
      <c r="A230" s="34"/>
      <c r="B230" s="34"/>
      <c r="C230" s="34"/>
      <c r="D230" s="35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7"/>
      <c r="S230" s="37"/>
      <c r="T230" s="37"/>
      <c r="U230" s="37"/>
      <c r="V230" s="37"/>
      <c r="W230" s="37"/>
      <c r="X230" s="37"/>
      <c r="Y230" s="37"/>
      <c r="Z230" s="37"/>
      <c r="AA230" s="37"/>
      <c r="AB230" s="37"/>
      <c r="AC230" s="37"/>
      <c r="AD230" s="37"/>
      <c r="AE230" s="37"/>
      <c r="AF230" s="37"/>
      <c r="AG230" s="37"/>
      <c r="AH230" s="37"/>
      <c r="AI230" s="37"/>
      <c r="AJ230" s="37"/>
      <c r="AK230" s="37"/>
      <c r="AL230" s="37"/>
      <c r="AM230" s="37"/>
      <c r="AN230" s="37"/>
      <c r="AO230" s="37"/>
      <c r="AP230" s="37"/>
      <c r="AQ230" s="37"/>
      <c r="AR230" s="37"/>
      <c r="AS230" s="37"/>
      <c r="AT230" s="37"/>
      <c r="AU230" s="37"/>
      <c r="AV230" s="37"/>
      <c r="AW230" s="37"/>
      <c r="AX230" s="37"/>
      <c r="AY230" s="37"/>
      <c r="AZ230" s="37"/>
      <c r="BA230" s="37"/>
      <c r="BB230" s="37"/>
    </row>
    <row r="231" spans="1:54" x14ac:dyDescent="0.25">
      <c r="A231" s="34"/>
      <c r="B231" s="32"/>
      <c r="C231" s="32"/>
      <c r="D231" s="33"/>
      <c r="E231" s="33"/>
      <c r="F231" s="33"/>
      <c r="G231" s="33"/>
      <c r="H231" s="33"/>
      <c r="I231" s="33"/>
      <c r="J231" s="33"/>
      <c r="K231" s="33"/>
      <c r="L231" s="33"/>
      <c r="M231" s="33"/>
      <c r="N231" s="33"/>
      <c r="O231" s="33"/>
      <c r="P231" s="33"/>
      <c r="Q231" s="33"/>
      <c r="R231" s="33"/>
      <c r="S231" s="33"/>
      <c r="T231" s="33"/>
      <c r="U231" s="33"/>
      <c r="V231" s="33"/>
      <c r="W231" s="33"/>
      <c r="X231" s="33"/>
      <c r="Y231" s="33"/>
      <c r="Z231" s="33"/>
      <c r="AA231" s="33"/>
      <c r="AB231" s="33"/>
      <c r="AC231" s="33"/>
      <c r="AD231" s="33"/>
      <c r="AE231" s="33"/>
      <c r="AF231" s="33"/>
      <c r="AG231" s="33"/>
      <c r="AH231" s="33"/>
      <c r="AI231" s="33"/>
      <c r="AJ231" s="33"/>
      <c r="AK231" s="33"/>
      <c r="AL231" s="33"/>
      <c r="AM231" s="33"/>
      <c r="AN231" s="36"/>
      <c r="AO231" s="33"/>
      <c r="AP231" s="36"/>
      <c r="AQ231" s="36"/>
      <c r="AR231" s="36"/>
      <c r="AS231" s="36"/>
      <c r="AT231" s="36"/>
      <c r="AU231" s="36"/>
      <c r="AV231" s="36"/>
      <c r="AW231" s="36"/>
      <c r="AX231" s="36"/>
      <c r="AY231" s="36"/>
      <c r="AZ231" s="36"/>
      <c r="BA231" s="36"/>
      <c r="BB231" s="36"/>
    </row>
    <row r="232" spans="1:54" s="5" customFormat="1" x14ac:dyDescent="0.25">
      <c r="A232" s="34"/>
      <c r="B232" s="34"/>
      <c r="C232" s="34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  <c r="Y232" s="35"/>
      <c r="Z232" s="35"/>
      <c r="AA232" s="35"/>
      <c r="AB232" s="35"/>
      <c r="AC232" s="35"/>
      <c r="AD232" s="35"/>
      <c r="AE232" s="35"/>
      <c r="AF232" s="35"/>
      <c r="AG232" s="35"/>
      <c r="AH232" s="35"/>
      <c r="AI232" s="35"/>
      <c r="AJ232" s="35"/>
      <c r="AK232" s="35"/>
      <c r="AL232" s="35"/>
      <c r="AM232" s="35"/>
      <c r="AN232" s="35"/>
      <c r="AO232" s="35"/>
      <c r="AP232" s="35"/>
      <c r="AQ232" s="35"/>
      <c r="AR232" s="35"/>
      <c r="AS232" s="35"/>
      <c r="AT232" s="35"/>
      <c r="AU232" s="35"/>
      <c r="AV232" s="35"/>
      <c r="AW232" s="35"/>
      <c r="AX232" s="35"/>
      <c r="AY232" s="35"/>
      <c r="AZ232" s="35"/>
      <c r="BA232" s="35"/>
      <c r="BB232" s="35"/>
    </row>
    <row r="233" spans="1:54" x14ac:dyDescent="0.25">
      <c r="A233" s="34"/>
      <c r="B233" s="32"/>
      <c r="C233" s="32"/>
      <c r="D233" s="33"/>
      <c r="E233" s="33"/>
      <c r="F233" s="33"/>
      <c r="G233" s="33"/>
      <c r="H233" s="33"/>
      <c r="I233" s="33"/>
      <c r="J233" s="33"/>
      <c r="K233" s="33"/>
      <c r="L233" s="33"/>
      <c r="M233" s="33"/>
      <c r="N233" s="33"/>
      <c r="O233" s="33"/>
      <c r="P233" s="33"/>
      <c r="Q233" s="36"/>
      <c r="R233" s="36"/>
      <c r="S233" s="36"/>
      <c r="T233" s="36"/>
      <c r="U233" s="36"/>
      <c r="V233" s="36"/>
      <c r="W233" s="36"/>
      <c r="X233" s="36"/>
      <c r="Y233" s="36"/>
      <c r="Z233" s="36"/>
      <c r="AA233" s="36"/>
      <c r="AB233" s="36"/>
      <c r="AC233" s="36"/>
      <c r="AD233" s="36"/>
      <c r="AE233" s="36"/>
      <c r="AF233" s="36"/>
      <c r="AG233" s="36"/>
      <c r="AH233" s="36"/>
      <c r="AI233" s="36"/>
      <c r="AJ233" s="36"/>
      <c r="AK233" s="36"/>
      <c r="AL233" s="36"/>
      <c r="AM233" s="36"/>
      <c r="AN233" s="36"/>
      <c r="AO233" s="36"/>
      <c r="AP233" s="36"/>
      <c r="AQ233" s="36"/>
      <c r="AR233" s="36"/>
      <c r="AS233" s="36"/>
      <c r="AT233" s="36"/>
      <c r="AU233" s="36"/>
      <c r="AV233" s="36"/>
      <c r="AW233" s="36"/>
      <c r="AX233" s="36"/>
      <c r="AY233" s="36"/>
      <c r="AZ233" s="36"/>
      <c r="BA233" s="36"/>
      <c r="BB233" s="36"/>
    </row>
    <row r="234" spans="1:54" s="5" customFormat="1" x14ac:dyDescent="0.25">
      <c r="A234" s="32"/>
      <c r="B234" s="32"/>
      <c r="C234" s="32"/>
      <c r="D234" s="33"/>
      <c r="E234" s="33"/>
      <c r="F234" s="33"/>
      <c r="G234" s="33"/>
      <c r="H234" s="33"/>
      <c r="I234" s="33"/>
      <c r="J234" s="33"/>
      <c r="K234" s="33"/>
      <c r="L234" s="33"/>
      <c r="M234" s="33"/>
      <c r="N234" s="33"/>
      <c r="O234" s="33"/>
      <c r="P234" s="33"/>
      <c r="Q234" s="33"/>
      <c r="R234" s="33"/>
      <c r="S234" s="33"/>
      <c r="T234" s="36"/>
      <c r="U234" s="36"/>
      <c r="V234" s="36"/>
      <c r="W234" s="36"/>
      <c r="X234" s="36"/>
      <c r="Y234" s="36"/>
      <c r="Z234" s="36"/>
      <c r="AA234" s="36"/>
      <c r="AB234" s="36"/>
      <c r="AC234" s="36"/>
      <c r="AD234" s="36"/>
      <c r="AE234" s="36"/>
      <c r="AF234" s="36"/>
      <c r="AG234" s="36"/>
      <c r="AH234" s="36"/>
      <c r="AI234" s="36"/>
      <c r="AJ234" s="36"/>
      <c r="AK234" s="36"/>
      <c r="AL234" s="36"/>
      <c r="AM234" s="36"/>
      <c r="AN234" s="36"/>
      <c r="AO234" s="36"/>
      <c r="AP234" s="36"/>
      <c r="AQ234" s="36"/>
      <c r="AR234" s="36"/>
      <c r="AS234" s="36"/>
      <c r="AT234" s="36"/>
      <c r="AU234" s="36"/>
      <c r="AV234" s="36"/>
      <c r="AW234" s="36"/>
      <c r="AX234" s="36"/>
      <c r="AY234" s="36"/>
      <c r="AZ234" s="36"/>
      <c r="BA234" s="36"/>
      <c r="BB234" s="36"/>
    </row>
    <row r="235" spans="1:54" x14ac:dyDescent="0.25">
      <c r="A235" s="34"/>
      <c r="B235" s="34"/>
      <c r="C235" s="34"/>
      <c r="D235" s="35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R235" s="35"/>
      <c r="S235" s="35"/>
      <c r="T235" s="35"/>
      <c r="U235" s="35"/>
      <c r="V235" s="35"/>
      <c r="W235" s="35"/>
      <c r="X235" s="35"/>
      <c r="Y235" s="35"/>
      <c r="Z235" s="35"/>
      <c r="AA235" s="35"/>
      <c r="AB235" s="35"/>
      <c r="AC235" s="35"/>
      <c r="AD235" s="35"/>
      <c r="AE235" s="35"/>
      <c r="AF235" s="35"/>
      <c r="AG235" s="35"/>
      <c r="AH235" s="35"/>
      <c r="AI235" s="35"/>
      <c r="AJ235" s="35"/>
      <c r="AK235" s="35"/>
      <c r="AL235" s="35"/>
      <c r="AM235" s="35"/>
      <c r="AN235" s="35"/>
      <c r="AO235" s="35"/>
      <c r="AP235" s="35"/>
      <c r="AQ235" s="35"/>
      <c r="AR235" s="35"/>
      <c r="AS235" s="35"/>
      <c r="AT235" s="35"/>
      <c r="AU235" s="35"/>
      <c r="AV235" s="35"/>
      <c r="AW235" s="35"/>
      <c r="AX235" s="35"/>
      <c r="AY235" s="35"/>
      <c r="AZ235" s="35"/>
      <c r="BA235" s="35"/>
      <c r="BB235" s="35"/>
    </row>
    <row r="236" spans="1:54" s="5" customFormat="1" x14ac:dyDescent="0.25">
      <c r="A236" s="32"/>
      <c r="B236" s="32"/>
      <c r="C236" s="32"/>
      <c r="D236" s="33"/>
      <c r="E236" s="33"/>
      <c r="F236" s="33"/>
      <c r="G236" s="33"/>
      <c r="H236" s="33"/>
      <c r="I236" s="33"/>
      <c r="J236" s="33"/>
      <c r="K236" s="33"/>
      <c r="L236" s="33"/>
      <c r="M236" s="33"/>
      <c r="N236" s="33"/>
      <c r="O236" s="33"/>
      <c r="P236" s="33"/>
      <c r="Q236" s="33"/>
      <c r="R236" s="33"/>
      <c r="S236" s="33"/>
      <c r="T236" s="36"/>
      <c r="U236" s="36"/>
      <c r="V236" s="36"/>
      <c r="W236" s="36"/>
      <c r="X236" s="36"/>
      <c r="Y236" s="36"/>
      <c r="Z236" s="36"/>
      <c r="AA236" s="36"/>
      <c r="AB236" s="36"/>
      <c r="AC236" s="36"/>
      <c r="AD236" s="36"/>
      <c r="AE236" s="36"/>
      <c r="AF236" s="36"/>
      <c r="AG236" s="36"/>
      <c r="AH236" s="36"/>
      <c r="AI236" s="36"/>
      <c r="AJ236" s="36"/>
      <c r="AK236" s="36"/>
      <c r="AL236" s="36"/>
      <c r="AM236" s="36"/>
      <c r="AN236" s="36"/>
      <c r="AO236" s="36"/>
      <c r="AP236" s="36"/>
      <c r="AQ236" s="36"/>
      <c r="AR236" s="36"/>
      <c r="AS236" s="36"/>
      <c r="AT236" s="36"/>
      <c r="AU236" s="36"/>
      <c r="AV236" s="36"/>
      <c r="AW236" s="36"/>
      <c r="AX236" s="36"/>
      <c r="AY236" s="36"/>
      <c r="AZ236" s="36"/>
      <c r="BA236" s="36"/>
      <c r="BB236" s="36"/>
    </row>
    <row r="237" spans="1:54" x14ac:dyDescent="0.25">
      <c r="A237" s="34"/>
      <c r="B237" s="34"/>
      <c r="C237" s="34"/>
      <c r="D237" s="35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35"/>
      <c r="Q237" s="35"/>
      <c r="R237" s="35"/>
      <c r="S237" s="35"/>
      <c r="T237" s="35"/>
      <c r="U237" s="35"/>
      <c r="V237" s="35"/>
      <c r="W237" s="35"/>
      <c r="X237" s="35"/>
      <c r="Y237" s="35"/>
      <c r="Z237" s="35"/>
      <c r="AA237" s="35"/>
      <c r="AB237" s="35"/>
      <c r="AC237" s="35"/>
      <c r="AD237" s="35"/>
      <c r="AE237" s="35"/>
      <c r="AF237" s="35"/>
      <c r="AG237" s="35"/>
      <c r="AH237" s="35"/>
      <c r="AI237" s="35"/>
      <c r="AJ237" s="35"/>
      <c r="AK237" s="35"/>
      <c r="AL237" s="35"/>
      <c r="AM237" s="35"/>
      <c r="AN237" s="35"/>
      <c r="AO237" s="35"/>
      <c r="AP237" s="35"/>
      <c r="AQ237" s="35"/>
      <c r="AR237" s="35"/>
      <c r="AS237" s="35"/>
      <c r="AT237" s="35"/>
      <c r="AU237" s="35"/>
      <c r="AV237" s="35"/>
      <c r="AW237" s="35"/>
      <c r="AX237" s="35"/>
      <c r="AY237" s="35"/>
      <c r="AZ237" s="35"/>
      <c r="BA237" s="35"/>
      <c r="BB237" s="35"/>
    </row>
    <row r="238" spans="1:54" s="5" customFormat="1" x14ac:dyDescent="0.25">
      <c r="A238" s="32"/>
      <c r="B238" s="32"/>
      <c r="C238" s="32"/>
      <c r="D238" s="36"/>
      <c r="E238" s="36"/>
      <c r="F238" s="36"/>
      <c r="G238" s="36"/>
      <c r="H238" s="36"/>
      <c r="I238" s="36"/>
      <c r="J238" s="36"/>
      <c r="K238" s="36"/>
      <c r="L238" s="36"/>
      <c r="M238" s="36"/>
      <c r="N238" s="36"/>
      <c r="O238" s="36"/>
      <c r="P238" s="36"/>
      <c r="Q238" s="36"/>
      <c r="R238" s="36"/>
      <c r="S238" s="36"/>
      <c r="T238" s="36"/>
      <c r="U238" s="36"/>
      <c r="V238" s="36"/>
      <c r="W238" s="36"/>
      <c r="X238" s="36"/>
      <c r="Y238" s="36"/>
      <c r="Z238" s="36"/>
      <c r="AA238" s="36"/>
      <c r="AB238" s="36"/>
      <c r="AC238" s="36"/>
      <c r="AD238" s="36"/>
      <c r="AE238" s="36"/>
      <c r="AF238" s="36"/>
      <c r="AG238" s="36"/>
      <c r="AH238" s="36"/>
      <c r="AI238" s="36"/>
      <c r="AJ238" s="36"/>
      <c r="AK238" s="36"/>
      <c r="AL238" s="36"/>
      <c r="AM238" s="36"/>
      <c r="AN238" s="36"/>
      <c r="AO238" s="36"/>
      <c r="AP238" s="36"/>
      <c r="AQ238" s="36"/>
      <c r="AR238" s="36"/>
      <c r="AS238" s="36"/>
      <c r="AT238" s="36"/>
      <c r="AU238" s="36"/>
      <c r="AV238" s="36"/>
      <c r="AW238" s="36"/>
      <c r="AX238" s="36"/>
      <c r="AY238" s="36"/>
      <c r="AZ238" s="36"/>
      <c r="BA238" s="36"/>
      <c r="BB238" s="36"/>
    </row>
    <row r="239" spans="1:54" x14ac:dyDescent="0.25">
      <c r="A239" s="34"/>
      <c r="B239" s="34"/>
      <c r="C239" s="34"/>
      <c r="D239" s="35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35"/>
      <c r="Q239" s="35"/>
      <c r="R239" s="35"/>
      <c r="S239" s="35"/>
      <c r="T239" s="35"/>
      <c r="U239" s="35"/>
      <c r="V239" s="35"/>
      <c r="W239" s="35"/>
      <c r="X239" s="35"/>
      <c r="Y239" s="35"/>
      <c r="Z239" s="35"/>
      <c r="AA239" s="35"/>
      <c r="AB239" s="35"/>
      <c r="AC239" s="35"/>
      <c r="AD239" s="35"/>
      <c r="AE239" s="35"/>
      <c r="AF239" s="35"/>
      <c r="AG239" s="35"/>
      <c r="AH239" s="35"/>
      <c r="AI239" s="35"/>
      <c r="AJ239" s="35"/>
      <c r="AK239" s="35"/>
      <c r="AL239" s="35"/>
      <c r="AM239" s="35"/>
      <c r="AN239" s="35"/>
      <c r="AO239" s="35"/>
      <c r="AP239" s="35"/>
      <c r="AQ239" s="35"/>
      <c r="AR239" s="35"/>
      <c r="AS239" s="35"/>
      <c r="AT239" s="35"/>
      <c r="AU239" s="35"/>
      <c r="AV239" s="35"/>
      <c r="AW239" s="35"/>
      <c r="AX239" s="35"/>
      <c r="AY239" s="35"/>
      <c r="AZ239" s="35"/>
      <c r="BA239" s="35"/>
      <c r="BB239" s="35"/>
    </row>
    <row r="240" spans="1:54" s="5" customFormat="1" x14ac:dyDescent="0.25">
      <c r="A240" s="32"/>
      <c r="B240" s="32"/>
      <c r="C240" s="32"/>
      <c r="D240" s="36"/>
      <c r="E240" s="36"/>
      <c r="F240" s="36"/>
      <c r="G240" s="36"/>
      <c r="H240" s="36"/>
      <c r="I240" s="36"/>
      <c r="J240" s="36"/>
      <c r="K240" s="36"/>
      <c r="L240" s="36"/>
      <c r="M240" s="36"/>
      <c r="N240" s="36"/>
      <c r="O240" s="36"/>
      <c r="P240" s="36"/>
      <c r="Q240" s="36"/>
      <c r="R240" s="36"/>
      <c r="S240" s="36"/>
      <c r="T240" s="36"/>
      <c r="U240" s="36"/>
      <c r="V240" s="36"/>
      <c r="W240" s="36"/>
      <c r="X240" s="36"/>
      <c r="Y240" s="36"/>
      <c r="Z240" s="36"/>
      <c r="AA240" s="36"/>
      <c r="AB240" s="36"/>
      <c r="AC240" s="36"/>
      <c r="AD240" s="36"/>
      <c r="AE240" s="36"/>
      <c r="AF240" s="36"/>
      <c r="AG240" s="36"/>
      <c r="AH240" s="36"/>
      <c r="AI240" s="36"/>
      <c r="AJ240" s="36"/>
      <c r="AK240" s="36"/>
      <c r="AL240" s="36"/>
      <c r="AM240" s="36"/>
      <c r="AN240" s="36"/>
      <c r="AO240" s="36"/>
      <c r="AP240" s="36"/>
      <c r="AQ240" s="36"/>
      <c r="AR240" s="36"/>
      <c r="AS240" s="36"/>
      <c r="AT240" s="36"/>
      <c r="AU240" s="36"/>
      <c r="AV240" s="36"/>
      <c r="AW240" s="36"/>
      <c r="AX240" s="36"/>
      <c r="AY240" s="36"/>
      <c r="AZ240" s="36"/>
      <c r="BA240" s="36"/>
      <c r="BB240" s="36"/>
    </row>
    <row r="241" spans="1:54" x14ac:dyDescent="0.25">
      <c r="A241" s="34"/>
      <c r="B241" s="34"/>
      <c r="C241" s="34"/>
      <c r="D241" s="37"/>
      <c r="E241" s="37"/>
      <c r="F241" s="37"/>
      <c r="G241" s="37"/>
      <c r="H241" s="37"/>
      <c r="I241" s="37"/>
      <c r="J241" s="37"/>
      <c r="K241" s="37"/>
      <c r="L241" s="37"/>
      <c r="M241" s="37"/>
      <c r="N241" s="37"/>
      <c r="O241" s="37"/>
      <c r="P241" s="37"/>
      <c r="Q241" s="37"/>
      <c r="R241" s="37"/>
      <c r="S241" s="37"/>
      <c r="T241" s="37"/>
      <c r="U241" s="37"/>
      <c r="V241" s="37"/>
      <c r="W241" s="37"/>
      <c r="X241" s="37"/>
      <c r="Y241" s="37"/>
      <c r="Z241" s="37"/>
      <c r="AA241" s="37"/>
      <c r="AB241" s="37"/>
      <c r="AC241" s="37"/>
      <c r="AD241" s="37"/>
      <c r="AE241" s="37"/>
      <c r="AF241" s="37"/>
      <c r="AG241" s="37"/>
      <c r="AH241" s="37"/>
      <c r="AI241" s="37"/>
      <c r="AJ241" s="37"/>
      <c r="AK241" s="37"/>
      <c r="AL241" s="37"/>
      <c r="AM241" s="37"/>
      <c r="AN241" s="37"/>
      <c r="AO241" s="37"/>
      <c r="AP241" s="37"/>
      <c r="AQ241" s="37"/>
      <c r="AR241" s="37"/>
      <c r="AS241" s="37"/>
      <c r="AT241" s="37"/>
      <c r="AU241" s="35"/>
      <c r="AV241" s="35"/>
      <c r="AW241" s="35"/>
      <c r="AX241" s="35"/>
      <c r="AY241" s="35"/>
      <c r="AZ241" s="35"/>
      <c r="BA241" s="35"/>
      <c r="BB241" s="35"/>
    </row>
    <row r="242" spans="1:54" s="5" customFormat="1" x14ac:dyDescent="0.25">
      <c r="A242" s="32"/>
      <c r="B242" s="32"/>
      <c r="C242" s="32"/>
      <c r="D242" s="33"/>
      <c r="E242" s="33"/>
      <c r="F242" s="33"/>
      <c r="G242" s="33"/>
      <c r="H242" s="33"/>
      <c r="I242" s="33"/>
      <c r="J242" s="33"/>
      <c r="K242" s="33"/>
      <c r="L242" s="33"/>
      <c r="M242" s="33"/>
      <c r="N242" s="33"/>
      <c r="O242" s="33"/>
      <c r="P242" s="33"/>
      <c r="Q242" s="33"/>
      <c r="R242" s="33"/>
      <c r="S242" s="33"/>
      <c r="T242" s="33"/>
      <c r="U242" s="33"/>
      <c r="V242" s="33"/>
      <c r="W242" s="33"/>
      <c r="X242" s="33"/>
      <c r="Y242" s="33"/>
      <c r="Z242" s="33"/>
      <c r="AA242" s="33"/>
      <c r="AB242" s="33"/>
      <c r="AC242" s="33"/>
      <c r="AD242" s="33"/>
      <c r="AE242" s="33"/>
      <c r="AF242" s="33"/>
      <c r="AG242" s="33"/>
      <c r="AH242" s="33"/>
      <c r="AI242" s="33"/>
      <c r="AJ242" s="33"/>
      <c r="AK242" s="33"/>
      <c r="AL242" s="33"/>
      <c r="AM242" s="33"/>
      <c r="AN242" s="33"/>
      <c r="AO242" s="33"/>
      <c r="AP242" s="33"/>
      <c r="AQ242" s="33"/>
      <c r="AR242" s="33"/>
      <c r="AS242" s="33"/>
      <c r="AT242" s="33"/>
      <c r="AU242" s="33"/>
      <c r="AV242" s="33"/>
      <c r="AW242" s="33"/>
      <c r="AX242" s="33"/>
      <c r="AY242" s="33"/>
      <c r="AZ242" s="33"/>
      <c r="BA242" s="33"/>
      <c r="BB242" s="33"/>
    </row>
    <row r="243" spans="1:54" x14ac:dyDescent="0.25">
      <c r="A243" s="34"/>
      <c r="B243" s="34"/>
      <c r="C243" s="34"/>
      <c r="D243" s="37"/>
      <c r="E243" s="37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37"/>
      <c r="S243" s="37"/>
      <c r="T243" s="37"/>
      <c r="U243" s="37"/>
      <c r="V243" s="37"/>
      <c r="W243" s="37"/>
      <c r="X243" s="37"/>
      <c r="Y243" s="37"/>
      <c r="Z243" s="37"/>
      <c r="AA243" s="37"/>
      <c r="AB243" s="37"/>
      <c r="AC243" s="37"/>
      <c r="AD243" s="37"/>
      <c r="AE243" s="37"/>
      <c r="AF243" s="37"/>
      <c r="AG243" s="37"/>
      <c r="AH243" s="37"/>
      <c r="AI243" s="37"/>
      <c r="AJ243" s="37"/>
      <c r="AK243" s="37"/>
      <c r="AL243" s="37"/>
      <c r="AM243" s="37"/>
      <c r="AN243" s="37"/>
      <c r="AO243" s="37"/>
      <c r="AP243" s="37"/>
      <c r="AQ243" s="37"/>
      <c r="AR243" s="37"/>
      <c r="AS243" s="37"/>
      <c r="AT243" s="37"/>
      <c r="AU243" s="35"/>
      <c r="AV243" s="35"/>
      <c r="AW243" s="35"/>
      <c r="AX243" s="35"/>
      <c r="AY243" s="35"/>
      <c r="AZ243" s="35"/>
      <c r="BA243" s="35"/>
      <c r="BB243" s="35"/>
    </row>
    <row r="244" spans="1:54" s="5" customFormat="1" x14ac:dyDescent="0.25">
      <c r="A244" s="32"/>
      <c r="B244" s="32"/>
      <c r="C244" s="32"/>
      <c r="D244" s="33"/>
      <c r="E244" s="33"/>
      <c r="F244" s="33"/>
      <c r="G244" s="33"/>
      <c r="H244" s="33"/>
      <c r="I244" s="33"/>
      <c r="J244" s="33"/>
      <c r="K244" s="33"/>
      <c r="L244" s="33"/>
      <c r="M244" s="33"/>
      <c r="N244" s="33"/>
      <c r="O244" s="33"/>
      <c r="P244" s="33"/>
      <c r="Q244" s="33"/>
      <c r="R244" s="33"/>
      <c r="S244" s="33"/>
      <c r="T244" s="33"/>
      <c r="U244" s="33"/>
      <c r="V244" s="33"/>
      <c r="W244" s="33"/>
      <c r="X244" s="33"/>
      <c r="Y244" s="33"/>
      <c r="Z244" s="33"/>
      <c r="AA244" s="33"/>
      <c r="AB244" s="33"/>
      <c r="AC244" s="33"/>
      <c r="AD244" s="33"/>
      <c r="AE244" s="33"/>
      <c r="AF244" s="33"/>
      <c r="AG244" s="33"/>
      <c r="AH244" s="33"/>
      <c r="AI244" s="33"/>
      <c r="AJ244" s="33"/>
      <c r="AK244" s="33"/>
      <c r="AL244" s="33"/>
      <c r="AM244" s="33"/>
      <c r="AN244" s="33"/>
      <c r="AO244" s="33"/>
      <c r="AP244" s="33"/>
      <c r="AQ244" s="33"/>
      <c r="AR244" s="33"/>
      <c r="AS244" s="33"/>
      <c r="AT244" s="33"/>
      <c r="AU244" s="33"/>
      <c r="AV244" s="33"/>
      <c r="AW244" s="33"/>
      <c r="AX244" s="33"/>
      <c r="AY244" s="33"/>
      <c r="AZ244" s="33"/>
      <c r="BA244" s="33"/>
      <c r="BB244" s="33"/>
    </row>
    <row r="245" spans="1:54" x14ac:dyDescent="0.25">
      <c r="A245" s="34"/>
      <c r="B245" s="34"/>
      <c r="C245" s="34"/>
      <c r="D245" s="35"/>
      <c r="E245" s="35"/>
      <c r="F245" s="35"/>
      <c r="G245" s="35"/>
      <c r="H245" s="37"/>
      <c r="I245" s="37"/>
      <c r="J245" s="37"/>
      <c r="K245" s="37"/>
      <c r="L245" s="37"/>
      <c r="M245" s="37"/>
      <c r="N245" s="37"/>
      <c r="O245" s="37"/>
      <c r="P245" s="37"/>
      <c r="Q245" s="37"/>
      <c r="R245" s="37"/>
      <c r="S245" s="37"/>
      <c r="T245" s="37"/>
      <c r="U245" s="37"/>
      <c r="V245" s="37"/>
      <c r="W245" s="37"/>
      <c r="X245" s="37"/>
      <c r="Y245" s="37"/>
      <c r="Z245" s="37"/>
      <c r="AA245" s="37"/>
      <c r="AB245" s="37"/>
      <c r="AC245" s="37"/>
      <c r="AD245" s="37"/>
      <c r="AE245" s="37"/>
      <c r="AF245" s="37"/>
      <c r="AG245" s="37"/>
      <c r="AH245" s="37"/>
      <c r="AI245" s="37"/>
      <c r="AJ245" s="37"/>
      <c r="AK245" s="37"/>
      <c r="AL245" s="37"/>
      <c r="AM245" s="37"/>
      <c r="AN245" s="37"/>
      <c r="AO245" s="37"/>
      <c r="AP245" s="37"/>
      <c r="AQ245" s="37"/>
      <c r="AR245" s="37"/>
      <c r="AS245" s="37"/>
      <c r="AT245" s="37"/>
      <c r="AU245" s="37"/>
      <c r="AV245" s="37"/>
      <c r="AW245" s="37"/>
      <c r="AX245" s="37"/>
      <c r="AY245" s="37"/>
      <c r="AZ245" s="37"/>
      <c r="BA245" s="37"/>
      <c r="BB245" s="37"/>
    </row>
    <row r="246" spans="1:54" s="5" customFormat="1" x14ac:dyDescent="0.25">
      <c r="A246" s="32"/>
      <c r="B246" s="32"/>
      <c r="C246" s="32"/>
      <c r="D246" s="33"/>
      <c r="E246" s="33"/>
      <c r="F246" s="33"/>
      <c r="G246" s="33"/>
      <c r="H246" s="33"/>
      <c r="I246" s="33"/>
      <c r="J246" s="33"/>
      <c r="K246" s="33"/>
      <c r="L246" s="33"/>
      <c r="M246" s="33"/>
      <c r="N246" s="33"/>
      <c r="O246" s="33"/>
      <c r="P246" s="33"/>
      <c r="Q246" s="33"/>
      <c r="R246" s="33"/>
      <c r="S246" s="33"/>
      <c r="T246" s="33"/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F246" s="33"/>
      <c r="AG246" s="33"/>
      <c r="AH246" s="33"/>
      <c r="AI246" s="33"/>
      <c r="AJ246" s="33"/>
      <c r="AK246" s="33"/>
      <c r="AL246" s="33"/>
      <c r="AM246" s="33"/>
      <c r="AN246" s="33"/>
      <c r="AO246" s="33"/>
      <c r="AP246" s="33"/>
      <c r="AQ246" s="33"/>
      <c r="AR246" s="33"/>
      <c r="AS246" s="33"/>
      <c r="AT246" s="33"/>
      <c r="AU246" s="33"/>
      <c r="AV246" s="33"/>
      <c r="AW246" s="33"/>
      <c r="AX246" s="33"/>
      <c r="AY246" s="33"/>
      <c r="AZ246" s="33"/>
      <c r="BA246" s="33"/>
      <c r="BB246" s="33"/>
    </row>
    <row r="247" spans="1:54" x14ac:dyDescent="0.25">
      <c r="A247" s="34"/>
      <c r="B247" s="34"/>
      <c r="C247" s="34"/>
      <c r="D247" s="35"/>
      <c r="E247" s="35"/>
      <c r="F247" s="35"/>
      <c r="G247" s="35"/>
      <c r="H247" s="37"/>
      <c r="I247" s="37"/>
      <c r="J247" s="37"/>
      <c r="K247" s="37"/>
      <c r="L247" s="37"/>
      <c r="M247" s="37"/>
      <c r="N247" s="37"/>
      <c r="O247" s="37"/>
      <c r="P247" s="37"/>
      <c r="Q247" s="37"/>
      <c r="R247" s="37"/>
      <c r="S247" s="37"/>
      <c r="T247" s="37"/>
      <c r="U247" s="37"/>
      <c r="V247" s="37"/>
      <c r="W247" s="37"/>
      <c r="X247" s="37"/>
      <c r="Y247" s="37"/>
      <c r="Z247" s="37"/>
      <c r="AA247" s="37"/>
      <c r="AB247" s="37"/>
      <c r="AC247" s="37"/>
      <c r="AD247" s="37"/>
      <c r="AE247" s="37"/>
      <c r="AF247" s="37"/>
      <c r="AG247" s="37"/>
      <c r="AH247" s="37"/>
      <c r="AI247" s="37"/>
      <c r="AJ247" s="37"/>
      <c r="AK247" s="37"/>
      <c r="AL247" s="37"/>
      <c r="AM247" s="37"/>
      <c r="AN247" s="37"/>
      <c r="AO247" s="37"/>
      <c r="AP247" s="37"/>
      <c r="AQ247" s="37"/>
      <c r="AR247" s="37"/>
      <c r="AS247" s="37"/>
      <c r="AT247" s="37"/>
      <c r="AU247" s="37"/>
      <c r="AV247" s="37"/>
      <c r="AW247" s="37"/>
      <c r="AX247" s="37"/>
      <c r="AY247" s="37"/>
      <c r="AZ247" s="37"/>
      <c r="BA247" s="37"/>
      <c r="BB247" s="37"/>
    </row>
    <row r="248" spans="1:54" s="5" customFormat="1" x14ac:dyDescent="0.25">
      <c r="A248" s="32"/>
      <c r="B248" s="32"/>
      <c r="C248" s="32"/>
      <c r="D248" s="36"/>
      <c r="E248" s="36"/>
      <c r="F248" s="36"/>
      <c r="G248" s="36"/>
      <c r="H248" s="36"/>
      <c r="I248" s="36"/>
      <c r="J248" s="36"/>
      <c r="K248" s="36"/>
      <c r="L248" s="36"/>
      <c r="M248" s="36"/>
      <c r="N248" s="36"/>
      <c r="O248" s="36"/>
      <c r="P248" s="36"/>
      <c r="Q248" s="36"/>
      <c r="R248" s="36"/>
      <c r="S248" s="36"/>
      <c r="T248" s="36"/>
      <c r="U248" s="36"/>
      <c r="V248" s="36"/>
      <c r="W248" s="36"/>
      <c r="X248" s="36"/>
      <c r="Y248" s="36"/>
      <c r="Z248" s="36"/>
      <c r="AA248" s="36"/>
      <c r="AB248" s="36"/>
      <c r="AC248" s="36"/>
      <c r="AD248" s="36"/>
      <c r="AE248" s="36"/>
      <c r="AF248" s="36"/>
      <c r="AG248" s="36"/>
      <c r="AH248" s="36"/>
      <c r="AI248" s="36"/>
      <c r="AJ248" s="36"/>
      <c r="AK248" s="36"/>
      <c r="AL248" s="36"/>
      <c r="AM248" s="36"/>
      <c r="AN248" s="36"/>
      <c r="AO248" s="36"/>
      <c r="AP248" s="36"/>
      <c r="AQ248" s="36"/>
      <c r="AR248" s="36"/>
      <c r="AS248" s="36"/>
      <c r="AT248" s="36"/>
      <c r="AU248" s="36"/>
      <c r="AV248" s="36"/>
      <c r="AW248" s="36"/>
      <c r="AX248" s="36"/>
      <c r="AY248" s="36"/>
      <c r="AZ248" s="36"/>
      <c r="BA248" s="36"/>
      <c r="BB248" s="36"/>
    </row>
    <row r="249" spans="1:54" x14ac:dyDescent="0.25">
      <c r="A249" s="34"/>
      <c r="B249" s="34"/>
      <c r="C249" s="34"/>
      <c r="D249" s="35"/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  <c r="Q249" s="35"/>
      <c r="R249" s="35"/>
      <c r="S249" s="35"/>
      <c r="T249" s="35"/>
      <c r="U249" s="35"/>
      <c r="V249" s="35"/>
      <c r="W249" s="35"/>
      <c r="X249" s="35"/>
      <c r="Y249" s="35"/>
      <c r="Z249" s="35"/>
      <c r="AA249" s="35"/>
      <c r="AB249" s="35"/>
      <c r="AC249" s="35"/>
      <c r="AD249" s="35"/>
      <c r="AE249" s="35"/>
      <c r="AF249" s="35"/>
      <c r="AG249" s="35"/>
      <c r="AH249" s="35"/>
      <c r="AI249" s="35"/>
      <c r="AJ249" s="35"/>
      <c r="AK249" s="37"/>
      <c r="AL249" s="35"/>
      <c r="AM249" s="35"/>
      <c r="AN249" s="35"/>
      <c r="AO249" s="35"/>
      <c r="AP249" s="35"/>
      <c r="AQ249" s="35"/>
      <c r="AR249" s="35"/>
      <c r="AS249" s="35"/>
      <c r="AT249" s="35"/>
      <c r="AU249" s="35"/>
      <c r="AV249" s="35"/>
      <c r="AW249" s="35"/>
      <c r="AX249" s="35"/>
      <c r="AY249" s="35"/>
      <c r="AZ249" s="35"/>
      <c r="BA249" s="35"/>
      <c r="BB249" s="35"/>
    </row>
    <row r="250" spans="1:54" s="5" customFormat="1" x14ac:dyDescent="0.25">
      <c r="A250" s="32"/>
      <c r="B250" s="32"/>
      <c r="C250" s="32"/>
      <c r="D250" s="33"/>
      <c r="E250" s="33"/>
      <c r="F250" s="33"/>
      <c r="G250" s="33"/>
      <c r="H250" s="33"/>
      <c r="I250" s="33"/>
      <c r="J250" s="33"/>
      <c r="K250" s="33"/>
      <c r="L250" s="33"/>
      <c r="M250" s="33"/>
      <c r="N250" s="33"/>
      <c r="O250" s="33"/>
      <c r="P250" s="33"/>
      <c r="Q250" s="33"/>
      <c r="R250" s="33"/>
      <c r="S250" s="33"/>
      <c r="T250" s="33"/>
      <c r="U250" s="33"/>
      <c r="V250" s="33"/>
      <c r="W250" s="33"/>
      <c r="X250" s="33"/>
      <c r="Y250" s="33"/>
      <c r="Z250" s="33"/>
      <c r="AA250" s="33"/>
      <c r="AB250" s="33"/>
      <c r="AC250" s="33"/>
      <c r="AD250" s="33"/>
      <c r="AE250" s="33"/>
      <c r="AF250" s="33"/>
      <c r="AG250" s="33"/>
      <c r="AH250" s="33"/>
      <c r="AI250" s="33"/>
      <c r="AJ250" s="33"/>
      <c r="AK250" s="33"/>
      <c r="AL250" s="33"/>
      <c r="AM250" s="33"/>
      <c r="AN250" s="33"/>
      <c r="AO250" s="33"/>
      <c r="AP250" s="33"/>
      <c r="AQ250" s="33"/>
      <c r="AR250" s="33"/>
      <c r="AS250" s="33"/>
      <c r="AT250" s="33"/>
      <c r="AU250" s="33"/>
      <c r="AV250" s="33"/>
      <c r="AW250" s="33"/>
      <c r="AX250" s="33"/>
      <c r="AY250" s="33"/>
      <c r="AZ250" s="33"/>
      <c r="BA250" s="33"/>
      <c r="BB250" s="33"/>
    </row>
    <row r="251" spans="1:54" x14ac:dyDescent="0.25">
      <c r="A251" s="34"/>
      <c r="B251" s="34"/>
      <c r="C251" s="34"/>
      <c r="D251" s="37"/>
      <c r="E251" s="37"/>
      <c r="F251" s="37"/>
      <c r="G251" s="37"/>
      <c r="H251" s="37"/>
      <c r="I251" s="37"/>
      <c r="J251" s="37"/>
      <c r="K251" s="37"/>
      <c r="L251" s="37"/>
      <c r="M251" s="37"/>
      <c r="N251" s="37"/>
      <c r="O251" s="37"/>
      <c r="P251" s="37"/>
      <c r="Q251" s="37"/>
      <c r="R251" s="37"/>
      <c r="S251" s="37"/>
      <c r="T251" s="37"/>
      <c r="U251" s="37"/>
      <c r="V251" s="37"/>
      <c r="W251" s="37"/>
      <c r="X251" s="37"/>
      <c r="Y251" s="37"/>
      <c r="Z251" s="37"/>
      <c r="AA251" s="37"/>
      <c r="AB251" s="37"/>
      <c r="AC251" s="37"/>
      <c r="AD251" s="37"/>
      <c r="AE251" s="37"/>
      <c r="AF251" s="37"/>
      <c r="AG251" s="37"/>
      <c r="AH251" s="37"/>
      <c r="AI251" s="37"/>
      <c r="AJ251" s="37"/>
      <c r="AK251" s="37"/>
      <c r="AL251" s="37"/>
      <c r="AM251" s="37"/>
      <c r="AN251" s="37"/>
      <c r="AO251" s="37"/>
      <c r="AP251" s="37"/>
      <c r="AQ251" s="37"/>
      <c r="AR251" s="37"/>
      <c r="AS251" s="37"/>
      <c r="AT251" s="37"/>
      <c r="AU251" s="37"/>
      <c r="AV251" s="37"/>
      <c r="AW251" s="37"/>
      <c r="AX251" s="37"/>
      <c r="AY251" s="37"/>
      <c r="AZ251" s="37"/>
      <c r="BA251" s="37"/>
      <c r="BB251" s="37"/>
    </row>
    <row r="252" spans="1:54" s="5" customFormat="1" x14ac:dyDescent="0.25">
      <c r="A252" s="32"/>
      <c r="B252" s="32"/>
      <c r="C252" s="32"/>
      <c r="D252" s="33"/>
      <c r="E252" s="33"/>
      <c r="F252" s="33"/>
      <c r="G252" s="33"/>
      <c r="H252" s="36"/>
      <c r="I252" s="36"/>
      <c r="J252" s="36"/>
      <c r="K252" s="36"/>
      <c r="L252" s="36"/>
      <c r="M252" s="36"/>
      <c r="N252" s="36"/>
      <c r="O252" s="36"/>
      <c r="P252" s="36"/>
      <c r="Q252" s="36"/>
      <c r="R252" s="36"/>
      <c r="S252" s="36"/>
      <c r="T252" s="36"/>
      <c r="U252" s="36"/>
      <c r="V252" s="36"/>
      <c r="W252" s="36"/>
      <c r="X252" s="36"/>
      <c r="Y252" s="36"/>
      <c r="Z252" s="36"/>
      <c r="AA252" s="36"/>
      <c r="AB252" s="36"/>
      <c r="AC252" s="36"/>
      <c r="AD252" s="36"/>
      <c r="AE252" s="36"/>
      <c r="AF252" s="36"/>
      <c r="AG252" s="36"/>
      <c r="AH252" s="36"/>
      <c r="AI252" s="36"/>
      <c r="AJ252" s="36"/>
      <c r="AK252" s="36"/>
      <c r="AL252" s="36"/>
      <c r="AM252" s="36"/>
      <c r="AN252" s="36"/>
      <c r="AO252" s="36"/>
      <c r="AP252" s="36"/>
      <c r="AQ252" s="36"/>
      <c r="AR252" s="36"/>
      <c r="AS252" s="36"/>
      <c r="AT252" s="36"/>
      <c r="AU252" s="36"/>
      <c r="AV252" s="36"/>
      <c r="AW252" s="36"/>
      <c r="AX252" s="36"/>
      <c r="AY252" s="36"/>
      <c r="AZ252" s="36"/>
      <c r="BA252" s="36"/>
      <c r="BB252" s="36"/>
    </row>
    <row r="253" spans="1:54" x14ac:dyDescent="0.25">
      <c r="A253" s="34"/>
      <c r="B253" s="34"/>
      <c r="C253" s="34"/>
      <c r="D253" s="35"/>
      <c r="E253" s="35"/>
      <c r="F253" s="35"/>
      <c r="G253" s="35"/>
      <c r="H253" s="37"/>
      <c r="I253" s="37"/>
      <c r="J253" s="37"/>
      <c r="K253" s="37"/>
      <c r="L253" s="37"/>
      <c r="M253" s="37"/>
      <c r="N253" s="37"/>
      <c r="O253" s="37"/>
      <c r="P253" s="37"/>
      <c r="Q253" s="37"/>
      <c r="R253" s="37"/>
      <c r="S253" s="37"/>
      <c r="T253" s="37"/>
      <c r="U253" s="37"/>
      <c r="V253" s="37"/>
      <c r="W253" s="37"/>
      <c r="X253" s="37"/>
      <c r="Y253" s="37"/>
      <c r="Z253" s="37"/>
      <c r="AA253" s="37"/>
      <c r="AB253" s="37"/>
      <c r="AC253" s="37"/>
      <c r="AD253" s="37"/>
      <c r="AE253" s="37"/>
      <c r="AF253" s="37"/>
      <c r="AG253" s="37"/>
      <c r="AH253" s="37"/>
      <c r="AI253" s="37"/>
      <c r="AJ253" s="37"/>
      <c r="AK253" s="37"/>
      <c r="AL253" s="37"/>
      <c r="AM253" s="37"/>
      <c r="AN253" s="37"/>
      <c r="AO253" s="37"/>
      <c r="AP253" s="37"/>
      <c r="AQ253" s="37"/>
      <c r="AR253" s="37"/>
      <c r="AS253" s="37"/>
      <c r="AT253" s="37"/>
      <c r="AU253" s="37"/>
      <c r="AV253" s="37"/>
      <c r="AW253" s="37"/>
      <c r="AX253" s="37"/>
      <c r="AY253" s="37"/>
      <c r="AZ253" s="37"/>
      <c r="BA253" s="37"/>
      <c r="BB253" s="37"/>
    </row>
    <row r="254" spans="1:54" s="5" customFormat="1" x14ac:dyDescent="0.25">
      <c r="A254" s="34"/>
      <c r="B254" s="34"/>
      <c r="C254" s="34"/>
      <c r="D254" s="35"/>
      <c r="E254" s="35"/>
      <c r="F254" s="35"/>
      <c r="G254" s="35"/>
      <c r="H254" s="35"/>
      <c r="I254" s="35"/>
      <c r="J254" s="35"/>
      <c r="K254" s="35"/>
      <c r="L254" s="35"/>
      <c r="M254" s="35"/>
      <c r="N254" s="35"/>
      <c r="O254" s="35"/>
      <c r="P254" s="35"/>
      <c r="Q254" s="35"/>
      <c r="R254" s="35"/>
      <c r="S254" s="35"/>
      <c r="T254" s="35"/>
      <c r="U254" s="35"/>
      <c r="V254" s="35"/>
      <c r="W254" s="35"/>
      <c r="X254" s="35"/>
      <c r="Y254" s="35"/>
      <c r="Z254" s="35"/>
      <c r="AA254" s="35"/>
      <c r="AB254" s="35"/>
      <c r="AC254" s="35"/>
      <c r="AD254" s="35"/>
      <c r="AE254" s="35"/>
      <c r="AF254" s="35"/>
      <c r="AG254" s="35"/>
      <c r="AH254" s="35"/>
      <c r="AI254" s="35"/>
      <c r="AJ254" s="35"/>
      <c r="AK254" s="35"/>
      <c r="AL254" s="35"/>
      <c r="AM254" s="35"/>
      <c r="AN254" s="35"/>
      <c r="AO254" s="35"/>
      <c r="AP254" s="35"/>
      <c r="AQ254" s="35"/>
      <c r="AR254" s="35"/>
      <c r="AS254" s="35"/>
      <c r="AT254" s="35"/>
      <c r="AU254" s="35"/>
      <c r="AV254" s="35"/>
      <c r="AW254" s="35"/>
      <c r="AX254" s="35"/>
      <c r="AY254" s="35"/>
      <c r="AZ254" s="35"/>
      <c r="BA254" s="37"/>
      <c r="BB254" s="35"/>
    </row>
    <row r="255" spans="1:54" x14ac:dyDescent="0.25">
      <c r="A255" s="34"/>
      <c r="B255" s="32"/>
      <c r="C255" s="32"/>
      <c r="D255" s="36"/>
      <c r="E255" s="36"/>
      <c r="F255" s="36"/>
      <c r="G255" s="36"/>
      <c r="H255" s="36"/>
      <c r="I255" s="36"/>
      <c r="J255" s="36"/>
      <c r="K255" s="36"/>
      <c r="L255" s="36"/>
      <c r="M255" s="36"/>
      <c r="N255" s="36"/>
      <c r="O255" s="36"/>
      <c r="P255" s="36"/>
      <c r="Q255" s="36"/>
      <c r="R255" s="36"/>
      <c r="S255" s="36"/>
      <c r="T255" s="36"/>
      <c r="U255" s="36"/>
      <c r="V255" s="36"/>
      <c r="W255" s="36"/>
      <c r="X255" s="36"/>
      <c r="Y255" s="36"/>
      <c r="Z255" s="36"/>
      <c r="AA255" s="36"/>
      <c r="AB255" s="36"/>
      <c r="AC255" s="36"/>
      <c r="AD255" s="36"/>
      <c r="AE255" s="36"/>
      <c r="AF255" s="36"/>
      <c r="AG255" s="36"/>
      <c r="AH255" s="36"/>
      <c r="AI255" s="36"/>
      <c r="AJ255" s="36"/>
      <c r="AK255" s="36"/>
      <c r="AL255" s="36"/>
      <c r="AM255" s="36"/>
      <c r="AN255" s="36"/>
      <c r="AO255" s="36"/>
      <c r="AP255" s="36"/>
      <c r="AQ255" s="36"/>
      <c r="AR255" s="36"/>
      <c r="AS255" s="36"/>
      <c r="AT255" s="36"/>
      <c r="AU255" s="36"/>
      <c r="AV255" s="36"/>
      <c r="AW255" s="36"/>
      <c r="AX255" s="36"/>
      <c r="AY255" s="36"/>
      <c r="AZ255" s="36"/>
      <c r="BA255" s="36"/>
      <c r="BB255" s="36"/>
    </row>
    <row r="256" spans="1:54" s="5" customFormat="1" x14ac:dyDescent="0.25">
      <c r="A256" s="34"/>
      <c r="B256" s="34"/>
      <c r="C256" s="34"/>
      <c r="D256" s="35"/>
      <c r="E256" s="35"/>
      <c r="F256" s="35"/>
      <c r="G256" s="35"/>
      <c r="H256" s="35"/>
      <c r="I256" s="35"/>
      <c r="J256" s="35"/>
      <c r="K256" s="35"/>
      <c r="L256" s="35"/>
      <c r="M256" s="35"/>
      <c r="N256" s="35"/>
      <c r="O256" s="35"/>
      <c r="P256" s="35"/>
      <c r="Q256" s="35"/>
      <c r="R256" s="35"/>
      <c r="S256" s="35"/>
      <c r="T256" s="35"/>
      <c r="U256" s="35"/>
      <c r="V256" s="35"/>
      <c r="W256" s="35"/>
      <c r="X256" s="35"/>
      <c r="Y256" s="35"/>
      <c r="Z256" s="35"/>
      <c r="AA256" s="35"/>
      <c r="AB256" s="35"/>
      <c r="AC256" s="35"/>
      <c r="AD256" s="35"/>
      <c r="AE256" s="35"/>
      <c r="AF256" s="35"/>
      <c r="AG256" s="35"/>
      <c r="AH256" s="35"/>
      <c r="AI256" s="35"/>
      <c r="AJ256" s="35"/>
      <c r="AK256" s="35"/>
      <c r="AL256" s="35"/>
      <c r="AM256" s="35"/>
      <c r="AN256" s="35"/>
      <c r="AO256" s="35"/>
      <c r="AP256" s="35"/>
      <c r="AQ256" s="35"/>
      <c r="AR256" s="35"/>
      <c r="AS256" s="35"/>
      <c r="AT256" s="35"/>
      <c r="AU256" s="35"/>
      <c r="AV256" s="35"/>
      <c r="AW256" s="35"/>
      <c r="AX256" s="35"/>
      <c r="AY256" s="35"/>
      <c r="AZ256" s="35"/>
      <c r="BA256" s="35"/>
      <c r="BB256" s="35"/>
    </row>
    <row r="257" spans="1:54" x14ac:dyDescent="0.25">
      <c r="A257" s="34"/>
      <c r="B257" s="32"/>
      <c r="C257" s="32"/>
      <c r="D257" s="36"/>
      <c r="E257" s="36"/>
      <c r="F257" s="36"/>
      <c r="G257" s="36"/>
      <c r="H257" s="36"/>
      <c r="I257" s="36"/>
      <c r="J257" s="36"/>
      <c r="K257" s="36"/>
      <c r="L257" s="36"/>
      <c r="M257" s="36"/>
      <c r="N257" s="36"/>
      <c r="O257" s="36"/>
      <c r="P257" s="36"/>
      <c r="Q257" s="36"/>
      <c r="R257" s="36"/>
      <c r="S257" s="36"/>
      <c r="T257" s="36"/>
      <c r="U257" s="36"/>
      <c r="V257" s="36"/>
      <c r="W257" s="36"/>
      <c r="X257" s="36"/>
      <c r="Y257" s="36"/>
      <c r="Z257" s="36"/>
      <c r="AA257" s="36"/>
      <c r="AB257" s="36"/>
      <c r="AC257" s="36"/>
      <c r="AD257" s="36"/>
      <c r="AE257" s="36"/>
      <c r="AF257" s="36"/>
      <c r="AG257" s="36"/>
      <c r="AH257" s="36"/>
      <c r="AI257" s="36"/>
      <c r="AJ257" s="36"/>
      <c r="AK257" s="36"/>
      <c r="AL257" s="36"/>
      <c r="AM257" s="36"/>
      <c r="AN257" s="36"/>
      <c r="AO257" s="36"/>
      <c r="AP257" s="36"/>
      <c r="AQ257" s="36"/>
      <c r="AR257" s="36"/>
      <c r="AS257" s="36"/>
      <c r="AT257" s="36"/>
      <c r="AU257" s="36"/>
      <c r="AV257" s="36"/>
      <c r="AW257" s="36"/>
      <c r="AX257" s="36"/>
      <c r="AY257" s="36"/>
      <c r="AZ257" s="36"/>
      <c r="BA257" s="36"/>
      <c r="BB257" s="36"/>
    </row>
    <row r="258" spans="1:54" x14ac:dyDescent="0.25">
      <c r="A258" s="34"/>
      <c r="B258" s="34"/>
      <c r="C258" s="34"/>
      <c r="D258" s="37"/>
      <c r="E258" s="37"/>
      <c r="F258" s="37"/>
      <c r="G258" s="35"/>
      <c r="H258" s="37"/>
      <c r="I258" s="37"/>
      <c r="J258" s="37"/>
      <c r="K258" s="35"/>
      <c r="L258" s="37"/>
      <c r="M258" s="35"/>
      <c r="N258" s="35"/>
      <c r="O258" s="35"/>
      <c r="P258" s="35"/>
      <c r="Q258" s="35"/>
      <c r="R258" s="35"/>
      <c r="S258" s="35"/>
      <c r="T258" s="35"/>
      <c r="U258" s="35"/>
      <c r="V258" s="35"/>
      <c r="W258" s="35"/>
      <c r="X258" s="35"/>
      <c r="Y258" s="35"/>
      <c r="Z258" s="35"/>
      <c r="AA258" s="35"/>
      <c r="AB258" s="35"/>
      <c r="AC258" s="35"/>
      <c r="AD258" s="35"/>
      <c r="AE258" s="35"/>
      <c r="AF258" s="37"/>
      <c r="AG258" s="35"/>
      <c r="AH258" s="35"/>
      <c r="AI258" s="35"/>
      <c r="AJ258" s="35"/>
      <c r="AK258" s="35"/>
      <c r="AL258" s="35"/>
      <c r="AM258" s="35"/>
      <c r="AN258" s="35"/>
      <c r="AO258" s="35"/>
      <c r="AP258" s="35"/>
      <c r="AQ258" s="35"/>
      <c r="AR258" s="35"/>
      <c r="AS258" s="35"/>
      <c r="AT258" s="35"/>
      <c r="AU258" s="35"/>
      <c r="AV258" s="35"/>
      <c r="AW258" s="35"/>
      <c r="AX258" s="35"/>
      <c r="AY258" s="35"/>
      <c r="AZ258" s="35"/>
      <c r="BA258" s="35"/>
      <c r="BB258" s="35"/>
    </row>
    <row r="259" spans="1:54" s="5" customFormat="1" x14ac:dyDescent="0.25">
      <c r="A259" s="32"/>
      <c r="B259" s="32"/>
      <c r="C259" s="32"/>
      <c r="D259" s="36"/>
      <c r="E259" s="36"/>
      <c r="F259" s="36"/>
      <c r="G259" s="36"/>
      <c r="H259" s="36"/>
      <c r="I259" s="36"/>
      <c r="J259" s="36"/>
      <c r="K259" s="36"/>
      <c r="L259" s="36"/>
      <c r="M259" s="36"/>
      <c r="N259" s="36"/>
      <c r="O259" s="36"/>
      <c r="P259" s="36"/>
      <c r="Q259" s="36"/>
      <c r="R259" s="36"/>
      <c r="S259" s="36"/>
      <c r="T259" s="36"/>
      <c r="U259" s="36"/>
      <c r="V259" s="36"/>
      <c r="W259" s="36"/>
      <c r="X259" s="36"/>
      <c r="Y259" s="36"/>
      <c r="Z259" s="36"/>
      <c r="AA259" s="36"/>
      <c r="AB259" s="36"/>
      <c r="AC259" s="36"/>
      <c r="AD259" s="36"/>
      <c r="AE259" s="36"/>
      <c r="AF259" s="36"/>
      <c r="AG259" s="36"/>
      <c r="AH259" s="36"/>
      <c r="AI259" s="36"/>
      <c r="AJ259" s="36"/>
      <c r="AK259" s="36"/>
      <c r="AL259" s="36"/>
      <c r="AM259" s="36"/>
      <c r="AN259" s="36"/>
      <c r="AO259" s="36"/>
      <c r="AP259" s="36"/>
      <c r="AQ259" s="36"/>
      <c r="AR259" s="36"/>
      <c r="AS259" s="36"/>
      <c r="AT259" s="36"/>
      <c r="AU259" s="36"/>
      <c r="AV259" s="36"/>
      <c r="AW259" s="36"/>
      <c r="AX259" s="36"/>
      <c r="AY259" s="36"/>
      <c r="AZ259" s="36"/>
      <c r="BA259" s="36"/>
      <c r="BB259" s="36"/>
    </row>
    <row r="260" spans="1:54" x14ac:dyDescent="0.25">
      <c r="A260" s="34"/>
      <c r="B260" s="34"/>
      <c r="C260" s="34"/>
      <c r="D260" s="35"/>
      <c r="E260" s="35"/>
      <c r="F260" s="35"/>
      <c r="G260" s="35"/>
      <c r="H260" s="35"/>
      <c r="I260" s="35"/>
      <c r="J260" s="35"/>
      <c r="K260" s="35"/>
      <c r="L260" s="35"/>
      <c r="M260" s="35"/>
      <c r="N260" s="35"/>
      <c r="O260" s="35"/>
      <c r="P260" s="35"/>
      <c r="Q260" s="35"/>
      <c r="R260" s="35"/>
      <c r="S260" s="35"/>
      <c r="T260" s="35"/>
      <c r="U260" s="35"/>
      <c r="V260" s="35"/>
      <c r="W260" s="35"/>
      <c r="X260" s="35"/>
      <c r="Y260" s="35"/>
      <c r="Z260" s="35"/>
      <c r="AA260" s="35"/>
      <c r="AB260" s="35"/>
      <c r="AC260" s="35"/>
      <c r="AD260" s="35"/>
      <c r="AE260" s="35"/>
      <c r="AF260" s="35"/>
      <c r="AG260" s="35"/>
      <c r="AH260" s="35"/>
      <c r="AI260" s="35"/>
      <c r="AJ260" s="35"/>
      <c r="AK260" s="35"/>
      <c r="AL260" s="35"/>
      <c r="AM260" s="35"/>
      <c r="AN260" s="35"/>
      <c r="AO260" s="35"/>
      <c r="AP260" s="35"/>
      <c r="AQ260" s="35"/>
      <c r="AR260" s="35"/>
      <c r="AS260" s="35"/>
      <c r="AT260" s="35"/>
      <c r="AU260" s="35"/>
      <c r="AV260" s="35"/>
      <c r="AW260" s="35"/>
      <c r="AX260" s="35"/>
      <c r="AY260" s="35"/>
      <c r="AZ260" s="35"/>
      <c r="BA260" s="35"/>
      <c r="BB260" s="35"/>
    </row>
    <row r="261" spans="1:54" s="5" customFormat="1" x14ac:dyDescent="0.25">
      <c r="A261" s="32"/>
      <c r="B261" s="32"/>
      <c r="C261" s="32"/>
      <c r="D261" s="36"/>
      <c r="E261" s="36"/>
      <c r="F261" s="36"/>
      <c r="G261" s="36"/>
      <c r="H261" s="36"/>
      <c r="I261" s="36"/>
      <c r="J261" s="36"/>
      <c r="K261" s="36"/>
      <c r="L261" s="36"/>
      <c r="M261" s="36"/>
      <c r="N261" s="36"/>
      <c r="O261" s="36"/>
      <c r="P261" s="36"/>
      <c r="Q261" s="36"/>
      <c r="R261" s="36"/>
      <c r="S261" s="36"/>
      <c r="T261" s="36"/>
      <c r="U261" s="36"/>
      <c r="V261" s="36"/>
      <c r="W261" s="36"/>
      <c r="X261" s="36"/>
      <c r="Y261" s="36"/>
      <c r="Z261" s="36"/>
      <c r="AA261" s="36"/>
      <c r="AB261" s="36"/>
      <c r="AC261" s="36"/>
      <c r="AD261" s="36"/>
      <c r="AE261" s="36"/>
      <c r="AF261" s="36"/>
      <c r="AG261" s="36"/>
      <c r="AH261" s="36"/>
      <c r="AI261" s="36"/>
      <c r="AJ261" s="36"/>
      <c r="AK261" s="36"/>
      <c r="AL261" s="36"/>
      <c r="AM261" s="36"/>
      <c r="AN261" s="36"/>
      <c r="AO261" s="36"/>
      <c r="AP261" s="36"/>
      <c r="AQ261" s="36"/>
      <c r="AR261" s="36"/>
      <c r="AS261" s="36"/>
      <c r="AT261" s="36"/>
      <c r="AU261" s="36"/>
      <c r="AV261" s="36"/>
      <c r="AW261" s="36"/>
      <c r="AX261" s="36"/>
      <c r="AY261" s="36"/>
      <c r="AZ261" s="36"/>
      <c r="BA261" s="36"/>
      <c r="BB261" s="36"/>
    </row>
    <row r="262" spans="1:54" x14ac:dyDescent="0.25">
      <c r="A262" s="34"/>
      <c r="B262" s="34"/>
      <c r="C262" s="34"/>
      <c r="D262" s="35"/>
      <c r="E262" s="35"/>
      <c r="F262" s="35"/>
      <c r="G262" s="35"/>
      <c r="H262" s="35"/>
      <c r="I262" s="35"/>
      <c r="J262" s="35"/>
      <c r="K262" s="35"/>
      <c r="L262" s="35"/>
      <c r="M262" s="35"/>
      <c r="N262" s="35"/>
      <c r="O262" s="35"/>
      <c r="P262" s="35"/>
      <c r="Q262" s="35"/>
      <c r="R262" s="35"/>
      <c r="S262" s="35"/>
      <c r="T262" s="35"/>
      <c r="U262" s="35"/>
      <c r="V262" s="35"/>
      <c r="W262" s="35"/>
      <c r="X262" s="35"/>
      <c r="Y262" s="35"/>
      <c r="Z262" s="35"/>
      <c r="AA262" s="35"/>
      <c r="AB262" s="35"/>
      <c r="AC262" s="35"/>
      <c r="AD262" s="35"/>
      <c r="AE262" s="35"/>
      <c r="AF262" s="35"/>
      <c r="AG262" s="35"/>
      <c r="AH262" s="35"/>
      <c r="AI262" s="35"/>
      <c r="AJ262" s="35"/>
      <c r="AK262" s="35"/>
      <c r="AL262" s="35"/>
      <c r="AM262" s="35"/>
      <c r="AN262" s="35"/>
      <c r="AO262" s="35"/>
      <c r="AP262" s="35"/>
      <c r="AQ262" s="35"/>
      <c r="AR262" s="35"/>
      <c r="AS262" s="35"/>
      <c r="AT262" s="35"/>
      <c r="AU262" s="35"/>
      <c r="AV262" s="35"/>
      <c r="AW262" s="35"/>
      <c r="AX262" s="35"/>
      <c r="AY262" s="35"/>
      <c r="AZ262" s="35"/>
      <c r="BA262" s="35"/>
      <c r="BB262" s="35"/>
    </row>
    <row r="263" spans="1:54" s="5" customFormat="1" x14ac:dyDescent="0.25">
      <c r="A263" s="32"/>
      <c r="B263" s="32"/>
      <c r="C263" s="32"/>
      <c r="D263" s="33"/>
      <c r="E263" s="33"/>
      <c r="F263" s="33"/>
      <c r="G263" s="33"/>
      <c r="H263" s="33"/>
      <c r="I263" s="33"/>
      <c r="J263" s="33"/>
      <c r="K263" s="33"/>
      <c r="L263" s="33"/>
      <c r="M263" s="33"/>
      <c r="N263" s="33"/>
      <c r="O263" s="33"/>
      <c r="P263" s="33"/>
      <c r="Q263" s="33"/>
      <c r="R263" s="33"/>
      <c r="S263" s="33"/>
      <c r="T263" s="36"/>
      <c r="U263" s="36"/>
      <c r="V263" s="36"/>
      <c r="W263" s="36"/>
      <c r="X263" s="36"/>
      <c r="Y263" s="36"/>
      <c r="Z263" s="36"/>
      <c r="AA263" s="36"/>
      <c r="AB263" s="36"/>
      <c r="AC263" s="36"/>
      <c r="AD263" s="36"/>
      <c r="AE263" s="36"/>
      <c r="AF263" s="36"/>
      <c r="AG263" s="36"/>
      <c r="AH263" s="36"/>
      <c r="AI263" s="36"/>
      <c r="AJ263" s="36"/>
      <c r="AK263" s="36"/>
      <c r="AL263" s="36"/>
      <c r="AM263" s="36"/>
      <c r="AN263" s="36"/>
      <c r="AO263" s="36"/>
      <c r="AP263" s="36"/>
      <c r="AQ263" s="36"/>
      <c r="AR263" s="36"/>
      <c r="AS263" s="36"/>
      <c r="AT263" s="36"/>
      <c r="AU263" s="36"/>
      <c r="AV263" s="36"/>
      <c r="AW263" s="36"/>
      <c r="AX263" s="36"/>
      <c r="AY263" s="36"/>
      <c r="AZ263" s="36"/>
      <c r="BA263" s="36"/>
      <c r="BB263" s="36"/>
    </row>
    <row r="264" spans="1:54" x14ac:dyDescent="0.25">
      <c r="A264" s="34"/>
      <c r="B264" s="34"/>
      <c r="C264" s="34"/>
      <c r="D264" s="35"/>
      <c r="E264" s="35"/>
      <c r="F264" s="35"/>
      <c r="G264" s="35"/>
      <c r="H264" s="35"/>
      <c r="I264" s="35"/>
      <c r="J264" s="35"/>
      <c r="K264" s="35"/>
      <c r="L264" s="35"/>
      <c r="M264" s="35"/>
      <c r="N264" s="35"/>
      <c r="O264" s="35"/>
      <c r="P264" s="35"/>
      <c r="Q264" s="35"/>
      <c r="R264" s="35"/>
      <c r="S264" s="35"/>
      <c r="T264" s="37"/>
      <c r="U264" s="37"/>
      <c r="V264" s="37"/>
      <c r="W264" s="37"/>
      <c r="X264" s="37"/>
      <c r="Y264" s="37"/>
      <c r="Z264" s="37"/>
      <c r="AA264" s="37"/>
      <c r="AB264" s="37"/>
      <c r="AC264" s="37"/>
      <c r="AD264" s="37"/>
      <c r="AE264" s="37"/>
      <c r="AF264" s="37"/>
      <c r="AG264" s="37"/>
      <c r="AH264" s="37"/>
      <c r="AI264" s="37"/>
      <c r="AJ264" s="37"/>
      <c r="AK264" s="37"/>
      <c r="AL264" s="37"/>
      <c r="AM264" s="37"/>
      <c r="AN264" s="37"/>
      <c r="AO264" s="37"/>
      <c r="AP264" s="37"/>
      <c r="AQ264" s="37"/>
      <c r="AR264" s="37"/>
      <c r="AS264" s="37"/>
      <c r="AT264" s="37"/>
      <c r="AU264" s="37"/>
      <c r="AV264" s="37"/>
      <c r="AW264" s="37"/>
      <c r="AX264" s="37"/>
      <c r="AY264" s="37"/>
      <c r="AZ264" s="37"/>
      <c r="BA264" s="37"/>
      <c r="BB264" s="37"/>
    </row>
    <row r="265" spans="1:54" s="5" customFormat="1" x14ac:dyDescent="0.25">
      <c r="A265" s="32"/>
      <c r="B265" s="32"/>
      <c r="C265" s="32"/>
      <c r="D265" s="33"/>
      <c r="E265" s="33"/>
      <c r="F265" s="33"/>
      <c r="G265" s="33"/>
      <c r="H265" s="33"/>
      <c r="I265" s="33"/>
      <c r="J265" s="33"/>
      <c r="K265" s="33"/>
      <c r="L265" s="33"/>
      <c r="M265" s="33"/>
      <c r="N265" s="33"/>
      <c r="O265" s="33"/>
      <c r="P265" s="33"/>
      <c r="Q265" s="33"/>
      <c r="R265" s="33"/>
      <c r="S265" s="33"/>
      <c r="T265" s="33"/>
      <c r="U265" s="33"/>
      <c r="V265" s="33"/>
      <c r="W265" s="33"/>
      <c r="X265" s="33"/>
      <c r="Y265" s="33"/>
      <c r="Z265" s="33"/>
      <c r="AA265" s="33"/>
      <c r="AB265" s="33"/>
      <c r="AC265" s="33"/>
      <c r="AD265" s="33"/>
      <c r="AE265" s="33"/>
      <c r="AF265" s="33"/>
      <c r="AG265" s="33"/>
      <c r="AH265" s="33"/>
      <c r="AI265" s="33"/>
      <c r="AJ265" s="33"/>
      <c r="AK265" s="33"/>
      <c r="AL265" s="33"/>
      <c r="AM265" s="33"/>
      <c r="AN265" s="33"/>
      <c r="AO265" s="33"/>
      <c r="AP265" s="33"/>
      <c r="AQ265" s="33"/>
      <c r="AR265" s="33"/>
      <c r="AS265" s="33"/>
      <c r="AT265" s="33"/>
      <c r="AU265" s="33"/>
      <c r="AV265" s="33"/>
      <c r="AW265" s="33"/>
      <c r="AX265" s="33"/>
      <c r="AY265" s="33"/>
      <c r="AZ265" s="33"/>
      <c r="BA265" s="33"/>
      <c r="BB265" s="33"/>
    </row>
    <row r="266" spans="1:54" x14ac:dyDescent="0.25">
      <c r="A266" s="34"/>
      <c r="B266" s="34"/>
      <c r="C266" s="34"/>
      <c r="D266" s="35"/>
      <c r="E266" s="35"/>
      <c r="F266" s="35"/>
      <c r="G266" s="35"/>
      <c r="H266" s="35"/>
      <c r="I266" s="35"/>
      <c r="J266" s="35"/>
      <c r="K266" s="35"/>
      <c r="L266" s="35"/>
      <c r="M266" s="35"/>
      <c r="N266" s="35"/>
      <c r="O266" s="35"/>
      <c r="P266" s="35"/>
      <c r="Q266" s="35"/>
      <c r="R266" s="35"/>
      <c r="S266" s="37"/>
      <c r="T266" s="35"/>
      <c r="U266" s="37"/>
      <c r="V266" s="37"/>
      <c r="W266" s="37"/>
      <c r="X266" s="37"/>
      <c r="Y266" s="37"/>
      <c r="Z266" s="37"/>
      <c r="AA266" s="37"/>
      <c r="AB266" s="37"/>
      <c r="AC266" s="37"/>
      <c r="AD266" s="37"/>
      <c r="AE266" s="37"/>
      <c r="AF266" s="37"/>
      <c r="AG266" s="37"/>
      <c r="AH266" s="37"/>
      <c r="AI266" s="37"/>
      <c r="AJ266" s="37"/>
      <c r="AK266" s="37"/>
      <c r="AL266" s="37"/>
      <c r="AM266" s="37"/>
      <c r="AN266" s="37"/>
      <c r="AO266" s="37"/>
      <c r="AP266" s="37"/>
      <c r="AQ266" s="37"/>
      <c r="AR266" s="37"/>
      <c r="AS266" s="37"/>
      <c r="AT266" s="37"/>
      <c r="AU266" s="37"/>
      <c r="AV266" s="37"/>
      <c r="AW266" s="37"/>
      <c r="AX266" s="37"/>
      <c r="AY266" s="35"/>
      <c r="AZ266" s="35"/>
      <c r="BA266" s="37"/>
      <c r="BB266" s="37"/>
    </row>
    <row r="267" spans="1:54" s="5" customFormat="1" x14ac:dyDescent="0.25">
      <c r="A267" s="32"/>
      <c r="B267" s="32"/>
      <c r="C267" s="32"/>
      <c r="D267" s="33"/>
      <c r="E267" s="33"/>
      <c r="F267" s="33"/>
      <c r="G267" s="33"/>
      <c r="H267" s="33"/>
      <c r="I267" s="33"/>
      <c r="J267" s="33"/>
      <c r="K267" s="33"/>
      <c r="L267" s="33"/>
      <c r="M267" s="33"/>
      <c r="N267" s="33"/>
      <c r="O267" s="33"/>
      <c r="P267" s="33"/>
      <c r="Q267" s="33"/>
      <c r="R267" s="33"/>
      <c r="S267" s="33"/>
      <c r="T267" s="33"/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F267" s="33"/>
      <c r="AG267" s="33"/>
      <c r="AH267" s="33"/>
      <c r="AI267" s="33"/>
      <c r="AJ267" s="33"/>
      <c r="AK267" s="33"/>
      <c r="AL267" s="33"/>
      <c r="AM267" s="33"/>
      <c r="AN267" s="33"/>
      <c r="AO267" s="33"/>
      <c r="AP267" s="33"/>
      <c r="AQ267" s="33"/>
      <c r="AR267" s="33"/>
      <c r="AS267" s="33"/>
      <c r="AT267" s="33"/>
      <c r="AU267" s="33"/>
      <c r="AV267" s="33"/>
      <c r="AW267" s="33"/>
      <c r="AX267" s="33"/>
      <c r="AY267" s="33"/>
      <c r="AZ267" s="33"/>
      <c r="BA267" s="33"/>
      <c r="BB267" s="33"/>
    </row>
    <row r="268" spans="1:54" x14ac:dyDescent="0.25">
      <c r="A268" s="34"/>
      <c r="B268" s="34"/>
      <c r="C268" s="34"/>
      <c r="D268" s="35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35"/>
      <c r="P268" s="35"/>
      <c r="Q268" s="35"/>
      <c r="R268" s="35"/>
      <c r="S268" s="35"/>
      <c r="T268" s="35"/>
      <c r="U268" s="37"/>
      <c r="V268" s="37"/>
      <c r="W268" s="37"/>
      <c r="X268" s="37"/>
      <c r="Y268" s="37"/>
      <c r="Z268" s="37"/>
      <c r="AA268" s="37"/>
      <c r="AB268" s="37"/>
      <c r="AC268" s="37"/>
      <c r="AD268" s="37"/>
      <c r="AE268" s="37"/>
      <c r="AF268" s="37"/>
      <c r="AG268" s="37"/>
      <c r="AH268" s="37"/>
      <c r="AI268" s="37"/>
      <c r="AJ268" s="37"/>
      <c r="AK268" s="37"/>
      <c r="AL268" s="37"/>
      <c r="AM268" s="37"/>
      <c r="AN268" s="37"/>
      <c r="AO268" s="37"/>
      <c r="AP268" s="37"/>
      <c r="AQ268" s="37"/>
      <c r="AR268" s="37"/>
      <c r="AS268" s="37"/>
      <c r="AT268" s="37"/>
      <c r="AU268" s="37"/>
      <c r="AV268" s="37"/>
      <c r="AW268" s="37"/>
      <c r="AX268" s="37"/>
      <c r="AY268" s="37"/>
      <c r="AZ268" s="37"/>
      <c r="BA268" s="37"/>
      <c r="BB268" s="37"/>
    </row>
    <row r="269" spans="1:54" s="5" customFormat="1" x14ac:dyDescent="0.25">
      <c r="A269" s="32"/>
      <c r="B269" s="32"/>
      <c r="C269" s="32"/>
      <c r="D269" s="33"/>
      <c r="E269" s="33"/>
      <c r="F269" s="33"/>
      <c r="G269" s="33"/>
      <c r="H269" s="33"/>
      <c r="I269" s="33"/>
      <c r="J269" s="33"/>
      <c r="K269" s="33"/>
      <c r="L269" s="33"/>
      <c r="M269" s="33"/>
      <c r="N269" s="33"/>
      <c r="O269" s="33"/>
      <c r="P269" s="33"/>
      <c r="Q269" s="33"/>
      <c r="R269" s="33"/>
      <c r="S269" s="33"/>
      <c r="T269" s="33"/>
      <c r="U269" s="33"/>
      <c r="V269" s="33"/>
      <c r="W269" s="33"/>
      <c r="X269" s="33"/>
      <c r="Y269" s="33"/>
      <c r="Z269" s="33"/>
      <c r="AA269" s="33"/>
      <c r="AB269" s="33"/>
      <c r="AC269" s="33"/>
      <c r="AD269" s="33"/>
      <c r="AE269" s="33"/>
      <c r="AF269" s="33"/>
      <c r="AG269" s="33"/>
      <c r="AH269" s="33"/>
      <c r="AI269" s="33"/>
      <c r="AJ269" s="33"/>
      <c r="AK269" s="33"/>
      <c r="AL269" s="33"/>
      <c r="AM269" s="33"/>
      <c r="AN269" s="33"/>
      <c r="AO269" s="33"/>
      <c r="AP269" s="33"/>
      <c r="AQ269" s="33"/>
      <c r="AR269" s="33"/>
      <c r="AS269" s="33"/>
      <c r="AT269" s="33"/>
      <c r="AU269" s="33"/>
      <c r="AV269" s="33"/>
      <c r="AW269" s="33"/>
      <c r="AX269" s="33"/>
      <c r="AY269" s="33"/>
      <c r="AZ269" s="33"/>
      <c r="BA269" s="33"/>
      <c r="BB269" s="33"/>
    </row>
    <row r="270" spans="1:54" x14ac:dyDescent="0.25">
      <c r="A270" s="34"/>
      <c r="B270" s="34"/>
      <c r="C270" s="34"/>
      <c r="D270" s="35"/>
      <c r="E270" s="35"/>
      <c r="F270" s="35"/>
      <c r="G270" s="35"/>
      <c r="H270" s="35"/>
      <c r="I270" s="35"/>
      <c r="J270" s="35"/>
      <c r="K270" s="35"/>
      <c r="L270" s="35"/>
      <c r="M270" s="35"/>
      <c r="N270" s="35"/>
      <c r="O270" s="35"/>
      <c r="P270" s="35"/>
      <c r="Q270" s="35"/>
      <c r="R270" s="35"/>
      <c r="S270" s="35"/>
      <c r="T270" s="35"/>
      <c r="U270" s="35"/>
      <c r="V270" s="35"/>
      <c r="W270" s="35"/>
      <c r="X270" s="35"/>
      <c r="Y270" s="35"/>
      <c r="Z270" s="35"/>
      <c r="AA270" s="35"/>
      <c r="AB270" s="35"/>
      <c r="AC270" s="37"/>
      <c r="AD270" s="37"/>
      <c r="AE270" s="37"/>
      <c r="AF270" s="37"/>
      <c r="AG270" s="37"/>
      <c r="AH270" s="35"/>
      <c r="AI270" s="37"/>
      <c r="AJ270" s="37"/>
      <c r="AK270" s="37"/>
      <c r="AL270" s="37"/>
      <c r="AM270" s="37"/>
      <c r="AN270" s="37"/>
      <c r="AO270" s="37"/>
      <c r="AP270" s="37"/>
      <c r="AQ270" s="37"/>
      <c r="AR270" s="37"/>
      <c r="AS270" s="37"/>
      <c r="AT270" s="37"/>
      <c r="AU270" s="37"/>
      <c r="AV270" s="37"/>
      <c r="AW270" s="37"/>
      <c r="AX270" s="37"/>
      <c r="AY270" s="37"/>
      <c r="AZ270" s="37"/>
      <c r="BA270" s="37"/>
      <c r="BB270" s="37"/>
    </row>
    <row r="271" spans="1:54" s="5" customFormat="1" x14ac:dyDescent="0.25">
      <c r="A271" s="32"/>
      <c r="B271" s="32"/>
      <c r="C271" s="32"/>
      <c r="D271" s="33"/>
      <c r="E271" s="33"/>
      <c r="F271" s="33"/>
      <c r="G271" s="33"/>
      <c r="H271" s="33"/>
      <c r="I271" s="33"/>
      <c r="J271" s="33"/>
      <c r="K271" s="33"/>
      <c r="L271" s="33"/>
      <c r="M271" s="33"/>
      <c r="N271" s="33"/>
      <c r="O271" s="33"/>
      <c r="P271" s="33"/>
      <c r="Q271" s="33"/>
      <c r="R271" s="33"/>
      <c r="S271" s="33"/>
      <c r="T271" s="33"/>
      <c r="U271" s="33"/>
      <c r="V271" s="33"/>
      <c r="W271" s="33"/>
      <c r="X271" s="33"/>
      <c r="Y271" s="33"/>
      <c r="Z271" s="33"/>
      <c r="AA271" s="33"/>
      <c r="AB271" s="36"/>
      <c r="AC271" s="36"/>
      <c r="AD271" s="36"/>
      <c r="AE271" s="36"/>
      <c r="AF271" s="36"/>
      <c r="AG271" s="36"/>
      <c r="AH271" s="36"/>
      <c r="AI271" s="36"/>
      <c r="AJ271" s="36"/>
      <c r="AK271" s="36"/>
      <c r="AL271" s="36"/>
      <c r="AM271" s="36"/>
      <c r="AN271" s="36"/>
      <c r="AO271" s="36"/>
      <c r="AP271" s="36"/>
      <c r="AQ271" s="36"/>
      <c r="AR271" s="36"/>
      <c r="AS271" s="36"/>
      <c r="AT271" s="36"/>
      <c r="AU271" s="36"/>
      <c r="AV271" s="36"/>
      <c r="AW271" s="36"/>
      <c r="AX271" s="36"/>
      <c r="AY271" s="36"/>
      <c r="AZ271" s="36"/>
      <c r="BA271" s="36"/>
      <c r="BB271" s="36"/>
    </row>
    <row r="272" spans="1:54" x14ac:dyDescent="0.25">
      <c r="A272" s="34"/>
      <c r="B272" s="34"/>
      <c r="C272" s="34"/>
      <c r="D272" s="37"/>
      <c r="E272" s="37"/>
      <c r="F272" s="37"/>
      <c r="G272" s="37"/>
      <c r="H272" s="37"/>
      <c r="I272" s="37"/>
      <c r="J272" s="37"/>
      <c r="K272" s="37"/>
      <c r="L272" s="37"/>
      <c r="M272" s="37"/>
      <c r="N272" s="37"/>
      <c r="O272" s="37"/>
      <c r="P272" s="37"/>
      <c r="Q272" s="37"/>
      <c r="R272" s="37"/>
      <c r="S272" s="37"/>
      <c r="T272" s="37"/>
      <c r="U272" s="37"/>
      <c r="V272" s="37"/>
      <c r="W272" s="37"/>
      <c r="X272" s="37"/>
      <c r="Y272" s="37"/>
      <c r="Z272" s="37"/>
      <c r="AA272" s="37"/>
      <c r="AB272" s="37"/>
      <c r="AC272" s="37"/>
      <c r="AD272" s="37"/>
      <c r="AE272" s="37"/>
      <c r="AF272" s="37"/>
      <c r="AG272" s="37"/>
      <c r="AH272" s="37"/>
      <c r="AI272" s="37"/>
      <c r="AJ272" s="37"/>
      <c r="AK272" s="37"/>
      <c r="AL272" s="37"/>
      <c r="AM272" s="37"/>
      <c r="AN272" s="37"/>
      <c r="AO272" s="37"/>
      <c r="AP272" s="37"/>
      <c r="AQ272" s="37"/>
      <c r="AR272" s="37"/>
      <c r="AS272" s="37"/>
      <c r="AT272" s="37"/>
      <c r="AU272" s="37"/>
      <c r="AV272" s="37"/>
      <c r="AW272" s="37"/>
      <c r="AX272" s="37"/>
      <c r="AY272" s="37"/>
      <c r="AZ272" s="37"/>
      <c r="BA272" s="37"/>
      <c r="BB272" s="37"/>
    </row>
    <row r="273" spans="1:54" s="5" customFormat="1" x14ac:dyDescent="0.25">
      <c r="A273" s="32"/>
      <c r="B273" s="32"/>
      <c r="C273" s="32"/>
      <c r="D273" s="33"/>
      <c r="E273" s="33"/>
      <c r="F273" s="33"/>
      <c r="G273" s="33"/>
      <c r="H273" s="33"/>
      <c r="I273" s="33"/>
      <c r="J273" s="33"/>
      <c r="K273" s="33"/>
      <c r="L273" s="33"/>
      <c r="M273" s="33"/>
      <c r="N273" s="33"/>
      <c r="O273" s="33"/>
      <c r="P273" s="33"/>
      <c r="Q273" s="33"/>
      <c r="R273" s="33"/>
      <c r="S273" s="33"/>
      <c r="T273" s="33"/>
      <c r="U273" s="33"/>
      <c r="V273" s="33"/>
      <c r="W273" s="33"/>
      <c r="X273" s="36"/>
      <c r="Y273" s="33"/>
      <c r="Z273" s="33"/>
      <c r="AA273" s="33"/>
      <c r="AB273" s="33"/>
      <c r="AC273" s="33"/>
      <c r="AD273" s="33"/>
      <c r="AE273" s="33"/>
      <c r="AF273" s="33"/>
      <c r="AG273" s="33"/>
      <c r="AH273" s="33"/>
      <c r="AI273" s="33"/>
      <c r="AJ273" s="33"/>
      <c r="AK273" s="33"/>
      <c r="AL273" s="33"/>
      <c r="AM273" s="33"/>
      <c r="AN273" s="33"/>
      <c r="AO273" s="33"/>
      <c r="AP273" s="33"/>
      <c r="AQ273" s="33"/>
      <c r="AR273" s="33"/>
      <c r="AS273" s="33"/>
      <c r="AT273" s="33"/>
      <c r="AU273" s="33"/>
      <c r="AV273" s="33"/>
      <c r="AW273" s="33"/>
      <c r="AX273" s="33"/>
      <c r="AY273" s="33"/>
      <c r="AZ273" s="33"/>
      <c r="BA273" s="33"/>
      <c r="BB273" s="33"/>
    </row>
    <row r="274" spans="1:54" x14ac:dyDescent="0.25">
      <c r="A274" s="34"/>
      <c r="B274" s="34"/>
      <c r="C274" s="34"/>
      <c r="D274" s="35"/>
      <c r="E274" s="35"/>
      <c r="F274" s="35"/>
      <c r="G274" s="35"/>
      <c r="H274" s="35"/>
      <c r="I274" s="35"/>
      <c r="J274" s="35"/>
      <c r="K274" s="35"/>
      <c r="L274" s="35"/>
      <c r="M274" s="35"/>
      <c r="N274" s="35"/>
      <c r="O274" s="35"/>
      <c r="P274" s="35"/>
      <c r="Q274" s="35"/>
      <c r="R274" s="35"/>
      <c r="S274" s="35"/>
      <c r="T274" s="35"/>
      <c r="U274" s="35"/>
      <c r="V274" s="35"/>
      <c r="W274" s="35"/>
      <c r="X274" s="35"/>
      <c r="Y274" s="35"/>
      <c r="Z274" s="35"/>
      <c r="AA274" s="35"/>
      <c r="AB274" s="35"/>
      <c r="AC274" s="35"/>
      <c r="AD274" s="35"/>
      <c r="AE274" s="35"/>
      <c r="AF274" s="35"/>
      <c r="AG274" s="35"/>
      <c r="AH274" s="35"/>
      <c r="AI274" s="35"/>
      <c r="AJ274" s="35"/>
      <c r="AK274" s="35"/>
      <c r="AL274" s="35"/>
      <c r="AM274" s="35"/>
      <c r="AN274" s="35"/>
      <c r="AO274" s="35"/>
      <c r="AP274" s="35"/>
      <c r="AQ274" s="35"/>
      <c r="AR274" s="35"/>
      <c r="AS274" s="35"/>
      <c r="AT274" s="35"/>
      <c r="AU274" s="35"/>
      <c r="AV274" s="35"/>
      <c r="AW274" s="35"/>
      <c r="AX274" s="35"/>
      <c r="AY274" s="35"/>
      <c r="AZ274" s="35"/>
      <c r="BA274" s="35"/>
      <c r="BB274" s="35"/>
    </row>
    <row r="275" spans="1:54" s="5" customFormat="1" x14ac:dyDescent="0.25">
      <c r="A275" s="32"/>
      <c r="B275" s="32"/>
      <c r="C275" s="32"/>
      <c r="D275" s="36"/>
      <c r="E275" s="36"/>
      <c r="F275" s="36"/>
      <c r="G275" s="36"/>
      <c r="H275" s="36"/>
      <c r="I275" s="36"/>
      <c r="J275" s="36"/>
      <c r="K275" s="36"/>
      <c r="L275" s="36"/>
      <c r="M275" s="36"/>
      <c r="N275" s="36"/>
      <c r="O275" s="36"/>
      <c r="P275" s="36"/>
      <c r="Q275" s="36"/>
      <c r="R275" s="36"/>
      <c r="S275" s="36"/>
      <c r="T275" s="36"/>
      <c r="U275" s="36"/>
      <c r="V275" s="36"/>
      <c r="W275" s="36"/>
      <c r="X275" s="36"/>
      <c r="Y275" s="36"/>
      <c r="Z275" s="36"/>
      <c r="AA275" s="36"/>
      <c r="AB275" s="36"/>
      <c r="AC275" s="36"/>
      <c r="AD275" s="36"/>
      <c r="AE275" s="36"/>
      <c r="AF275" s="36"/>
      <c r="AG275" s="36"/>
      <c r="AH275" s="36"/>
      <c r="AI275" s="36"/>
      <c r="AJ275" s="36"/>
      <c r="AK275" s="36"/>
      <c r="AL275" s="36"/>
      <c r="AM275" s="36"/>
      <c r="AN275" s="36"/>
      <c r="AO275" s="36"/>
      <c r="AP275" s="36"/>
      <c r="AQ275" s="36"/>
      <c r="AR275" s="36"/>
      <c r="AS275" s="36"/>
      <c r="AT275" s="36"/>
      <c r="AU275" s="36"/>
      <c r="AV275" s="36"/>
      <c r="AW275" s="36"/>
      <c r="AX275" s="36"/>
      <c r="AY275" s="36"/>
      <c r="AZ275" s="36"/>
      <c r="BA275" s="36"/>
      <c r="BB275" s="36"/>
    </row>
    <row r="276" spans="1:54" x14ac:dyDescent="0.25">
      <c r="A276" s="34"/>
      <c r="B276" s="34"/>
      <c r="C276" s="34"/>
      <c r="D276" s="35"/>
      <c r="E276" s="35"/>
      <c r="F276" s="35"/>
      <c r="G276" s="35"/>
      <c r="H276" s="35"/>
      <c r="I276" s="35"/>
      <c r="J276" s="35"/>
      <c r="K276" s="35"/>
      <c r="L276" s="35"/>
      <c r="M276" s="35"/>
      <c r="N276" s="35"/>
      <c r="O276" s="35"/>
      <c r="P276" s="35"/>
      <c r="Q276" s="35"/>
      <c r="R276" s="35"/>
      <c r="S276" s="35"/>
      <c r="T276" s="35"/>
      <c r="U276" s="35"/>
      <c r="V276" s="35"/>
      <c r="W276" s="35"/>
      <c r="X276" s="35"/>
      <c r="Y276" s="35"/>
      <c r="Z276" s="35"/>
      <c r="AA276" s="35"/>
      <c r="AB276" s="35"/>
      <c r="AC276" s="35"/>
      <c r="AD276" s="35"/>
      <c r="AE276" s="35"/>
      <c r="AF276" s="35"/>
      <c r="AG276" s="35"/>
      <c r="AH276" s="35"/>
      <c r="AI276" s="35"/>
      <c r="AJ276" s="35"/>
      <c r="AK276" s="35"/>
      <c r="AL276" s="35"/>
      <c r="AM276" s="35"/>
      <c r="AN276" s="35"/>
      <c r="AO276" s="35"/>
      <c r="AP276" s="35"/>
      <c r="AQ276" s="35"/>
      <c r="AR276" s="35"/>
      <c r="AS276" s="35"/>
      <c r="AT276" s="35"/>
      <c r="AU276" s="35"/>
      <c r="AV276" s="35"/>
      <c r="AW276" s="35"/>
      <c r="AX276" s="35"/>
      <c r="AY276" s="35"/>
      <c r="AZ276" s="35"/>
      <c r="BA276" s="35"/>
      <c r="BB276" s="35"/>
    </row>
    <row r="277" spans="1:54" s="5" customFormat="1" x14ac:dyDescent="0.25">
      <c r="A277" s="32"/>
      <c r="B277" s="32"/>
      <c r="C277" s="32"/>
      <c r="D277" s="33"/>
      <c r="E277" s="33"/>
      <c r="F277" s="33"/>
      <c r="G277" s="33"/>
      <c r="H277" s="33"/>
      <c r="I277" s="33"/>
      <c r="J277" s="33"/>
      <c r="K277" s="33"/>
      <c r="L277" s="33"/>
      <c r="M277" s="33"/>
      <c r="N277" s="33"/>
      <c r="O277" s="33"/>
      <c r="P277" s="33"/>
      <c r="Q277" s="33"/>
      <c r="R277" s="33"/>
      <c r="S277" s="33"/>
      <c r="T277" s="33"/>
      <c r="U277" s="33"/>
      <c r="V277" s="33"/>
      <c r="W277" s="33"/>
      <c r="X277" s="33"/>
      <c r="Y277" s="33"/>
      <c r="Z277" s="33"/>
      <c r="AA277" s="33"/>
      <c r="AB277" s="33"/>
      <c r="AC277" s="33"/>
      <c r="AD277" s="33"/>
      <c r="AE277" s="33"/>
      <c r="AF277" s="33"/>
      <c r="AG277" s="33"/>
      <c r="AH277" s="33"/>
      <c r="AI277" s="33"/>
      <c r="AJ277" s="33"/>
      <c r="AK277" s="33"/>
      <c r="AL277" s="33"/>
      <c r="AM277" s="33"/>
      <c r="AN277" s="33"/>
      <c r="AO277" s="33"/>
      <c r="AP277" s="33"/>
      <c r="AQ277" s="33"/>
      <c r="AR277" s="33"/>
      <c r="AS277" s="33"/>
      <c r="AT277" s="33"/>
      <c r="AU277" s="33"/>
      <c r="AV277" s="33"/>
      <c r="AW277" s="33"/>
      <c r="AX277" s="33"/>
      <c r="AY277" s="33"/>
      <c r="AZ277" s="33"/>
      <c r="BA277" s="33"/>
      <c r="BB277" s="33"/>
    </row>
    <row r="278" spans="1:54" x14ac:dyDescent="0.25">
      <c r="A278" s="34"/>
      <c r="B278" s="34"/>
      <c r="C278" s="34"/>
      <c r="D278" s="35"/>
      <c r="E278" s="35"/>
      <c r="F278" s="35"/>
      <c r="G278" s="35"/>
      <c r="H278" s="35"/>
      <c r="I278" s="35"/>
      <c r="J278" s="35"/>
      <c r="K278" s="35"/>
      <c r="L278" s="35"/>
      <c r="M278" s="35"/>
      <c r="N278" s="35"/>
      <c r="O278" s="35"/>
      <c r="P278" s="35"/>
      <c r="Q278" s="35"/>
      <c r="R278" s="35"/>
      <c r="S278" s="35"/>
      <c r="T278" s="35"/>
      <c r="U278" s="35"/>
      <c r="V278" s="35"/>
      <c r="W278" s="35"/>
      <c r="X278" s="35"/>
      <c r="Y278" s="35"/>
      <c r="Z278" s="35"/>
      <c r="AA278" s="35"/>
      <c r="AB278" s="35"/>
      <c r="AC278" s="35"/>
      <c r="AD278" s="35"/>
      <c r="AE278" s="35"/>
      <c r="AF278" s="35"/>
      <c r="AG278" s="35"/>
      <c r="AH278" s="35"/>
      <c r="AI278" s="35"/>
      <c r="AJ278" s="35"/>
      <c r="AK278" s="35"/>
      <c r="AL278" s="35"/>
      <c r="AM278" s="35"/>
      <c r="AN278" s="35"/>
      <c r="AO278" s="35"/>
      <c r="AP278" s="35"/>
      <c r="AQ278" s="35"/>
      <c r="AR278" s="35"/>
      <c r="AS278" s="35"/>
      <c r="AT278" s="35"/>
      <c r="AU278" s="35"/>
      <c r="AV278" s="35"/>
      <c r="AW278" s="35"/>
      <c r="AX278" s="35"/>
      <c r="AY278" s="35"/>
      <c r="AZ278" s="35"/>
      <c r="BA278" s="35"/>
      <c r="BB278" s="35"/>
    </row>
    <row r="279" spans="1:54" x14ac:dyDescent="0.25">
      <c r="A279" s="34"/>
      <c r="B279" s="34"/>
      <c r="C279" s="34"/>
      <c r="D279" s="35"/>
      <c r="E279" s="35"/>
      <c r="F279" s="35"/>
      <c r="G279" s="35"/>
      <c r="H279" s="35"/>
      <c r="I279" s="35"/>
      <c r="J279" s="35"/>
      <c r="K279" s="35"/>
      <c r="L279" s="35"/>
      <c r="M279" s="35"/>
      <c r="N279" s="35"/>
      <c r="O279" s="35"/>
      <c r="P279" s="35"/>
      <c r="Q279" s="35"/>
      <c r="R279" s="35"/>
      <c r="S279" s="35"/>
      <c r="T279" s="35"/>
      <c r="U279" s="35"/>
      <c r="V279" s="35"/>
      <c r="W279" s="35"/>
      <c r="X279" s="35"/>
      <c r="Y279" s="35"/>
      <c r="Z279" s="35"/>
      <c r="AA279" s="35"/>
      <c r="AB279" s="35"/>
      <c r="AC279" s="35"/>
      <c r="AD279" s="37"/>
      <c r="AE279" s="37"/>
      <c r="AF279" s="37"/>
      <c r="AG279" s="37"/>
      <c r="AH279" s="37"/>
      <c r="AI279" s="37"/>
      <c r="AJ279" s="37"/>
      <c r="AK279" s="37"/>
      <c r="AL279" s="37"/>
      <c r="AM279" s="37"/>
      <c r="AN279" s="37"/>
      <c r="AO279" s="37"/>
      <c r="AP279" s="37"/>
      <c r="AQ279" s="37"/>
      <c r="AR279" s="37"/>
      <c r="AS279" s="37"/>
      <c r="AT279" s="37"/>
      <c r="AU279" s="37"/>
      <c r="AV279" s="37"/>
      <c r="AW279" s="37"/>
      <c r="AX279" s="37"/>
      <c r="AY279" s="37"/>
      <c r="AZ279" s="37"/>
      <c r="BA279" s="37"/>
      <c r="BB279" s="37"/>
    </row>
    <row r="280" spans="1:54" s="5" customFormat="1" x14ac:dyDescent="0.25">
      <c r="A280" s="34"/>
      <c r="B280" s="32"/>
      <c r="C280" s="32"/>
      <c r="D280" s="33"/>
      <c r="E280" s="33"/>
      <c r="F280" s="33"/>
      <c r="G280" s="33"/>
      <c r="H280" s="33"/>
      <c r="I280" s="33"/>
      <c r="J280" s="33"/>
      <c r="K280" s="33"/>
      <c r="L280" s="33"/>
      <c r="M280" s="33"/>
      <c r="N280" s="33"/>
      <c r="O280" s="33"/>
      <c r="P280" s="33"/>
      <c r="Q280" s="33"/>
      <c r="R280" s="33"/>
      <c r="S280" s="33"/>
      <c r="T280" s="33"/>
      <c r="U280" s="33"/>
      <c r="V280" s="33"/>
      <c r="W280" s="33"/>
      <c r="X280" s="33"/>
      <c r="Y280" s="33"/>
      <c r="Z280" s="33"/>
      <c r="AA280" s="33"/>
      <c r="AB280" s="33"/>
      <c r="AC280" s="33"/>
      <c r="AD280" s="33"/>
      <c r="AE280" s="33"/>
      <c r="AF280" s="33"/>
      <c r="AG280" s="33"/>
      <c r="AH280" s="33"/>
      <c r="AI280" s="33"/>
      <c r="AJ280" s="33"/>
      <c r="AK280" s="33"/>
      <c r="AL280" s="33"/>
      <c r="AM280" s="33"/>
      <c r="AN280" s="33"/>
      <c r="AO280" s="33"/>
      <c r="AP280" s="33"/>
      <c r="AQ280" s="33"/>
      <c r="AR280" s="33"/>
      <c r="AS280" s="33"/>
      <c r="AT280" s="33"/>
      <c r="AU280" s="33"/>
      <c r="AV280" s="33"/>
      <c r="AW280" s="33"/>
      <c r="AX280" s="33"/>
      <c r="AY280" s="33"/>
      <c r="AZ280" s="33"/>
      <c r="BA280" s="33"/>
      <c r="BB280" s="33"/>
    </row>
    <row r="281" spans="1:54" x14ac:dyDescent="0.25">
      <c r="A281" s="34"/>
      <c r="B281" s="34"/>
      <c r="C281" s="34"/>
      <c r="D281" s="35"/>
      <c r="E281" s="35"/>
      <c r="F281" s="35"/>
      <c r="G281" s="35"/>
      <c r="H281" s="35"/>
      <c r="I281" s="35"/>
      <c r="J281" s="35"/>
      <c r="K281" s="35"/>
      <c r="L281" s="35"/>
      <c r="M281" s="35"/>
      <c r="N281" s="35"/>
      <c r="O281" s="35"/>
      <c r="P281" s="35"/>
      <c r="Q281" s="35"/>
      <c r="R281" s="35"/>
      <c r="S281" s="35"/>
      <c r="T281" s="35"/>
      <c r="U281" s="35"/>
      <c r="V281" s="35"/>
      <c r="W281" s="35"/>
      <c r="X281" s="35"/>
      <c r="Y281" s="35"/>
      <c r="Z281" s="35"/>
      <c r="AA281" s="35"/>
      <c r="AB281" s="35"/>
      <c r="AC281" s="35"/>
      <c r="AD281" s="35"/>
      <c r="AE281" s="35"/>
      <c r="AF281" s="35"/>
      <c r="AG281" s="35"/>
      <c r="AH281" s="35"/>
      <c r="AI281" s="35"/>
      <c r="AJ281" s="35"/>
      <c r="AK281" s="35"/>
      <c r="AL281" s="37"/>
      <c r="AM281" s="37"/>
      <c r="AN281" s="37"/>
      <c r="AO281" s="37"/>
      <c r="AP281" s="37"/>
      <c r="AQ281" s="37"/>
      <c r="AR281" s="37"/>
      <c r="AS281" s="37"/>
      <c r="AT281" s="37"/>
      <c r="AU281" s="37"/>
      <c r="AV281" s="37"/>
      <c r="AW281" s="37"/>
      <c r="AX281" s="37"/>
      <c r="AY281" s="37"/>
      <c r="AZ281" s="37"/>
      <c r="BA281" s="37"/>
      <c r="BB281" s="37"/>
    </row>
    <row r="282" spans="1:54" s="5" customFormat="1" x14ac:dyDescent="0.25">
      <c r="A282" s="32"/>
      <c r="B282" s="32"/>
      <c r="C282" s="32"/>
      <c r="D282" s="33"/>
      <c r="E282" s="33"/>
      <c r="F282" s="33"/>
      <c r="G282" s="33"/>
      <c r="H282" s="33"/>
      <c r="I282" s="33"/>
      <c r="J282" s="33"/>
      <c r="K282" s="33"/>
      <c r="L282" s="33"/>
      <c r="M282" s="33"/>
      <c r="N282" s="33"/>
      <c r="O282" s="33"/>
      <c r="P282" s="33"/>
      <c r="Q282" s="33"/>
      <c r="R282" s="33"/>
      <c r="S282" s="33"/>
      <c r="T282" s="33"/>
      <c r="U282" s="33"/>
      <c r="V282" s="33"/>
      <c r="W282" s="33"/>
      <c r="X282" s="33"/>
      <c r="Y282" s="33"/>
      <c r="Z282" s="33"/>
      <c r="AA282" s="33"/>
      <c r="AB282" s="33"/>
      <c r="AC282" s="33"/>
      <c r="AD282" s="33"/>
      <c r="AE282" s="33"/>
      <c r="AF282" s="33"/>
      <c r="AG282" s="33"/>
      <c r="AH282" s="33"/>
      <c r="AI282" s="33"/>
      <c r="AJ282" s="33"/>
      <c r="AK282" s="33"/>
      <c r="AL282" s="33"/>
      <c r="AM282" s="33"/>
      <c r="AN282" s="33"/>
      <c r="AO282" s="33"/>
      <c r="AP282" s="33"/>
      <c r="AQ282" s="33"/>
      <c r="AR282" s="33"/>
      <c r="AS282" s="33"/>
      <c r="AT282" s="33"/>
      <c r="AU282" s="33"/>
      <c r="AV282" s="33"/>
      <c r="AW282" s="33"/>
      <c r="AX282" s="33"/>
      <c r="AY282" s="33"/>
      <c r="AZ282" s="33"/>
      <c r="BA282" s="33"/>
      <c r="BB282" s="33"/>
    </row>
    <row r="283" spans="1:54" x14ac:dyDescent="0.25">
      <c r="A283" s="34"/>
      <c r="B283" s="34"/>
      <c r="C283" s="34"/>
      <c r="D283" s="35"/>
      <c r="E283" s="35"/>
      <c r="F283" s="35"/>
      <c r="G283" s="35"/>
      <c r="H283" s="35"/>
      <c r="I283" s="35"/>
      <c r="J283" s="35"/>
      <c r="K283" s="37"/>
      <c r="L283" s="37"/>
      <c r="M283" s="37"/>
      <c r="N283" s="37"/>
      <c r="O283" s="37"/>
      <c r="P283" s="37"/>
      <c r="Q283" s="37"/>
      <c r="R283" s="37"/>
      <c r="S283" s="37"/>
      <c r="T283" s="37"/>
      <c r="U283" s="37"/>
      <c r="V283" s="37"/>
      <c r="W283" s="37"/>
      <c r="X283" s="37"/>
      <c r="Y283" s="37"/>
      <c r="Z283" s="37"/>
      <c r="AA283" s="37"/>
      <c r="AB283" s="37"/>
      <c r="AC283" s="37"/>
      <c r="AD283" s="37"/>
      <c r="AE283" s="37"/>
      <c r="AF283" s="37"/>
      <c r="AG283" s="37"/>
      <c r="AH283" s="37"/>
      <c r="AI283" s="37"/>
      <c r="AJ283" s="37"/>
      <c r="AK283" s="37"/>
      <c r="AL283" s="37"/>
      <c r="AM283" s="37"/>
      <c r="AN283" s="37"/>
      <c r="AO283" s="37"/>
      <c r="AP283" s="37"/>
      <c r="AQ283" s="37"/>
      <c r="AR283" s="37"/>
      <c r="AS283" s="37"/>
      <c r="AT283" s="37"/>
      <c r="AU283" s="37"/>
      <c r="AV283" s="37"/>
      <c r="AW283" s="37"/>
      <c r="AX283" s="37"/>
      <c r="AY283" s="37"/>
      <c r="AZ283" s="37"/>
      <c r="BA283" s="37"/>
      <c r="BB283" s="37"/>
    </row>
    <row r="284" spans="1:54" s="5" customFormat="1" x14ac:dyDescent="0.25">
      <c r="A284" s="32"/>
      <c r="B284" s="32"/>
      <c r="C284" s="32"/>
      <c r="D284" s="33"/>
      <c r="E284" s="33"/>
      <c r="F284" s="33"/>
      <c r="G284" s="33"/>
      <c r="H284" s="33"/>
      <c r="I284" s="33"/>
      <c r="J284" s="33"/>
      <c r="K284" s="33"/>
      <c r="L284" s="33"/>
      <c r="M284" s="33"/>
      <c r="N284" s="33"/>
      <c r="O284" s="33"/>
      <c r="P284" s="33"/>
      <c r="Q284" s="33"/>
      <c r="R284" s="33"/>
      <c r="S284" s="33"/>
      <c r="T284" s="33"/>
      <c r="U284" s="33"/>
      <c r="V284" s="33"/>
      <c r="W284" s="33"/>
      <c r="X284" s="33"/>
      <c r="Y284" s="33"/>
      <c r="Z284" s="33"/>
      <c r="AA284" s="33"/>
      <c r="AB284" s="33"/>
      <c r="AC284" s="33"/>
      <c r="AD284" s="33"/>
      <c r="AE284" s="33"/>
      <c r="AF284" s="33"/>
      <c r="AG284" s="33"/>
      <c r="AH284" s="33"/>
      <c r="AI284" s="33"/>
      <c r="AJ284" s="33"/>
      <c r="AK284" s="33"/>
      <c r="AL284" s="33"/>
      <c r="AM284" s="33"/>
      <c r="AN284" s="33"/>
      <c r="AO284" s="33"/>
      <c r="AP284" s="33"/>
      <c r="AQ284" s="33"/>
      <c r="AR284" s="33"/>
      <c r="AS284" s="33"/>
      <c r="AT284" s="33"/>
      <c r="AU284" s="33"/>
      <c r="AV284" s="33"/>
      <c r="AW284" s="33"/>
      <c r="AX284" s="33"/>
      <c r="AY284" s="33"/>
      <c r="AZ284" s="33"/>
      <c r="BA284" s="33"/>
      <c r="BB284" s="33"/>
    </row>
    <row r="285" spans="1:54" x14ac:dyDescent="0.25">
      <c r="A285" s="34"/>
      <c r="B285" s="34"/>
      <c r="C285" s="34"/>
      <c r="D285" s="35"/>
      <c r="E285" s="35"/>
      <c r="F285" s="37"/>
      <c r="G285" s="35"/>
      <c r="H285" s="35"/>
      <c r="I285" s="35"/>
      <c r="J285" s="35"/>
      <c r="K285" s="37"/>
      <c r="L285" s="37"/>
      <c r="M285" s="37"/>
      <c r="N285" s="37"/>
      <c r="O285" s="37"/>
      <c r="P285" s="37"/>
      <c r="Q285" s="37"/>
      <c r="R285" s="37"/>
      <c r="S285" s="37"/>
      <c r="T285" s="37"/>
      <c r="U285" s="37"/>
      <c r="V285" s="37"/>
      <c r="W285" s="37"/>
      <c r="X285" s="37"/>
      <c r="Y285" s="37"/>
      <c r="Z285" s="37"/>
      <c r="AA285" s="37"/>
      <c r="AB285" s="37"/>
      <c r="AC285" s="37"/>
      <c r="AD285" s="37"/>
      <c r="AE285" s="37"/>
      <c r="AF285" s="37"/>
      <c r="AG285" s="37"/>
      <c r="AH285" s="37"/>
      <c r="AI285" s="37"/>
      <c r="AJ285" s="37"/>
      <c r="AK285" s="37"/>
      <c r="AL285" s="37"/>
      <c r="AM285" s="37"/>
      <c r="AN285" s="37"/>
      <c r="AO285" s="37"/>
      <c r="AP285" s="37"/>
      <c r="AQ285" s="37"/>
      <c r="AR285" s="37"/>
      <c r="AS285" s="37"/>
      <c r="AT285" s="37"/>
      <c r="AU285" s="37"/>
      <c r="AV285" s="37"/>
      <c r="AW285" s="37"/>
      <c r="AX285" s="37"/>
      <c r="AY285" s="37"/>
      <c r="AZ285" s="37"/>
      <c r="BA285" s="37"/>
      <c r="BB285" s="37"/>
    </row>
    <row r="286" spans="1:54" s="5" customFormat="1" x14ac:dyDescent="0.25">
      <c r="A286" s="32"/>
      <c r="B286" s="32"/>
      <c r="C286" s="32"/>
      <c r="D286" s="36"/>
      <c r="E286" s="36"/>
      <c r="F286" s="36"/>
      <c r="G286" s="36"/>
      <c r="H286" s="36"/>
      <c r="I286" s="36"/>
      <c r="J286" s="36"/>
      <c r="K286" s="36"/>
      <c r="L286" s="36"/>
      <c r="M286" s="36"/>
      <c r="N286" s="36"/>
      <c r="O286" s="36"/>
      <c r="P286" s="36"/>
      <c r="Q286" s="36"/>
      <c r="R286" s="36"/>
      <c r="S286" s="36"/>
      <c r="T286" s="36"/>
      <c r="U286" s="36"/>
      <c r="V286" s="36"/>
      <c r="W286" s="36"/>
      <c r="X286" s="36"/>
      <c r="Y286" s="36"/>
      <c r="Z286" s="36"/>
      <c r="AA286" s="36"/>
      <c r="AB286" s="36"/>
      <c r="AC286" s="36"/>
      <c r="AD286" s="36"/>
      <c r="AE286" s="36"/>
      <c r="AF286" s="36"/>
      <c r="AG286" s="36"/>
      <c r="AH286" s="36"/>
      <c r="AI286" s="36"/>
      <c r="AJ286" s="36"/>
      <c r="AK286" s="36"/>
      <c r="AL286" s="36"/>
      <c r="AM286" s="36"/>
      <c r="AN286" s="36"/>
      <c r="AO286" s="36"/>
      <c r="AP286" s="36"/>
      <c r="AQ286" s="36"/>
      <c r="AR286" s="36"/>
      <c r="AS286" s="36"/>
      <c r="AT286" s="36"/>
      <c r="AU286" s="36"/>
      <c r="AV286" s="36"/>
      <c r="AW286" s="36"/>
      <c r="AX286" s="36"/>
      <c r="AY286" s="36"/>
      <c r="AZ286" s="36"/>
      <c r="BA286" s="36"/>
      <c r="BB286" s="36"/>
    </row>
    <row r="287" spans="1:54" x14ac:dyDescent="0.25">
      <c r="A287" s="34"/>
      <c r="B287" s="34"/>
      <c r="C287" s="34"/>
      <c r="D287" s="35"/>
      <c r="E287" s="35"/>
      <c r="F287" s="35"/>
      <c r="G287" s="35"/>
      <c r="H287" s="35"/>
      <c r="I287" s="35"/>
      <c r="J287" s="35"/>
      <c r="K287" s="35"/>
      <c r="L287" s="35"/>
      <c r="M287" s="35"/>
      <c r="N287" s="35"/>
      <c r="O287" s="35"/>
      <c r="P287" s="37"/>
      <c r="Q287" s="37"/>
      <c r="R287" s="37"/>
      <c r="S287" s="37"/>
      <c r="T287" s="37"/>
      <c r="U287" s="37"/>
      <c r="V287" s="35"/>
      <c r="W287" s="37"/>
      <c r="X287" s="37"/>
      <c r="Y287" s="35"/>
      <c r="Z287" s="37"/>
      <c r="AA287" s="37"/>
      <c r="AB287" s="37"/>
      <c r="AC287" s="37"/>
      <c r="AD287" s="37"/>
      <c r="AE287" s="37"/>
      <c r="AF287" s="37"/>
      <c r="AG287" s="37"/>
      <c r="AH287" s="37"/>
      <c r="AI287" s="37"/>
      <c r="AJ287" s="35"/>
      <c r="AK287" s="37"/>
      <c r="AL287" s="37"/>
      <c r="AM287" s="37"/>
      <c r="AN287" s="37"/>
      <c r="AO287" s="37"/>
      <c r="AP287" s="37"/>
      <c r="AQ287" s="37"/>
      <c r="AR287" s="37"/>
      <c r="AS287" s="37"/>
      <c r="AT287" s="37"/>
      <c r="AU287" s="37"/>
      <c r="AV287" s="37"/>
      <c r="AW287" s="37"/>
      <c r="AX287" s="37"/>
      <c r="AY287" s="37"/>
      <c r="AZ287" s="37"/>
      <c r="BA287" s="37"/>
      <c r="BB287" s="37"/>
    </row>
    <row r="288" spans="1:54" s="5" customFormat="1" x14ac:dyDescent="0.25">
      <c r="A288" s="32"/>
      <c r="B288" s="32"/>
      <c r="C288" s="32"/>
      <c r="D288" s="33"/>
      <c r="E288" s="33"/>
      <c r="F288" s="33"/>
      <c r="G288" s="33"/>
      <c r="H288" s="36"/>
      <c r="I288" s="36"/>
      <c r="J288" s="36"/>
      <c r="K288" s="33"/>
      <c r="L288" s="33"/>
      <c r="M288" s="33"/>
      <c r="N288" s="33"/>
      <c r="O288" s="33"/>
      <c r="P288" s="33"/>
      <c r="Q288" s="33"/>
      <c r="R288" s="33"/>
      <c r="S288" s="33"/>
      <c r="T288" s="33"/>
      <c r="U288" s="33"/>
      <c r="V288" s="33"/>
      <c r="W288" s="33"/>
      <c r="X288" s="33"/>
      <c r="Y288" s="33"/>
      <c r="Z288" s="33"/>
      <c r="AA288" s="33"/>
      <c r="AB288" s="33"/>
      <c r="AC288" s="33"/>
      <c r="AD288" s="33"/>
      <c r="AE288" s="33"/>
      <c r="AF288" s="33"/>
      <c r="AG288" s="33"/>
      <c r="AH288" s="33"/>
      <c r="AI288" s="33"/>
      <c r="AJ288" s="33"/>
      <c r="AK288" s="33"/>
      <c r="AL288" s="33"/>
      <c r="AM288" s="33"/>
      <c r="AN288" s="33"/>
      <c r="AO288" s="33"/>
      <c r="AP288" s="33"/>
      <c r="AQ288" s="33"/>
      <c r="AR288" s="33"/>
      <c r="AS288" s="33"/>
      <c r="AT288" s="33"/>
      <c r="AU288" s="33"/>
      <c r="AV288" s="33"/>
      <c r="AW288" s="33"/>
      <c r="AX288" s="33"/>
      <c r="AY288" s="33"/>
      <c r="AZ288" s="33"/>
      <c r="BA288" s="33"/>
      <c r="BB288" s="33"/>
    </row>
    <row r="289" spans="1:54" x14ac:dyDescent="0.25">
      <c r="A289" s="34"/>
      <c r="B289" s="34"/>
      <c r="C289" s="34"/>
      <c r="D289" s="37"/>
      <c r="E289" s="37"/>
      <c r="F289" s="37"/>
      <c r="G289" s="37"/>
      <c r="H289" s="37"/>
      <c r="I289" s="37"/>
      <c r="J289" s="37"/>
      <c r="K289" s="37"/>
      <c r="L289" s="37"/>
      <c r="M289" s="37"/>
      <c r="N289" s="37"/>
      <c r="O289" s="37"/>
      <c r="P289" s="37"/>
      <c r="Q289" s="37"/>
      <c r="R289" s="37"/>
      <c r="S289" s="37"/>
      <c r="T289" s="37"/>
      <c r="U289" s="37"/>
      <c r="V289" s="37"/>
      <c r="W289" s="37"/>
      <c r="X289" s="37"/>
      <c r="Y289" s="37"/>
      <c r="Z289" s="37"/>
      <c r="AA289" s="37"/>
      <c r="AB289" s="37"/>
      <c r="AC289" s="37"/>
      <c r="AD289" s="37"/>
      <c r="AE289" s="37"/>
      <c r="AF289" s="37"/>
      <c r="AG289" s="37"/>
      <c r="AH289" s="37"/>
      <c r="AI289" s="37"/>
      <c r="AJ289" s="37"/>
      <c r="AK289" s="37"/>
      <c r="AL289" s="37"/>
      <c r="AM289" s="37"/>
      <c r="AN289" s="37"/>
      <c r="AO289" s="37"/>
      <c r="AP289" s="37"/>
      <c r="AQ289" s="37"/>
      <c r="AR289" s="37"/>
      <c r="AS289" s="37"/>
      <c r="AT289" s="37"/>
      <c r="AU289" s="37"/>
      <c r="AV289" s="37"/>
      <c r="AW289" s="37"/>
      <c r="AX289" s="37"/>
      <c r="AY289" s="37"/>
      <c r="AZ289" s="37"/>
      <c r="BA289" s="37"/>
      <c r="BB289" s="37"/>
    </row>
    <row r="290" spans="1:54" s="5" customFormat="1" x14ac:dyDescent="0.25">
      <c r="A290" s="32"/>
      <c r="B290" s="32"/>
      <c r="C290" s="32"/>
      <c r="D290" s="36"/>
      <c r="E290" s="36"/>
      <c r="F290" s="36"/>
      <c r="G290" s="36"/>
      <c r="H290" s="36"/>
      <c r="I290" s="36"/>
      <c r="J290" s="36"/>
      <c r="K290" s="36"/>
      <c r="L290" s="36"/>
      <c r="M290" s="36"/>
      <c r="N290" s="36"/>
      <c r="O290" s="36"/>
      <c r="P290" s="36"/>
      <c r="Q290" s="36"/>
      <c r="R290" s="36"/>
      <c r="S290" s="33"/>
      <c r="T290" s="36"/>
      <c r="U290" s="36"/>
      <c r="V290" s="36"/>
      <c r="W290" s="36"/>
      <c r="X290" s="36"/>
      <c r="Y290" s="36"/>
      <c r="Z290" s="33"/>
      <c r="AA290" s="33"/>
      <c r="AB290" s="36"/>
      <c r="AC290" s="33"/>
      <c r="AD290" s="33"/>
      <c r="AE290" s="36"/>
      <c r="AF290" s="36"/>
      <c r="AG290" s="33"/>
      <c r="AH290" s="33"/>
      <c r="AI290" s="33"/>
      <c r="AJ290" s="33"/>
      <c r="AK290" s="33"/>
      <c r="AL290" s="33"/>
      <c r="AM290" s="33"/>
      <c r="AN290" s="36"/>
      <c r="AO290" s="33"/>
      <c r="AP290" s="36"/>
      <c r="AQ290" s="33"/>
      <c r="AR290" s="33"/>
      <c r="AS290" s="33"/>
      <c r="AT290" s="33"/>
      <c r="AU290" s="33"/>
      <c r="AV290" s="33"/>
      <c r="AW290" s="33"/>
      <c r="AX290" s="33"/>
      <c r="AY290" s="33"/>
      <c r="AZ290" s="33"/>
      <c r="BA290" s="33"/>
      <c r="BB290" s="33"/>
    </row>
    <row r="291" spans="1:54" x14ac:dyDescent="0.25">
      <c r="A291" s="34"/>
      <c r="B291" s="34"/>
      <c r="C291" s="34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35"/>
      <c r="P291" s="35"/>
      <c r="Q291" s="35"/>
      <c r="R291" s="35"/>
      <c r="S291" s="35"/>
      <c r="T291" s="35"/>
      <c r="U291" s="35"/>
      <c r="V291" s="35"/>
      <c r="W291" s="35"/>
      <c r="X291" s="35"/>
      <c r="Y291" s="35"/>
      <c r="Z291" s="35"/>
      <c r="AA291" s="35"/>
      <c r="AB291" s="35"/>
      <c r="AC291" s="35"/>
      <c r="AD291" s="35"/>
      <c r="AE291" s="35"/>
      <c r="AF291" s="35"/>
      <c r="AG291" s="35"/>
      <c r="AH291" s="35"/>
      <c r="AI291" s="35"/>
      <c r="AJ291" s="35"/>
      <c r="AK291" s="35"/>
      <c r="AL291" s="35"/>
      <c r="AM291" s="35"/>
      <c r="AN291" s="35"/>
      <c r="AO291" s="37"/>
      <c r="AP291" s="37"/>
      <c r="AQ291" s="37"/>
      <c r="AR291" s="37"/>
      <c r="AS291" s="37"/>
      <c r="AT291" s="37"/>
      <c r="AU291" s="37"/>
      <c r="AV291" s="37"/>
      <c r="AW291" s="37"/>
      <c r="AX291" s="37"/>
      <c r="AY291" s="37"/>
      <c r="AZ291" s="37"/>
      <c r="BA291" s="37"/>
      <c r="BB291" s="37"/>
    </row>
    <row r="292" spans="1:54" s="5" customFormat="1" x14ac:dyDescent="0.25">
      <c r="A292" s="32"/>
      <c r="B292" s="32"/>
      <c r="C292" s="32"/>
      <c r="D292" s="36"/>
      <c r="E292" s="36"/>
      <c r="F292" s="36"/>
      <c r="G292" s="36"/>
      <c r="H292" s="36"/>
      <c r="I292" s="36"/>
      <c r="J292" s="36"/>
      <c r="K292" s="36"/>
      <c r="L292" s="36"/>
      <c r="M292" s="36"/>
      <c r="N292" s="33"/>
      <c r="O292" s="33"/>
      <c r="P292" s="33"/>
      <c r="Q292" s="33"/>
      <c r="R292" s="33"/>
      <c r="S292" s="33"/>
      <c r="T292" s="33"/>
      <c r="U292" s="33"/>
      <c r="V292" s="33"/>
      <c r="W292" s="33"/>
      <c r="X292" s="33"/>
      <c r="Y292" s="33"/>
      <c r="Z292" s="33"/>
      <c r="AA292" s="33"/>
      <c r="AB292" s="33"/>
      <c r="AC292" s="33"/>
      <c r="AD292" s="33"/>
      <c r="AE292" s="33"/>
      <c r="AF292" s="33"/>
      <c r="AG292" s="33"/>
      <c r="AH292" s="33"/>
      <c r="AI292" s="33"/>
      <c r="AJ292" s="33"/>
      <c r="AK292" s="33"/>
      <c r="AL292" s="33"/>
      <c r="AM292" s="33"/>
      <c r="AN292" s="33"/>
      <c r="AO292" s="33"/>
      <c r="AP292" s="33"/>
      <c r="AQ292" s="33"/>
      <c r="AR292" s="33"/>
      <c r="AS292" s="33"/>
      <c r="AT292" s="33"/>
      <c r="AU292" s="33"/>
      <c r="AV292" s="33"/>
      <c r="AW292" s="33"/>
      <c r="AX292" s="33"/>
      <c r="AY292" s="33"/>
      <c r="AZ292" s="33"/>
      <c r="BA292" s="33"/>
      <c r="BB292" s="33"/>
    </row>
    <row r="293" spans="1:54" x14ac:dyDescent="0.25">
      <c r="A293" s="34"/>
      <c r="B293" s="34"/>
      <c r="C293" s="34"/>
      <c r="D293" s="35"/>
      <c r="E293" s="35"/>
      <c r="F293" s="35"/>
      <c r="G293" s="35"/>
      <c r="H293" s="35"/>
      <c r="I293" s="35"/>
      <c r="J293" s="35"/>
      <c r="K293" s="35"/>
      <c r="L293" s="35"/>
      <c r="M293" s="35"/>
      <c r="N293" s="35"/>
      <c r="O293" s="35"/>
      <c r="P293" s="35"/>
      <c r="Q293" s="35"/>
      <c r="R293" s="35"/>
      <c r="S293" s="35"/>
      <c r="T293" s="35"/>
      <c r="U293" s="35"/>
      <c r="V293" s="35"/>
      <c r="W293" s="35"/>
      <c r="X293" s="35"/>
      <c r="Y293" s="35"/>
      <c r="Z293" s="35"/>
      <c r="AA293" s="35"/>
      <c r="AB293" s="35"/>
      <c r="AC293" s="35"/>
      <c r="AD293" s="35"/>
      <c r="AE293" s="35"/>
      <c r="AF293" s="35"/>
      <c r="AG293" s="35"/>
      <c r="AH293" s="35"/>
      <c r="AI293" s="35"/>
      <c r="AJ293" s="35"/>
      <c r="AK293" s="35"/>
      <c r="AL293" s="35"/>
      <c r="AM293" s="37"/>
      <c r="AN293" s="37"/>
      <c r="AO293" s="37"/>
      <c r="AP293" s="37"/>
      <c r="AQ293" s="37"/>
      <c r="AR293" s="37"/>
      <c r="AS293" s="37"/>
      <c r="AT293" s="37"/>
      <c r="AU293" s="37"/>
      <c r="AV293" s="37"/>
      <c r="AW293" s="37"/>
      <c r="AX293" s="37"/>
      <c r="AY293" s="37"/>
      <c r="AZ293" s="37"/>
      <c r="BA293" s="37"/>
      <c r="BB293" s="37"/>
    </row>
    <row r="294" spans="1:54" s="5" customFormat="1" x14ac:dyDescent="0.25">
      <c r="A294" s="32"/>
      <c r="B294" s="32"/>
      <c r="C294" s="32"/>
      <c r="D294" s="33"/>
      <c r="E294" s="33"/>
      <c r="F294" s="33"/>
      <c r="G294" s="33"/>
      <c r="H294" s="33"/>
      <c r="I294" s="33"/>
      <c r="J294" s="33"/>
      <c r="K294" s="33"/>
      <c r="L294" s="33"/>
      <c r="M294" s="33"/>
      <c r="N294" s="33"/>
      <c r="O294" s="33"/>
      <c r="P294" s="33"/>
      <c r="Q294" s="33"/>
      <c r="R294" s="33"/>
      <c r="S294" s="33"/>
      <c r="T294" s="33"/>
      <c r="U294" s="33"/>
      <c r="V294" s="33"/>
      <c r="W294" s="33"/>
      <c r="X294" s="33"/>
      <c r="Y294" s="33"/>
      <c r="Z294" s="33"/>
      <c r="AA294" s="33"/>
      <c r="AB294" s="33"/>
      <c r="AC294" s="33"/>
      <c r="AD294" s="33"/>
      <c r="AE294" s="33"/>
      <c r="AF294" s="33"/>
      <c r="AG294" s="33"/>
      <c r="AH294" s="33"/>
      <c r="AI294" s="33"/>
      <c r="AJ294" s="33"/>
      <c r="AK294" s="33"/>
      <c r="AL294" s="33"/>
      <c r="AM294" s="33"/>
      <c r="AN294" s="33"/>
      <c r="AO294" s="33"/>
      <c r="AP294" s="33"/>
      <c r="AQ294" s="33"/>
      <c r="AR294" s="33"/>
      <c r="AS294" s="33"/>
      <c r="AT294" s="33"/>
      <c r="AU294" s="33"/>
      <c r="AV294" s="33"/>
      <c r="AW294" s="33"/>
      <c r="AX294" s="33"/>
      <c r="AY294" s="33"/>
      <c r="AZ294" s="33"/>
      <c r="BA294" s="33"/>
      <c r="BB294" s="33"/>
    </row>
    <row r="295" spans="1:54" x14ac:dyDescent="0.25">
      <c r="A295" s="34"/>
      <c r="B295" s="34"/>
      <c r="C295" s="34"/>
      <c r="D295" s="35"/>
      <c r="E295" s="35"/>
      <c r="F295" s="35"/>
      <c r="G295" s="35"/>
      <c r="H295" s="35"/>
      <c r="I295" s="35"/>
      <c r="J295" s="35"/>
      <c r="K295" s="35"/>
      <c r="L295" s="35"/>
      <c r="M295" s="35"/>
      <c r="N295" s="35"/>
      <c r="O295" s="35"/>
      <c r="P295" s="35"/>
      <c r="Q295" s="35"/>
      <c r="R295" s="35"/>
      <c r="S295" s="35"/>
      <c r="T295" s="35"/>
      <c r="U295" s="35"/>
      <c r="V295" s="35"/>
      <c r="W295" s="35"/>
      <c r="X295" s="37"/>
      <c r="Y295" s="35"/>
      <c r="Z295" s="37"/>
      <c r="AA295" s="37"/>
      <c r="AB295" s="37"/>
      <c r="AC295" s="35"/>
      <c r="AD295" s="37"/>
      <c r="AE295" s="35"/>
      <c r="AF295" s="37"/>
      <c r="AG295" s="35"/>
      <c r="AH295" s="37"/>
      <c r="AI295" s="37"/>
      <c r="AJ295" s="37"/>
      <c r="AK295" s="37"/>
      <c r="AL295" s="37"/>
      <c r="AM295" s="37"/>
      <c r="AN295" s="37"/>
      <c r="AO295" s="37"/>
      <c r="AP295" s="37"/>
      <c r="AQ295" s="37"/>
      <c r="AR295" s="37"/>
      <c r="AS295" s="37"/>
      <c r="AT295" s="37"/>
      <c r="AU295" s="37"/>
      <c r="AV295" s="37"/>
      <c r="AW295" s="37"/>
      <c r="AX295" s="37"/>
      <c r="AY295" s="37"/>
      <c r="AZ295" s="37"/>
      <c r="BA295" s="37"/>
      <c r="BB295" s="37"/>
    </row>
    <row r="296" spans="1:54" s="5" customFormat="1" x14ac:dyDescent="0.25">
      <c r="A296" s="32"/>
      <c r="B296" s="32"/>
      <c r="C296" s="32"/>
      <c r="D296" s="33"/>
      <c r="E296" s="33"/>
      <c r="F296" s="33"/>
      <c r="G296" s="33"/>
      <c r="H296" s="33"/>
      <c r="I296" s="33"/>
      <c r="J296" s="33"/>
      <c r="K296" s="33"/>
      <c r="L296" s="33"/>
      <c r="M296" s="33"/>
      <c r="N296" s="33"/>
      <c r="O296" s="33"/>
      <c r="P296" s="33"/>
      <c r="Q296" s="33"/>
      <c r="R296" s="33"/>
      <c r="S296" s="33"/>
      <c r="T296" s="33"/>
      <c r="U296" s="33"/>
      <c r="V296" s="33"/>
      <c r="W296" s="33"/>
      <c r="X296" s="33"/>
      <c r="Y296" s="33"/>
      <c r="Z296" s="33"/>
      <c r="AA296" s="33"/>
      <c r="AB296" s="33"/>
      <c r="AC296" s="33"/>
      <c r="AD296" s="33"/>
      <c r="AE296" s="33"/>
      <c r="AF296" s="33"/>
      <c r="AG296" s="33"/>
      <c r="AH296" s="33"/>
      <c r="AI296" s="33"/>
      <c r="AJ296" s="33"/>
      <c r="AK296" s="33"/>
      <c r="AL296" s="33"/>
      <c r="AM296" s="33"/>
      <c r="AN296" s="33"/>
      <c r="AO296" s="33"/>
      <c r="AP296" s="33"/>
      <c r="AQ296" s="33"/>
      <c r="AR296" s="33"/>
      <c r="AS296" s="33"/>
      <c r="AT296" s="33"/>
      <c r="AU296" s="33"/>
      <c r="AV296" s="33"/>
      <c r="AW296" s="33"/>
      <c r="AX296" s="33"/>
      <c r="AY296" s="33"/>
      <c r="AZ296" s="33"/>
      <c r="BA296" s="33"/>
      <c r="BB296" s="33"/>
    </row>
    <row r="297" spans="1:54" x14ac:dyDescent="0.25">
      <c r="A297" s="34"/>
      <c r="B297" s="34"/>
      <c r="C297" s="34"/>
      <c r="D297" s="35"/>
      <c r="E297" s="35"/>
      <c r="F297" s="35"/>
      <c r="G297" s="35"/>
      <c r="H297" s="35"/>
      <c r="I297" s="35"/>
      <c r="J297" s="35"/>
      <c r="K297" s="35"/>
      <c r="L297" s="35"/>
      <c r="M297" s="35"/>
      <c r="N297" s="35"/>
      <c r="O297" s="35"/>
      <c r="P297" s="35"/>
      <c r="Q297" s="35"/>
      <c r="R297" s="35"/>
      <c r="S297" s="35"/>
      <c r="T297" s="35"/>
      <c r="U297" s="37"/>
      <c r="V297" s="35"/>
      <c r="W297" s="37"/>
      <c r="X297" s="37"/>
      <c r="Y297" s="37"/>
      <c r="Z297" s="37"/>
      <c r="AA297" s="37"/>
      <c r="AB297" s="37"/>
      <c r="AC297" s="37"/>
      <c r="AD297" s="37"/>
      <c r="AE297" s="37"/>
      <c r="AF297" s="37"/>
      <c r="AG297" s="37"/>
      <c r="AH297" s="37"/>
      <c r="AI297" s="37"/>
      <c r="AJ297" s="37"/>
      <c r="AK297" s="37"/>
      <c r="AL297" s="37"/>
      <c r="AM297" s="37"/>
      <c r="AN297" s="37"/>
      <c r="AO297" s="37"/>
      <c r="AP297" s="37"/>
      <c r="AQ297" s="37"/>
      <c r="AR297" s="37"/>
      <c r="AS297" s="37"/>
      <c r="AT297" s="37"/>
      <c r="AU297" s="37"/>
      <c r="AV297" s="37"/>
      <c r="AW297" s="37"/>
      <c r="AX297" s="37"/>
      <c r="AY297" s="37"/>
      <c r="AZ297" s="37"/>
      <c r="BA297" s="37"/>
      <c r="BB297" s="37"/>
    </row>
    <row r="298" spans="1:54" s="5" customFormat="1" x14ac:dyDescent="0.25">
      <c r="A298" s="32"/>
      <c r="B298" s="32"/>
      <c r="C298" s="32"/>
      <c r="D298" s="33"/>
      <c r="E298" s="33"/>
      <c r="F298" s="33"/>
      <c r="G298" s="33"/>
      <c r="H298" s="33"/>
      <c r="I298" s="33"/>
      <c r="J298" s="33"/>
      <c r="K298" s="33"/>
      <c r="L298" s="33"/>
      <c r="M298" s="33"/>
      <c r="N298" s="33"/>
      <c r="O298" s="33"/>
      <c r="P298" s="33"/>
      <c r="Q298" s="33"/>
      <c r="R298" s="33"/>
      <c r="S298" s="33"/>
      <c r="T298" s="33"/>
      <c r="U298" s="33"/>
      <c r="V298" s="33"/>
      <c r="W298" s="33"/>
      <c r="X298" s="33"/>
      <c r="Y298" s="33"/>
      <c r="Z298" s="33"/>
      <c r="AA298" s="33"/>
      <c r="AB298" s="33"/>
      <c r="AC298" s="33"/>
      <c r="AD298" s="33"/>
      <c r="AE298" s="33"/>
      <c r="AF298" s="33"/>
      <c r="AG298" s="33"/>
      <c r="AH298" s="33"/>
      <c r="AI298" s="33"/>
      <c r="AJ298" s="33"/>
      <c r="AK298" s="33"/>
      <c r="AL298" s="33"/>
      <c r="AM298" s="33"/>
      <c r="AN298" s="33"/>
      <c r="AO298" s="33"/>
      <c r="AP298" s="33"/>
      <c r="AQ298" s="33"/>
      <c r="AR298" s="33"/>
      <c r="AS298" s="33"/>
      <c r="AT298" s="33"/>
      <c r="AU298" s="33"/>
      <c r="AV298" s="33"/>
      <c r="AW298" s="33"/>
      <c r="AX298" s="33"/>
      <c r="AY298" s="33"/>
      <c r="AZ298" s="33"/>
      <c r="BA298" s="33"/>
      <c r="BB298" s="33"/>
    </row>
    <row r="299" spans="1:54" x14ac:dyDescent="0.25">
      <c r="A299" s="34"/>
      <c r="B299" s="34"/>
      <c r="C299" s="34"/>
      <c r="D299" s="35"/>
      <c r="E299" s="35"/>
      <c r="F299" s="35"/>
      <c r="G299" s="35"/>
      <c r="H299" s="35"/>
      <c r="I299" s="35"/>
      <c r="J299" s="35"/>
      <c r="K299" s="35"/>
      <c r="L299" s="35"/>
      <c r="M299" s="35"/>
      <c r="N299" s="35"/>
      <c r="O299" s="35"/>
      <c r="P299" s="35"/>
      <c r="Q299" s="35"/>
      <c r="R299" s="35"/>
      <c r="S299" s="35"/>
      <c r="T299" s="35"/>
      <c r="U299" s="35"/>
      <c r="V299" s="35"/>
      <c r="W299" s="35"/>
      <c r="X299" s="35"/>
      <c r="Y299" s="35"/>
      <c r="Z299" s="35"/>
      <c r="AA299" s="35"/>
      <c r="AB299" s="35"/>
      <c r="AC299" s="35"/>
      <c r="AD299" s="35"/>
      <c r="AE299" s="35"/>
      <c r="AF299" s="35"/>
      <c r="AG299" s="35"/>
      <c r="AH299" s="35"/>
      <c r="AI299" s="35"/>
      <c r="AJ299" s="35"/>
      <c r="AK299" s="35"/>
      <c r="AL299" s="35"/>
      <c r="AM299" s="35"/>
      <c r="AN299" s="35"/>
      <c r="AO299" s="35"/>
      <c r="AP299" s="35"/>
      <c r="AQ299" s="35"/>
      <c r="AR299" s="35"/>
      <c r="AS299" s="35"/>
      <c r="AT299" s="35"/>
      <c r="AU299" s="35"/>
      <c r="AV299" s="35"/>
      <c r="AW299" s="35"/>
      <c r="AX299" s="35"/>
      <c r="AY299" s="35"/>
      <c r="AZ299" s="35"/>
      <c r="BA299" s="35"/>
      <c r="BB299" s="35"/>
    </row>
    <row r="300" spans="1:54" s="5" customFormat="1" x14ac:dyDescent="0.25">
      <c r="A300" s="32"/>
      <c r="B300" s="32"/>
      <c r="C300" s="32"/>
      <c r="D300" s="33"/>
      <c r="E300" s="33"/>
      <c r="F300" s="33"/>
      <c r="G300" s="33"/>
      <c r="H300" s="33"/>
      <c r="I300" s="33"/>
      <c r="J300" s="33"/>
      <c r="K300" s="33"/>
      <c r="L300" s="33"/>
      <c r="M300" s="33"/>
      <c r="N300" s="33"/>
      <c r="O300" s="33"/>
      <c r="P300" s="33"/>
      <c r="Q300" s="33"/>
      <c r="R300" s="33"/>
      <c r="S300" s="33"/>
      <c r="T300" s="33"/>
      <c r="U300" s="33"/>
      <c r="V300" s="33"/>
      <c r="W300" s="33"/>
      <c r="X300" s="33"/>
      <c r="Y300" s="33"/>
      <c r="Z300" s="33"/>
      <c r="AA300" s="33"/>
      <c r="AB300" s="33"/>
      <c r="AC300" s="33"/>
      <c r="AD300" s="33"/>
      <c r="AE300" s="33"/>
      <c r="AF300" s="33"/>
      <c r="AG300" s="33"/>
      <c r="AH300" s="33"/>
      <c r="AI300" s="33"/>
      <c r="AJ300" s="33"/>
      <c r="AK300" s="33"/>
      <c r="AL300" s="33"/>
      <c r="AM300" s="33"/>
      <c r="AN300" s="33"/>
      <c r="AO300" s="33"/>
      <c r="AP300" s="33"/>
      <c r="AQ300" s="33"/>
      <c r="AR300" s="33"/>
      <c r="AS300" s="33"/>
      <c r="AT300" s="33"/>
      <c r="AU300" s="33"/>
      <c r="AV300" s="33"/>
      <c r="AW300" s="33"/>
      <c r="AX300" s="33"/>
      <c r="AY300" s="33"/>
      <c r="AZ300" s="33"/>
      <c r="BA300" s="33"/>
      <c r="BB300" s="33"/>
    </row>
    <row r="301" spans="1:54" x14ac:dyDescent="0.25">
      <c r="A301" s="34"/>
      <c r="B301" s="34"/>
      <c r="C301" s="34"/>
      <c r="D301" s="35"/>
      <c r="E301" s="35"/>
      <c r="F301" s="35"/>
      <c r="G301" s="35"/>
      <c r="H301" s="35"/>
      <c r="I301" s="35"/>
      <c r="J301" s="35"/>
      <c r="K301" s="35"/>
      <c r="L301" s="35"/>
      <c r="M301" s="35"/>
      <c r="N301" s="35"/>
      <c r="O301" s="35"/>
      <c r="P301" s="35"/>
      <c r="Q301" s="35"/>
      <c r="R301" s="35"/>
      <c r="S301" s="35"/>
      <c r="T301" s="35"/>
      <c r="U301" s="35"/>
      <c r="V301" s="35"/>
      <c r="W301" s="35"/>
      <c r="X301" s="35"/>
      <c r="Y301" s="35"/>
      <c r="Z301" s="35"/>
      <c r="AA301" s="35"/>
      <c r="AB301" s="35"/>
      <c r="AC301" s="35"/>
      <c r="AD301" s="35"/>
      <c r="AE301" s="35"/>
      <c r="AF301" s="35"/>
      <c r="AG301" s="35"/>
      <c r="AH301" s="35"/>
      <c r="AI301" s="35"/>
      <c r="AJ301" s="35"/>
      <c r="AK301" s="35"/>
      <c r="AL301" s="35"/>
      <c r="AM301" s="35"/>
      <c r="AN301" s="35"/>
      <c r="AO301" s="35"/>
      <c r="AP301" s="35"/>
      <c r="AQ301" s="35"/>
      <c r="AR301" s="35"/>
      <c r="AS301" s="35"/>
      <c r="AT301" s="35"/>
      <c r="AU301" s="35"/>
      <c r="AV301" s="35"/>
      <c r="AW301" s="35"/>
      <c r="AX301" s="35"/>
      <c r="AY301" s="35"/>
      <c r="AZ301" s="35"/>
      <c r="BA301" s="35"/>
      <c r="BB301" s="35"/>
    </row>
    <row r="302" spans="1:54" s="5" customFormat="1" x14ac:dyDescent="0.25">
      <c r="A302" s="32"/>
      <c r="B302" s="32"/>
      <c r="C302" s="32"/>
      <c r="D302" s="33"/>
      <c r="E302" s="33"/>
      <c r="F302" s="33"/>
      <c r="G302" s="33"/>
      <c r="H302" s="33"/>
      <c r="I302" s="33"/>
      <c r="J302" s="36"/>
      <c r="K302" s="36"/>
      <c r="L302" s="36"/>
      <c r="M302" s="36"/>
      <c r="N302" s="36"/>
      <c r="O302" s="36"/>
      <c r="P302" s="36"/>
      <c r="Q302" s="36"/>
      <c r="R302" s="36"/>
      <c r="S302" s="36"/>
      <c r="T302" s="36"/>
      <c r="U302" s="36"/>
      <c r="V302" s="36"/>
      <c r="W302" s="36"/>
      <c r="X302" s="36"/>
      <c r="Y302" s="36"/>
      <c r="Z302" s="36"/>
      <c r="AA302" s="36"/>
      <c r="AB302" s="36"/>
      <c r="AC302" s="36"/>
      <c r="AD302" s="36"/>
      <c r="AE302" s="36"/>
      <c r="AF302" s="36"/>
      <c r="AG302" s="36"/>
      <c r="AH302" s="36"/>
      <c r="AI302" s="36"/>
      <c r="AJ302" s="36"/>
      <c r="AK302" s="36"/>
      <c r="AL302" s="36"/>
      <c r="AM302" s="36"/>
      <c r="AN302" s="36"/>
      <c r="AO302" s="36"/>
      <c r="AP302" s="36"/>
      <c r="AQ302" s="36"/>
      <c r="AR302" s="36"/>
      <c r="AS302" s="36"/>
      <c r="AT302" s="36"/>
      <c r="AU302" s="36"/>
      <c r="AV302" s="36"/>
      <c r="AW302" s="36"/>
      <c r="AX302" s="36"/>
      <c r="AY302" s="36"/>
      <c r="AZ302" s="36"/>
      <c r="BA302" s="36"/>
      <c r="BB302" s="36"/>
    </row>
    <row r="303" spans="1:54" x14ac:dyDescent="0.25">
      <c r="A303" s="34"/>
      <c r="B303" s="34"/>
      <c r="C303" s="34"/>
      <c r="D303" s="35"/>
      <c r="E303" s="35"/>
      <c r="F303" s="35"/>
      <c r="G303" s="35"/>
      <c r="H303" s="35"/>
      <c r="I303" s="35"/>
      <c r="J303" s="35"/>
      <c r="K303" s="35"/>
      <c r="L303" s="35"/>
      <c r="M303" s="35"/>
      <c r="N303" s="35"/>
      <c r="O303" s="35"/>
      <c r="P303" s="35"/>
      <c r="Q303" s="35"/>
      <c r="R303" s="35"/>
      <c r="S303" s="35"/>
      <c r="T303" s="35"/>
      <c r="U303" s="35"/>
      <c r="V303" s="37"/>
      <c r="W303" s="37"/>
      <c r="X303" s="37"/>
      <c r="Y303" s="35"/>
      <c r="Z303" s="37"/>
      <c r="AA303" s="37"/>
      <c r="AB303" s="37"/>
      <c r="AC303" s="35"/>
      <c r="AD303" s="35"/>
      <c r="AE303" s="35"/>
      <c r="AF303" s="37"/>
      <c r="AG303" s="37"/>
      <c r="AH303" s="37"/>
      <c r="AI303" s="37"/>
      <c r="AJ303" s="37"/>
      <c r="AK303" s="37"/>
      <c r="AL303" s="37"/>
      <c r="AM303" s="37"/>
      <c r="AN303" s="37"/>
      <c r="AO303" s="37"/>
      <c r="AP303" s="37"/>
      <c r="AQ303" s="37"/>
      <c r="AR303" s="37"/>
      <c r="AS303" s="37"/>
      <c r="AT303" s="37"/>
      <c r="AU303" s="37"/>
      <c r="AV303" s="37"/>
      <c r="AW303" s="37"/>
      <c r="AX303" s="37"/>
      <c r="AY303" s="37"/>
      <c r="AZ303" s="37"/>
      <c r="BA303" s="37"/>
      <c r="BB303" s="37"/>
    </row>
    <row r="304" spans="1:54" s="5" customFormat="1" x14ac:dyDescent="0.25">
      <c r="A304" s="32"/>
      <c r="B304" s="32"/>
      <c r="C304" s="32"/>
      <c r="D304" s="33"/>
      <c r="E304" s="33"/>
      <c r="F304" s="33"/>
      <c r="G304" s="33"/>
      <c r="H304" s="33"/>
      <c r="I304" s="33"/>
      <c r="J304" s="33"/>
      <c r="K304" s="33"/>
      <c r="L304" s="33"/>
      <c r="M304" s="33"/>
      <c r="N304" s="33"/>
      <c r="O304" s="33"/>
      <c r="P304" s="33"/>
      <c r="Q304" s="33"/>
      <c r="R304" s="33"/>
      <c r="S304" s="33"/>
      <c r="T304" s="33"/>
      <c r="U304" s="33"/>
      <c r="V304" s="33"/>
      <c r="W304" s="33"/>
      <c r="X304" s="33"/>
      <c r="Y304" s="33"/>
      <c r="Z304" s="33"/>
      <c r="AA304" s="33"/>
      <c r="AB304" s="33"/>
      <c r="AC304" s="33"/>
      <c r="AD304" s="33"/>
      <c r="AE304" s="33"/>
      <c r="AF304" s="33"/>
      <c r="AG304" s="33"/>
      <c r="AH304" s="33"/>
      <c r="AI304" s="33"/>
      <c r="AJ304" s="33"/>
      <c r="AK304" s="33"/>
      <c r="AL304" s="33"/>
      <c r="AM304" s="33"/>
      <c r="AN304" s="33"/>
      <c r="AO304" s="33"/>
      <c r="AP304" s="33"/>
      <c r="AQ304" s="33"/>
      <c r="AR304" s="33"/>
      <c r="AS304" s="33"/>
      <c r="AT304" s="33"/>
      <c r="AU304" s="33"/>
      <c r="AV304" s="33"/>
      <c r="AW304" s="33"/>
      <c r="AX304" s="33"/>
      <c r="AY304" s="33"/>
      <c r="AZ304" s="33"/>
      <c r="BA304" s="33"/>
      <c r="BB304" s="33"/>
    </row>
    <row r="305" spans="1:54" x14ac:dyDescent="0.25">
      <c r="A305" s="34"/>
      <c r="B305" s="34"/>
      <c r="C305" s="34"/>
      <c r="D305" s="35"/>
      <c r="E305" s="35"/>
      <c r="F305" s="35"/>
      <c r="G305" s="35"/>
      <c r="H305" s="35"/>
      <c r="I305" s="35"/>
      <c r="J305" s="37"/>
      <c r="K305" s="37"/>
      <c r="L305" s="37"/>
      <c r="M305" s="37"/>
      <c r="N305" s="37"/>
      <c r="O305" s="37"/>
      <c r="P305" s="37"/>
      <c r="Q305" s="37"/>
      <c r="R305" s="37"/>
      <c r="S305" s="37"/>
      <c r="T305" s="37"/>
      <c r="U305" s="37"/>
      <c r="V305" s="37"/>
      <c r="W305" s="37"/>
      <c r="X305" s="37"/>
      <c r="Y305" s="37"/>
      <c r="Z305" s="37"/>
      <c r="AA305" s="37"/>
      <c r="AB305" s="37"/>
      <c r="AC305" s="37"/>
      <c r="AD305" s="37"/>
      <c r="AE305" s="37"/>
      <c r="AF305" s="37"/>
      <c r="AG305" s="37"/>
      <c r="AH305" s="37"/>
      <c r="AI305" s="37"/>
      <c r="AJ305" s="37"/>
      <c r="AK305" s="37"/>
      <c r="AL305" s="37"/>
      <c r="AM305" s="37"/>
      <c r="AN305" s="37"/>
      <c r="AO305" s="37"/>
      <c r="AP305" s="37"/>
      <c r="AQ305" s="37"/>
      <c r="AR305" s="37"/>
      <c r="AS305" s="37"/>
      <c r="AT305" s="37"/>
      <c r="AU305" s="37"/>
      <c r="AV305" s="37"/>
      <c r="AW305" s="37"/>
      <c r="AX305" s="37"/>
      <c r="AY305" s="37"/>
      <c r="AZ305" s="37"/>
      <c r="BA305" s="37"/>
      <c r="BB305" s="37"/>
    </row>
    <row r="306" spans="1:54" x14ac:dyDescent="0.25">
      <c r="A306" s="32"/>
      <c r="B306" s="32"/>
      <c r="C306" s="32"/>
      <c r="D306" s="36"/>
      <c r="E306" s="36"/>
      <c r="F306" s="36"/>
      <c r="G306" s="36"/>
      <c r="H306" s="36"/>
      <c r="I306" s="36"/>
      <c r="J306" s="36"/>
      <c r="K306" s="36"/>
      <c r="L306" s="36"/>
      <c r="M306" s="36"/>
      <c r="N306" s="36"/>
      <c r="O306" s="36"/>
      <c r="P306" s="36"/>
      <c r="Q306" s="36"/>
      <c r="R306" s="36"/>
      <c r="S306" s="36"/>
      <c r="T306" s="36"/>
      <c r="U306" s="36"/>
      <c r="V306" s="36"/>
      <c r="W306" s="36"/>
      <c r="X306" s="36"/>
      <c r="Y306" s="36"/>
      <c r="Z306" s="36"/>
      <c r="AA306" s="36"/>
      <c r="AB306" s="36"/>
      <c r="AC306" s="36"/>
      <c r="AD306" s="36"/>
      <c r="AE306" s="36"/>
      <c r="AF306" s="36"/>
      <c r="AG306" s="36"/>
      <c r="AH306" s="36"/>
      <c r="AI306" s="36"/>
      <c r="AJ306" s="36"/>
      <c r="AK306" s="36"/>
      <c r="AL306" s="36"/>
      <c r="AM306" s="36"/>
      <c r="AN306" s="36"/>
      <c r="AO306" s="36"/>
      <c r="AP306" s="36"/>
      <c r="AQ306" s="36"/>
      <c r="AR306" s="36"/>
      <c r="AS306" s="36"/>
      <c r="AT306" s="36"/>
      <c r="AU306" s="36"/>
      <c r="AV306" s="36"/>
      <c r="AW306" s="36"/>
      <c r="AX306" s="36"/>
      <c r="AY306" s="36"/>
      <c r="AZ306" s="36"/>
      <c r="BA306" s="36"/>
      <c r="BB306" s="36"/>
    </row>
    <row r="307" spans="1:54" s="5" customFormat="1" x14ac:dyDescent="0.25">
      <c r="A307" s="32"/>
      <c r="B307" s="34"/>
      <c r="C307" s="34"/>
      <c r="D307" s="35"/>
      <c r="E307" s="35"/>
      <c r="F307" s="35"/>
      <c r="G307" s="35"/>
      <c r="H307" s="35"/>
      <c r="I307" s="35"/>
      <c r="J307" s="35"/>
      <c r="K307" s="35"/>
      <c r="L307" s="35"/>
      <c r="M307" s="35"/>
      <c r="N307" s="35"/>
      <c r="O307" s="35"/>
      <c r="P307" s="35"/>
      <c r="Q307" s="35"/>
      <c r="R307" s="35"/>
      <c r="S307" s="35"/>
      <c r="T307" s="35"/>
      <c r="U307" s="35"/>
      <c r="V307" s="35"/>
      <c r="W307" s="35"/>
      <c r="X307" s="35"/>
      <c r="Y307" s="35"/>
      <c r="Z307" s="35"/>
      <c r="AA307" s="35"/>
      <c r="AB307" s="35"/>
      <c r="AC307" s="35"/>
      <c r="AD307" s="35"/>
      <c r="AE307" s="35"/>
      <c r="AF307" s="35"/>
      <c r="AG307" s="37"/>
      <c r="AH307" s="37"/>
      <c r="AI307" s="35"/>
      <c r="AJ307" s="35"/>
      <c r="AK307" s="35"/>
      <c r="AL307" s="35"/>
      <c r="AM307" s="35"/>
      <c r="AN307" s="35"/>
      <c r="AO307" s="35"/>
      <c r="AP307" s="35"/>
      <c r="AQ307" s="35"/>
      <c r="AR307" s="35"/>
      <c r="AS307" s="35"/>
      <c r="AT307" s="35"/>
      <c r="AU307" s="35"/>
      <c r="AV307" s="35"/>
      <c r="AW307" s="35"/>
      <c r="AX307" s="35"/>
      <c r="AY307" s="35"/>
      <c r="AZ307" s="35"/>
      <c r="BA307" s="35"/>
      <c r="BB307" s="35"/>
    </row>
    <row r="308" spans="1:54" x14ac:dyDescent="0.25">
      <c r="A308" s="32"/>
      <c r="B308" s="32"/>
      <c r="C308" s="32"/>
      <c r="D308" s="33"/>
      <c r="E308" s="33"/>
      <c r="F308" s="33"/>
      <c r="G308" s="33"/>
      <c r="H308" s="33"/>
      <c r="I308" s="33"/>
      <c r="J308" s="33"/>
      <c r="K308" s="33"/>
      <c r="L308" s="33"/>
      <c r="M308" s="33"/>
      <c r="N308" s="33"/>
      <c r="O308" s="33"/>
      <c r="P308" s="33"/>
      <c r="Q308" s="33"/>
      <c r="R308" s="33"/>
      <c r="S308" s="33"/>
      <c r="T308" s="33"/>
      <c r="U308" s="33"/>
      <c r="V308" s="33"/>
      <c r="W308" s="33"/>
      <c r="X308" s="33"/>
      <c r="Y308" s="33"/>
      <c r="Z308" s="33"/>
      <c r="AA308" s="33"/>
      <c r="AB308" s="33"/>
      <c r="AC308" s="33"/>
      <c r="AD308" s="33"/>
      <c r="AE308" s="33"/>
      <c r="AF308" s="33"/>
      <c r="AG308" s="33"/>
      <c r="AH308" s="33"/>
      <c r="AI308" s="33"/>
      <c r="AJ308" s="33"/>
      <c r="AK308" s="33"/>
      <c r="AL308" s="33"/>
      <c r="AM308" s="33"/>
      <c r="AN308" s="33"/>
      <c r="AO308" s="36"/>
      <c r="AP308" s="33"/>
      <c r="AQ308" s="33"/>
      <c r="AR308" s="33"/>
      <c r="AS308" s="33"/>
      <c r="AT308" s="33"/>
      <c r="AU308" s="33"/>
      <c r="AV308" s="33"/>
      <c r="AW308" s="33"/>
      <c r="AX308" s="33"/>
      <c r="AY308" s="33"/>
      <c r="AZ308" s="36"/>
      <c r="BA308" s="33"/>
      <c r="BB308" s="33"/>
    </row>
    <row r="309" spans="1:54" s="5" customFormat="1" x14ac:dyDescent="0.25">
      <c r="A309" s="32"/>
      <c r="B309" s="34"/>
      <c r="C309" s="34"/>
      <c r="D309" s="37"/>
      <c r="E309" s="37"/>
      <c r="F309" s="37"/>
      <c r="G309" s="37"/>
      <c r="H309" s="37"/>
      <c r="I309" s="37"/>
      <c r="J309" s="37"/>
      <c r="K309" s="37"/>
      <c r="L309" s="37"/>
      <c r="M309" s="37"/>
      <c r="N309" s="37"/>
      <c r="O309" s="37"/>
      <c r="P309" s="37"/>
      <c r="Q309" s="37"/>
      <c r="R309" s="37"/>
      <c r="S309" s="37"/>
      <c r="T309" s="37"/>
      <c r="U309" s="37"/>
      <c r="V309" s="37"/>
      <c r="W309" s="37"/>
      <c r="X309" s="37"/>
      <c r="Y309" s="37"/>
      <c r="Z309" s="37"/>
      <c r="AA309" s="37"/>
      <c r="AB309" s="37"/>
      <c r="AC309" s="37"/>
      <c r="AD309" s="37"/>
      <c r="AE309" s="37"/>
      <c r="AF309" s="37"/>
      <c r="AG309" s="37"/>
      <c r="AH309" s="37"/>
      <c r="AI309" s="37"/>
      <c r="AJ309" s="37"/>
      <c r="AK309" s="37"/>
      <c r="AL309" s="37"/>
      <c r="AM309" s="37"/>
      <c r="AN309" s="37"/>
      <c r="AO309" s="37"/>
      <c r="AP309" s="37"/>
      <c r="AQ309" s="37"/>
      <c r="AR309" s="37"/>
      <c r="AS309" s="37"/>
      <c r="AT309" s="37"/>
      <c r="AU309" s="37"/>
      <c r="AV309" s="37"/>
      <c r="AW309" s="37"/>
      <c r="AX309" s="37"/>
      <c r="AY309" s="37"/>
      <c r="AZ309" s="37"/>
      <c r="BA309" s="37"/>
      <c r="BB309" s="37"/>
    </row>
    <row r="310" spans="1:54" x14ac:dyDescent="0.25">
      <c r="A310" s="34"/>
      <c r="B310" s="34"/>
      <c r="C310" s="34"/>
      <c r="D310" s="37"/>
      <c r="E310" s="37"/>
      <c r="F310" s="37"/>
      <c r="G310" s="37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  <c r="AB310" s="37"/>
      <c r="AC310" s="37"/>
      <c r="AD310" s="37"/>
      <c r="AE310" s="37"/>
      <c r="AF310" s="37"/>
      <c r="AG310" s="37"/>
      <c r="AH310" s="37"/>
      <c r="AI310" s="37"/>
      <c r="AJ310" s="37"/>
      <c r="AK310" s="37"/>
      <c r="AL310" s="37"/>
      <c r="AM310" s="37"/>
      <c r="AN310" s="37"/>
      <c r="AO310" s="37"/>
      <c r="AP310" s="37"/>
      <c r="AQ310" s="37"/>
      <c r="AR310" s="37"/>
      <c r="AS310" s="37"/>
      <c r="AT310" s="37"/>
      <c r="AU310" s="37"/>
      <c r="AV310" s="37"/>
      <c r="AW310" s="37"/>
      <c r="AX310" s="37"/>
      <c r="AY310" s="37"/>
      <c r="AZ310" s="37"/>
      <c r="BA310" s="37"/>
      <c r="BB310" s="37"/>
    </row>
    <row r="311" spans="1:54" s="5" customFormat="1" x14ac:dyDescent="0.25">
      <c r="A311" s="32"/>
      <c r="B311" s="32"/>
      <c r="C311" s="32"/>
      <c r="D311" s="33"/>
      <c r="E311" s="33"/>
      <c r="F311" s="33"/>
      <c r="G311" s="33"/>
      <c r="H311" s="33"/>
      <c r="I311" s="33"/>
      <c r="J311" s="33"/>
      <c r="K311" s="33"/>
      <c r="L311" s="33"/>
      <c r="M311" s="33"/>
      <c r="N311" s="33"/>
      <c r="O311" s="33"/>
      <c r="P311" s="33"/>
      <c r="Q311" s="33"/>
      <c r="R311" s="33"/>
      <c r="S311" s="33"/>
      <c r="T311" s="33"/>
      <c r="U311" s="33"/>
      <c r="V311" s="36"/>
      <c r="W311" s="36"/>
      <c r="X311" s="36"/>
      <c r="Y311" s="33"/>
      <c r="Z311" s="33"/>
      <c r="AA311" s="33"/>
      <c r="AB311" s="33"/>
      <c r="AC311" s="33"/>
      <c r="AD311" s="33"/>
      <c r="AE311" s="33"/>
      <c r="AF311" s="36"/>
      <c r="AG311" s="33"/>
      <c r="AH311" s="33"/>
      <c r="AI311" s="33"/>
      <c r="AJ311" s="36"/>
      <c r="AK311" s="36"/>
      <c r="AL311" s="36"/>
      <c r="AM311" s="36"/>
      <c r="AN311" s="36"/>
      <c r="AO311" s="36"/>
      <c r="AP311" s="36"/>
      <c r="AQ311" s="36"/>
      <c r="AR311" s="36"/>
      <c r="AS311" s="36"/>
      <c r="AT311" s="36"/>
      <c r="AU311" s="36"/>
      <c r="AV311" s="36"/>
      <c r="AW311" s="36"/>
      <c r="AX311" s="36"/>
      <c r="AY311" s="36"/>
      <c r="AZ311" s="36"/>
      <c r="BA311" s="36"/>
      <c r="BB311" s="36"/>
    </row>
    <row r="312" spans="1:54" x14ac:dyDescent="0.25">
      <c r="A312" s="34"/>
      <c r="B312" s="34"/>
      <c r="C312" s="34"/>
      <c r="D312" s="35"/>
      <c r="E312" s="35"/>
      <c r="F312" s="35"/>
      <c r="G312" s="35"/>
      <c r="H312" s="35"/>
      <c r="I312" s="35"/>
      <c r="J312" s="35"/>
      <c r="K312" s="35"/>
      <c r="L312" s="35"/>
      <c r="M312" s="35"/>
      <c r="N312" s="35"/>
      <c r="O312" s="35"/>
      <c r="P312" s="35"/>
      <c r="Q312" s="35"/>
      <c r="R312" s="35"/>
      <c r="S312" s="35"/>
      <c r="T312" s="35"/>
      <c r="U312" s="35"/>
      <c r="V312" s="35"/>
      <c r="W312" s="35"/>
      <c r="X312" s="35"/>
      <c r="Y312" s="35"/>
      <c r="Z312" s="35"/>
      <c r="AA312" s="35"/>
      <c r="AB312" s="35"/>
      <c r="AC312" s="35"/>
      <c r="AD312" s="35"/>
      <c r="AE312" s="35"/>
      <c r="AF312" s="35"/>
      <c r="AG312" s="35"/>
      <c r="AH312" s="35"/>
      <c r="AI312" s="35"/>
      <c r="AJ312" s="35"/>
      <c r="AK312" s="35"/>
      <c r="AL312" s="35"/>
      <c r="AM312" s="35"/>
      <c r="AN312" s="35"/>
      <c r="AO312" s="35"/>
      <c r="AP312" s="35"/>
      <c r="AQ312" s="35"/>
      <c r="AR312" s="35"/>
      <c r="AS312" s="35"/>
      <c r="AT312" s="35"/>
      <c r="AU312" s="35"/>
      <c r="AV312" s="35"/>
      <c r="AW312" s="35"/>
      <c r="AX312" s="35"/>
      <c r="AY312" s="37"/>
      <c r="AZ312" s="37"/>
      <c r="BA312" s="35"/>
      <c r="BB312" s="35"/>
    </row>
    <row r="313" spans="1:54" s="5" customFormat="1" x14ac:dyDescent="0.25">
      <c r="A313" s="32"/>
      <c r="B313" s="32"/>
      <c r="C313" s="32"/>
      <c r="D313" s="36"/>
      <c r="E313" s="36"/>
      <c r="F313" s="36"/>
      <c r="G313" s="36"/>
      <c r="H313" s="36"/>
      <c r="I313" s="36"/>
      <c r="J313" s="36"/>
      <c r="K313" s="36"/>
      <c r="L313" s="36"/>
      <c r="M313" s="36"/>
      <c r="N313" s="36"/>
      <c r="O313" s="36"/>
      <c r="P313" s="36"/>
      <c r="Q313" s="36"/>
      <c r="R313" s="36"/>
      <c r="S313" s="36"/>
      <c r="T313" s="36"/>
      <c r="U313" s="36"/>
      <c r="V313" s="36"/>
      <c r="W313" s="36"/>
      <c r="X313" s="36"/>
      <c r="Y313" s="36"/>
      <c r="Z313" s="36"/>
      <c r="AA313" s="36"/>
      <c r="AB313" s="36"/>
      <c r="AC313" s="36"/>
      <c r="AD313" s="36"/>
      <c r="AE313" s="36"/>
      <c r="AF313" s="36"/>
      <c r="AG313" s="36"/>
      <c r="AH313" s="36"/>
      <c r="AI313" s="36"/>
      <c r="AJ313" s="36"/>
      <c r="AK313" s="36"/>
      <c r="AL313" s="36"/>
      <c r="AM313" s="36"/>
      <c r="AN313" s="36"/>
      <c r="AO313" s="36"/>
      <c r="AP313" s="36"/>
      <c r="AQ313" s="36"/>
      <c r="AR313" s="36"/>
      <c r="AS313" s="36"/>
      <c r="AT313" s="36"/>
      <c r="AU313" s="36"/>
      <c r="AV313" s="36"/>
      <c r="AW313" s="36"/>
      <c r="AX313" s="36"/>
      <c r="AY313" s="36"/>
      <c r="AZ313" s="36"/>
      <c r="BA313" s="36"/>
      <c r="BB313" s="36"/>
    </row>
    <row r="314" spans="1:54" x14ac:dyDescent="0.25">
      <c r="A314" s="34"/>
      <c r="B314" s="34"/>
      <c r="C314" s="34"/>
      <c r="D314" s="35"/>
      <c r="E314" s="37"/>
      <c r="F314" s="35"/>
      <c r="G314" s="37"/>
      <c r="H314" s="37"/>
      <c r="I314" s="37"/>
      <c r="J314" s="37"/>
      <c r="K314" s="37"/>
      <c r="L314" s="35"/>
      <c r="M314" s="37"/>
      <c r="N314" s="37"/>
      <c r="O314" s="35"/>
      <c r="P314" s="37"/>
      <c r="Q314" s="37"/>
      <c r="R314" s="37"/>
      <c r="S314" s="37"/>
      <c r="T314" s="37"/>
      <c r="U314" s="37"/>
      <c r="V314" s="37"/>
      <c r="W314" s="37"/>
      <c r="X314" s="37"/>
      <c r="Y314" s="37"/>
      <c r="Z314" s="37"/>
      <c r="AA314" s="37"/>
      <c r="AB314" s="37"/>
      <c r="AC314" s="37"/>
      <c r="AD314" s="37"/>
      <c r="AE314" s="37"/>
      <c r="AF314" s="37"/>
      <c r="AG314" s="37"/>
      <c r="AH314" s="37"/>
      <c r="AI314" s="37"/>
      <c r="AJ314" s="37"/>
      <c r="AK314" s="37"/>
      <c r="AL314" s="37"/>
      <c r="AM314" s="37"/>
      <c r="AN314" s="37"/>
      <c r="AO314" s="37"/>
      <c r="AP314" s="37"/>
      <c r="AQ314" s="37"/>
      <c r="AR314" s="37"/>
      <c r="AS314" s="37"/>
      <c r="AT314" s="37"/>
      <c r="AU314" s="37"/>
      <c r="AV314" s="37"/>
      <c r="AW314" s="37"/>
      <c r="AX314" s="37"/>
      <c r="AY314" s="37"/>
      <c r="AZ314" s="37"/>
      <c r="BA314" s="37"/>
      <c r="BB314" s="37"/>
    </row>
    <row r="315" spans="1:54" s="5" customFormat="1" x14ac:dyDescent="0.25">
      <c r="A315" s="32"/>
      <c r="B315" s="32"/>
      <c r="C315" s="32"/>
      <c r="D315" s="33"/>
      <c r="E315" s="33"/>
      <c r="F315" s="33"/>
      <c r="G315" s="33"/>
      <c r="H315" s="33"/>
      <c r="I315" s="33"/>
      <c r="J315" s="33"/>
      <c r="K315" s="33"/>
      <c r="L315" s="33"/>
      <c r="M315" s="33"/>
      <c r="N315" s="33"/>
      <c r="O315" s="33"/>
      <c r="P315" s="33"/>
      <c r="Q315" s="33"/>
      <c r="R315" s="33"/>
      <c r="S315" s="33"/>
      <c r="T315" s="33"/>
      <c r="U315" s="33"/>
      <c r="V315" s="33"/>
      <c r="W315" s="33"/>
      <c r="X315" s="33"/>
      <c r="Y315" s="33"/>
      <c r="Z315" s="33"/>
      <c r="AA315" s="33"/>
      <c r="AB315" s="33"/>
      <c r="AC315" s="33"/>
      <c r="AD315" s="33"/>
      <c r="AE315" s="33"/>
      <c r="AF315" s="33"/>
      <c r="AG315" s="33"/>
      <c r="AH315" s="33"/>
      <c r="AI315" s="33"/>
      <c r="AJ315" s="33"/>
      <c r="AK315" s="33"/>
      <c r="AL315" s="33"/>
      <c r="AM315" s="33"/>
      <c r="AN315" s="33"/>
      <c r="AO315" s="33"/>
      <c r="AP315" s="33"/>
      <c r="AQ315" s="33"/>
      <c r="AR315" s="33"/>
      <c r="AS315" s="33"/>
      <c r="AT315" s="33"/>
      <c r="AU315" s="33"/>
      <c r="AV315" s="33"/>
      <c r="AW315" s="33"/>
      <c r="AX315" s="33"/>
      <c r="AY315" s="33"/>
      <c r="AZ315" s="33"/>
      <c r="BA315" s="33"/>
      <c r="BB315" s="33"/>
    </row>
    <row r="316" spans="1:54" x14ac:dyDescent="0.25">
      <c r="A316" s="34"/>
      <c r="B316" s="34"/>
      <c r="C316" s="34"/>
      <c r="D316" s="35"/>
      <c r="E316" s="35"/>
      <c r="F316" s="35"/>
      <c r="G316" s="35"/>
      <c r="H316" s="35"/>
      <c r="I316" s="35"/>
      <c r="J316" s="35"/>
      <c r="K316" s="35"/>
      <c r="L316" s="35"/>
      <c r="M316" s="35"/>
      <c r="N316" s="35"/>
      <c r="O316" s="35"/>
      <c r="P316" s="35"/>
      <c r="Q316" s="35"/>
      <c r="R316" s="35"/>
      <c r="S316" s="35"/>
      <c r="T316" s="35"/>
      <c r="U316" s="35"/>
      <c r="V316" s="35"/>
      <c r="W316" s="35"/>
      <c r="X316" s="35"/>
      <c r="Y316" s="35"/>
      <c r="Z316" s="35"/>
      <c r="AA316" s="35"/>
      <c r="AB316" s="35"/>
      <c r="AC316" s="35"/>
      <c r="AD316" s="35"/>
      <c r="AE316" s="35"/>
      <c r="AF316" s="35"/>
      <c r="AG316" s="35"/>
      <c r="AH316" s="35"/>
      <c r="AI316" s="35"/>
      <c r="AJ316" s="35"/>
      <c r="AK316" s="35"/>
      <c r="AL316" s="35"/>
      <c r="AM316" s="35"/>
      <c r="AN316" s="35"/>
      <c r="AO316" s="35"/>
      <c r="AP316" s="35"/>
      <c r="AQ316" s="35"/>
      <c r="AR316" s="35"/>
      <c r="AS316" s="35"/>
      <c r="AT316" s="35"/>
      <c r="AU316" s="35"/>
      <c r="AV316" s="35"/>
      <c r="AW316" s="35"/>
      <c r="AX316" s="35"/>
      <c r="AY316" s="35"/>
      <c r="AZ316" s="35"/>
      <c r="BA316" s="35"/>
      <c r="BB316" s="35"/>
    </row>
    <row r="317" spans="1:54" s="5" customFormat="1" x14ac:dyDescent="0.25">
      <c r="A317" s="32"/>
      <c r="B317" s="32"/>
      <c r="C317" s="32"/>
      <c r="D317" s="33"/>
      <c r="E317" s="36"/>
      <c r="F317" s="33"/>
      <c r="G317" s="36"/>
      <c r="H317" s="36"/>
      <c r="I317" s="36"/>
      <c r="J317" s="36"/>
      <c r="K317" s="36"/>
      <c r="L317" s="33"/>
      <c r="M317" s="36"/>
      <c r="N317" s="36"/>
      <c r="O317" s="33"/>
      <c r="P317" s="36"/>
      <c r="Q317" s="36"/>
      <c r="R317" s="36"/>
      <c r="S317" s="36"/>
      <c r="T317" s="36"/>
      <c r="U317" s="36"/>
      <c r="V317" s="36"/>
      <c r="W317" s="36"/>
      <c r="X317" s="36"/>
      <c r="Y317" s="36"/>
      <c r="Z317" s="36"/>
      <c r="AA317" s="36"/>
      <c r="AB317" s="36"/>
      <c r="AC317" s="36"/>
      <c r="AD317" s="36"/>
      <c r="AE317" s="36"/>
      <c r="AF317" s="36"/>
      <c r="AG317" s="36"/>
      <c r="AH317" s="36"/>
      <c r="AI317" s="36"/>
      <c r="AJ317" s="36"/>
      <c r="AK317" s="36"/>
      <c r="AL317" s="36"/>
      <c r="AM317" s="36"/>
      <c r="AN317" s="36"/>
      <c r="AO317" s="36"/>
      <c r="AP317" s="36"/>
      <c r="AQ317" s="36"/>
      <c r="AR317" s="36"/>
      <c r="AS317" s="36"/>
      <c r="AT317" s="36"/>
      <c r="AU317" s="36"/>
      <c r="AV317" s="36"/>
      <c r="AW317" s="36"/>
      <c r="AX317" s="36"/>
      <c r="AY317" s="36"/>
      <c r="AZ317" s="36"/>
      <c r="BA317" s="36"/>
      <c r="BB317" s="36"/>
    </row>
    <row r="318" spans="1:54" x14ac:dyDescent="0.25">
      <c r="A318" s="34"/>
      <c r="B318" s="34"/>
      <c r="C318" s="34"/>
      <c r="D318" s="35"/>
      <c r="E318" s="35"/>
      <c r="F318" s="35"/>
      <c r="G318" s="35"/>
      <c r="H318" s="35"/>
      <c r="I318" s="35"/>
      <c r="J318" s="35"/>
      <c r="K318" s="35"/>
      <c r="L318" s="35"/>
      <c r="M318" s="35"/>
      <c r="N318" s="35"/>
      <c r="O318" s="35"/>
      <c r="P318" s="35"/>
      <c r="Q318" s="35"/>
      <c r="R318" s="35"/>
      <c r="S318" s="35"/>
      <c r="T318" s="35"/>
      <c r="U318" s="35"/>
      <c r="V318" s="35"/>
      <c r="W318" s="35"/>
      <c r="X318" s="35"/>
      <c r="Y318" s="35"/>
      <c r="Z318" s="35"/>
      <c r="AA318" s="35"/>
      <c r="AB318" s="35"/>
      <c r="AC318" s="35"/>
      <c r="AD318" s="35"/>
      <c r="AE318" s="35"/>
      <c r="AF318" s="35"/>
      <c r="AG318" s="35"/>
      <c r="AH318" s="35"/>
      <c r="AI318" s="35"/>
      <c r="AJ318" s="35"/>
      <c r="AK318" s="35"/>
      <c r="AL318" s="35"/>
      <c r="AM318" s="35"/>
      <c r="AN318" s="35"/>
      <c r="AO318" s="35"/>
      <c r="AP318" s="35"/>
      <c r="AQ318" s="35"/>
      <c r="AR318" s="35"/>
      <c r="AS318" s="35"/>
      <c r="AT318" s="35"/>
      <c r="AU318" s="35"/>
      <c r="AV318" s="35"/>
      <c r="AW318" s="35"/>
      <c r="AX318" s="35"/>
      <c r="AY318" s="35"/>
      <c r="AZ318" s="35"/>
      <c r="BA318" s="35"/>
      <c r="BB318" s="35"/>
    </row>
    <row r="319" spans="1:54" s="5" customFormat="1" x14ac:dyDescent="0.25">
      <c r="A319" s="32"/>
      <c r="B319" s="32"/>
      <c r="C319" s="32"/>
      <c r="D319" s="33"/>
      <c r="E319" s="33"/>
      <c r="F319" s="33"/>
      <c r="G319" s="33"/>
      <c r="H319" s="33"/>
      <c r="I319" s="33"/>
      <c r="J319" s="33"/>
      <c r="K319" s="33"/>
      <c r="L319" s="33"/>
      <c r="M319" s="33"/>
      <c r="N319" s="33"/>
      <c r="O319" s="33"/>
      <c r="P319" s="33"/>
      <c r="Q319" s="33"/>
      <c r="R319" s="33"/>
      <c r="S319" s="33"/>
      <c r="T319" s="33"/>
      <c r="U319" s="33"/>
      <c r="V319" s="33"/>
      <c r="W319" s="33"/>
      <c r="X319" s="33"/>
      <c r="Y319" s="33"/>
      <c r="Z319" s="33"/>
      <c r="AA319" s="33"/>
      <c r="AB319" s="33"/>
      <c r="AC319" s="33"/>
      <c r="AD319" s="33"/>
      <c r="AE319" s="33"/>
      <c r="AF319" s="33"/>
      <c r="AG319" s="33"/>
      <c r="AH319" s="33"/>
      <c r="AI319" s="33"/>
      <c r="AJ319" s="33"/>
      <c r="AK319" s="33"/>
      <c r="AL319" s="33"/>
      <c r="AM319" s="33"/>
      <c r="AN319" s="33"/>
      <c r="AO319" s="33"/>
      <c r="AP319" s="33"/>
      <c r="AQ319" s="33"/>
      <c r="AR319" s="33"/>
      <c r="AS319" s="33"/>
      <c r="AT319" s="33"/>
      <c r="AU319" s="33"/>
      <c r="AV319" s="33"/>
      <c r="AW319" s="33"/>
      <c r="AX319" s="33"/>
      <c r="AY319" s="33"/>
      <c r="AZ319" s="33"/>
      <c r="BA319" s="33"/>
      <c r="BB319" s="33"/>
    </row>
    <row r="320" spans="1:54" x14ac:dyDescent="0.25">
      <c r="A320" s="34"/>
      <c r="B320" s="34"/>
      <c r="C320" s="34"/>
      <c r="D320" s="35"/>
      <c r="E320" s="35"/>
      <c r="F320" s="35"/>
      <c r="G320" s="35"/>
      <c r="H320" s="35"/>
      <c r="I320" s="35"/>
      <c r="J320" s="35"/>
      <c r="K320" s="35"/>
      <c r="L320" s="35"/>
      <c r="M320" s="35"/>
      <c r="N320" s="35"/>
      <c r="O320" s="35"/>
      <c r="P320" s="35"/>
      <c r="Q320" s="35"/>
      <c r="R320" s="35"/>
      <c r="S320" s="35"/>
      <c r="T320" s="35"/>
      <c r="U320" s="35"/>
      <c r="V320" s="35"/>
      <c r="W320" s="35"/>
      <c r="X320" s="35"/>
      <c r="Y320" s="35"/>
      <c r="Z320" s="35"/>
      <c r="AA320" s="35"/>
      <c r="AB320" s="35"/>
      <c r="AC320" s="35"/>
      <c r="AD320" s="35"/>
      <c r="AE320" s="35"/>
      <c r="AF320" s="35"/>
      <c r="AG320" s="35"/>
      <c r="AH320" s="35"/>
      <c r="AI320" s="35"/>
      <c r="AJ320" s="35"/>
      <c r="AK320" s="35"/>
      <c r="AL320" s="35"/>
      <c r="AM320" s="35"/>
      <c r="AN320" s="35"/>
      <c r="AO320" s="35"/>
      <c r="AP320" s="35"/>
      <c r="AQ320" s="35"/>
      <c r="AR320" s="35"/>
      <c r="AS320" s="35"/>
      <c r="AT320" s="35"/>
      <c r="AU320" s="35"/>
      <c r="AV320" s="35"/>
      <c r="AW320" s="35"/>
      <c r="AX320" s="35"/>
      <c r="AY320" s="35"/>
      <c r="AZ320" s="35"/>
      <c r="BA320" s="35"/>
      <c r="BB320" s="35"/>
    </row>
    <row r="321" spans="1:54" s="5" customFormat="1" x14ac:dyDescent="0.25">
      <c r="A321" s="32"/>
      <c r="B321" s="32"/>
      <c r="C321" s="32"/>
      <c r="D321" s="33"/>
      <c r="E321" s="33"/>
      <c r="F321" s="33"/>
      <c r="G321" s="33"/>
      <c r="H321" s="33"/>
      <c r="I321" s="33"/>
      <c r="J321" s="33"/>
      <c r="K321" s="33"/>
      <c r="L321" s="33"/>
      <c r="M321" s="33"/>
      <c r="N321" s="33"/>
      <c r="O321" s="33"/>
      <c r="P321" s="33"/>
      <c r="Q321" s="33"/>
      <c r="R321" s="33"/>
      <c r="S321" s="33"/>
      <c r="T321" s="33"/>
      <c r="U321" s="33"/>
      <c r="V321" s="33"/>
      <c r="W321" s="33"/>
      <c r="X321" s="33"/>
      <c r="Y321" s="33"/>
      <c r="Z321" s="33"/>
      <c r="AA321" s="33"/>
      <c r="AB321" s="33"/>
      <c r="AC321" s="33"/>
      <c r="AD321" s="33"/>
      <c r="AE321" s="33"/>
      <c r="AF321" s="33"/>
      <c r="AG321" s="33"/>
      <c r="AH321" s="33"/>
      <c r="AI321" s="33"/>
      <c r="AJ321" s="33"/>
      <c r="AK321" s="33"/>
      <c r="AL321" s="33"/>
      <c r="AM321" s="33"/>
      <c r="AN321" s="33"/>
      <c r="AO321" s="33"/>
      <c r="AP321" s="33"/>
      <c r="AQ321" s="33"/>
      <c r="AR321" s="33"/>
      <c r="AS321" s="33"/>
      <c r="AT321" s="33"/>
      <c r="AU321" s="33"/>
      <c r="AV321" s="33"/>
      <c r="AW321" s="33"/>
      <c r="AX321" s="33"/>
      <c r="AY321" s="33"/>
      <c r="AZ321" s="33"/>
      <c r="BA321" s="33"/>
      <c r="BB321" s="33"/>
    </row>
    <row r="322" spans="1:54" x14ac:dyDescent="0.25">
      <c r="A322" s="34"/>
      <c r="B322" s="34"/>
      <c r="C322" s="34"/>
      <c r="D322" s="35"/>
      <c r="E322" s="35"/>
      <c r="F322" s="35"/>
      <c r="G322" s="35"/>
      <c r="H322" s="35"/>
      <c r="I322" s="35"/>
      <c r="J322" s="35"/>
      <c r="K322" s="35"/>
      <c r="L322" s="35"/>
      <c r="M322" s="35"/>
      <c r="N322" s="35"/>
      <c r="O322" s="35"/>
      <c r="P322" s="35"/>
      <c r="Q322" s="35"/>
      <c r="R322" s="35"/>
      <c r="S322" s="35"/>
      <c r="T322" s="35"/>
      <c r="U322" s="35"/>
      <c r="V322" s="35"/>
      <c r="W322" s="35"/>
      <c r="X322" s="35"/>
      <c r="Y322" s="35"/>
      <c r="Z322" s="35"/>
      <c r="AA322" s="35"/>
      <c r="AB322" s="35"/>
      <c r="AC322" s="35"/>
      <c r="AD322" s="35"/>
      <c r="AE322" s="35"/>
      <c r="AF322" s="35"/>
      <c r="AG322" s="35"/>
      <c r="AH322" s="35"/>
      <c r="AI322" s="35"/>
      <c r="AJ322" s="35"/>
      <c r="AK322" s="35"/>
      <c r="AL322" s="35"/>
      <c r="AM322" s="35"/>
      <c r="AN322" s="35"/>
      <c r="AO322" s="35"/>
      <c r="AP322" s="35"/>
      <c r="AQ322" s="35"/>
      <c r="AR322" s="35"/>
      <c r="AS322" s="35"/>
      <c r="AT322" s="35"/>
      <c r="AU322" s="35"/>
      <c r="AV322" s="35"/>
      <c r="AW322" s="35"/>
      <c r="AX322" s="35"/>
      <c r="AY322" s="35"/>
      <c r="AZ322" s="35"/>
      <c r="BA322" s="35"/>
      <c r="BB322" s="35"/>
    </row>
    <row r="323" spans="1:54" s="5" customFormat="1" x14ac:dyDescent="0.25">
      <c r="A323" s="32"/>
      <c r="B323" s="32"/>
      <c r="C323" s="32"/>
      <c r="D323" s="33"/>
      <c r="E323" s="33"/>
      <c r="F323" s="33"/>
      <c r="G323" s="33"/>
      <c r="H323" s="33"/>
      <c r="I323" s="33"/>
      <c r="J323" s="33"/>
      <c r="K323" s="33"/>
      <c r="L323" s="33"/>
      <c r="M323" s="33"/>
      <c r="N323" s="33"/>
      <c r="O323" s="33"/>
      <c r="P323" s="33"/>
      <c r="Q323" s="33"/>
      <c r="R323" s="33"/>
      <c r="S323" s="33"/>
      <c r="T323" s="33"/>
      <c r="U323" s="33"/>
      <c r="V323" s="33"/>
      <c r="W323" s="33"/>
      <c r="X323" s="33"/>
      <c r="Y323" s="33"/>
      <c r="Z323" s="33"/>
      <c r="AA323" s="33"/>
      <c r="AB323" s="33"/>
      <c r="AC323" s="33"/>
      <c r="AD323" s="33"/>
      <c r="AE323" s="33"/>
      <c r="AF323" s="33"/>
      <c r="AG323" s="33"/>
      <c r="AH323" s="33"/>
      <c r="AI323" s="33"/>
      <c r="AJ323" s="33"/>
      <c r="AK323" s="33"/>
      <c r="AL323" s="33"/>
      <c r="AM323" s="33"/>
      <c r="AN323" s="33"/>
      <c r="AO323" s="33"/>
      <c r="AP323" s="33"/>
      <c r="AQ323" s="33"/>
      <c r="AR323" s="33"/>
      <c r="AS323" s="33"/>
      <c r="AT323" s="33"/>
      <c r="AU323" s="33"/>
      <c r="AV323" s="33"/>
      <c r="AW323" s="33"/>
      <c r="AX323" s="33"/>
      <c r="AY323" s="33"/>
      <c r="AZ323" s="33"/>
      <c r="BA323" s="33"/>
      <c r="BB323" s="33"/>
    </row>
    <row r="324" spans="1:54" x14ac:dyDescent="0.25">
      <c r="A324" s="34"/>
      <c r="B324" s="34"/>
      <c r="C324" s="34"/>
      <c r="D324" s="35"/>
      <c r="E324" s="35"/>
      <c r="F324" s="35"/>
      <c r="G324" s="35"/>
      <c r="H324" s="35"/>
      <c r="I324" s="35"/>
      <c r="J324" s="35"/>
      <c r="K324" s="35"/>
      <c r="L324" s="35"/>
      <c r="M324" s="35"/>
      <c r="N324" s="35"/>
      <c r="O324" s="35"/>
      <c r="P324" s="35"/>
      <c r="Q324" s="35"/>
      <c r="R324" s="35"/>
      <c r="S324" s="35"/>
      <c r="T324" s="35"/>
      <c r="U324" s="35"/>
      <c r="V324" s="35"/>
      <c r="W324" s="35"/>
      <c r="X324" s="35"/>
      <c r="Y324" s="35"/>
      <c r="Z324" s="35"/>
      <c r="AA324" s="35"/>
      <c r="AB324" s="35"/>
      <c r="AC324" s="35"/>
      <c r="AD324" s="35"/>
      <c r="AE324" s="35"/>
      <c r="AF324" s="35"/>
      <c r="AG324" s="35"/>
      <c r="AH324" s="35"/>
      <c r="AI324" s="35"/>
      <c r="AJ324" s="35"/>
      <c r="AK324" s="35"/>
      <c r="AL324" s="35"/>
      <c r="AM324" s="35"/>
      <c r="AN324" s="35"/>
      <c r="AO324" s="35"/>
      <c r="AP324" s="35"/>
      <c r="AQ324" s="35"/>
      <c r="AR324" s="35"/>
      <c r="AS324" s="35"/>
      <c r="AT324" s="35"/>
      <c r="AU324" s="35"/>
      <c r="AV324" s="35"/>
      <c r="AW324" s="35"/>
      <c r="AX324" s="35"/>
      <c r="AY324" s="35"/>
      <c r="AZ324" s="35"/>
      <c r="BA324" s="35"/>
      <c r="BB324" s="35"/>
    </row>
    <row r="325" spans="1:54" s="5" customFormat="1" x14ac:dyDescent="0.25">
      <c r="A325" s="32"/>
      <c r="B325" s="32"/>
      <c r="C325" s="32"/>
      <c r="D325" s="33"/>
      <c r="E325" s="33"/>
      <c r="F325" s="33"/>
      <c r="G325" s="33"/>
      <c r="H325" s="33"/>
      <c r="I325" s="33"/>
      <c r="J325" s="33"/>
      <c r="K325" s="33"/>
      <c r="L325" s="33"/>
      <c r="M325" s="33"/>
      <c r="N325" s="33"/>
      <c r="O325" s="33"/>
      <c r="P325" s="33"/>
      <c r="Q325" s="33"/>
      <c r="R325" s="33"/>
      <c r="S325" s="33"/>
      <c r="T325" s="33"/>
      <c r="U325" s="33"/>
      <c r="V325" s="33"/>
      <c r="W325" s="33"/>
      <c r="X325" s="33"/>
      <c r="Y325" s="33"/>
      <c r="Z325" s="33"/>
      <c r="AA325" s="33"/>
      <c r="AB325" s="33"/>
      <c r="AC325" s="33"/>
      <c r="AD325" s="33"/>
      <c r="AE325" s="33"/>
      <c r="AF325" s="33"/>
      <c r="AG325" s="33"/>
      <c r="AH325" s="33"/>
      <c r="AI325" s="33"/>
      <c r="AJ325" s="33"/>
      <c r="AK325" s="33"/>
      <c r="AL325" s="33"/>
      <c r="AM325" s="33"/>
      <c r="AN325" s="33"/>
      <c r="AO325" s="33"/>
      <c r="AP325" s="33"/>
      <c r="AQ325" s="33"/>
      <c r="AR325" s="33"/>
      <c r="AS325" s="33"/>
      <c r="AT325" s="33"/>
      <c r="AU325" s="33"/>
      <c r="AV325" s="33"/>
      <c r="AW325" s="33"/>
      <c r="AX325" s="33"/>
      <c r="AY325" s="33"/>
      <c r="AZ325" s="33"/>
      <c r="BA325" s="33"/>
      <c r="BB325" s="33"/>
    </row>
    <row r="326" spans="1:54" x14ac:dyDescent="0.25">
      <c r="A326" s="34"/>
      <c r="B326" s="34"/>
      <c r="C326" s="34"/>
      <c r="D326" s="35"/>
      <c r="E326" s="35"/>
      <c r="F326" s="35"/>
      <c r="G326" s="35"/>
      <c r="H326" s="35"/>
      <c r="I326" s="35"/>
      <c r="J326" s="35"/>
      <c r="K326" s="35"/>
      <c r="L326" s="35"/>
      <c r="M326" s="35"/>
      <c r="N326" s="35"/>
      <c r="O326" s="35"/>
      <c r="P326" s="35"/>
      <c r="Q326" s="35"/>
      <c r="R326" s="35"/>
      <c r="S326" s="35"/>
      <c r="T326" s="35"/>
      <c r="U326" s="35"/>
      <c r="V326" s="35"/>
      <c r="W326" s="35"/>
      <c r="X326" s="35"/>
      <c r="Y326" s="35"/>
      <c r="Z326" s="35"/>
      <c r="AA326" s="35"/>
      <c r="AB326" s="35"/>
      <c r="AC326" s="35"/>
      <c r="AD326" s="35"/>
      <c r="AE326" s="37"/>
      <c r="AF326" s="37"/>
      <c r="AG326" s="37"/>
      <c r="AH326" s="37"/>
      <c r="AI326" s="37"/>
      <c r="AJ326" s="37"/>
      <c r="AK326" s="37"/>
      <c r="AL326" s="37"/>
      <c r="AM326" s="37"/>
      <c r="AN326" s="37"/>
      <c r="AO326" s="37"/>
      <c r="AP326" s="37"/>
      <c r="AQ326" s="37"/>
      <c r="AR326" s="37"/>
      <c r="AS326" s="37"/>
      <c r="AT326" s="37"/>
      <c r="AU326" s="37"/>
      <c r="AV326" s="37"/>
      <c r="AW326" s="37"/>
      <c r="AX326" s="37"/>
      <c r="AY326" s="37"/>
      <c r="AZ326" s="37"/>
      <c r="BA326" s="37"/>
      <c r="BB326" s="37"/>
    </row>
    <row r="327" spans="1:54" s="5" customFormat="1" x14ac:dyDescent="0.25">
      <c r="A327" s="32"/>
      <c r="B327" s="32"/>
      <c r="C327" s="32"/>
      <c r="D327" s="33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3"/>
      <c r="V327" s="33"/>
      <c r="W327" s="33"/>
      <c r="X327" s="33"/>
      <c r="Y327" s="33"/>
      <c r="Z327" s="33"/>
      <c r="AA327" s="33"/>
      <c r="AB327" s="33"/>
      <c r="AC327" s="33"/>
      <c r="AD327" s="33"/>
      <c r="AE327" s="33"/>
      <c r="AF327" s="33"/>
      <c r="AG327" s="33"/>
      <c r="AH327" s="33"/>
      <c r="AI327" s="33"/>
      <c r="AJ327" s="33"/>
      <c r="AK327" s="33"/>
      <c r="AL327" s="33"/>
      <c r="AM327" s="33"/>
      <c r="AN327" s="33"/>
      <c r="AO327" s="33"/>
      <c r="AP327" s="33"/>
      <c r="AQ327" s="33"/>
      <c r="AR327" s="36"/>
      <c r="AS327" s="36"/>
      <c r="AT327" s="36"/>
      <c r="AU327" s="36"/>
      <c r="AV327" s="36"/>
      <c r="AW327" s="36"/>
      <c r="AX327" s="36"/>
      <c r="AY327" s="36"/>
      <c r="AZ327" s="36"/>
      <c r="BA327" s="36"/>
      <c r="BB327" s="36"/>
    </row>
    <row r="328" spans="1:54" x14ac:dyDescent="0.25">
      <c r="A328" s="34"/>
      <c r="B328" s="34"/>
      <c r="C328" s="34"/>
      <c r="D328" s="35"/>
      <c r="E328" s="35"/>
      <c r="F328" s="35"/>
      <c r="G328" s="35"/>
      <c r="H328" s="35"/>
      <c r="I328" s="35"/>
      <c r="J328" s="35"/>
      <c r="K328" s="35"/>
      <c r="L328" s="35"/>
      <c r="M328" s="35"/>
      <c r="N328" s="35"/>
      <c r="O328" s="35"/>
      <c r="P328" s="35"/>
      <c r="Q328" s="35"/>
      <c r="R328" s="35"/>
      <c r="S328" s="35"/>
      <c r="T328" s="35"/>
      <c r="U328" s="35"/>
      <c r="V328" s="35"/>
      <c r="W328" s="35"/>
      <c r="X328" s="35"/>
      <c r="Y328" s="35"/>
      <c r="Z328" s="35"/>
      <c r="AA328" s="35"/>
      <c r="AB328" s="35"/>
      <c r="AC328" s="35"/>
      <c r="AD328" s="35"/>
      <c r="AE328" s="35"/>
      <c r="AF328" s="35"/>
      <c r="AG328" s="35"/>
      <c r="AH328" s="35"/>
      <c r="AI328" s="35"/>
      <c r="AJ328" s="35"/>
      <c r="AK328" s="35"/>
      <c r="AL328" s="35"/>
      <c r="AM328" s="35"/>
      <c r="AN328" s="35"/>
      <c r="AO328" s="35"/>
      <c r="AP328" s="35"/>
      <c r="AQ328" s="35"/>
      <c r="AR328" s="35"/>
      <c r="AS328" s="35"/>
      <c r="AT328" s="35"/>
      <c r="AU328" s="35"/>
      <c r="AV328" s="35"/>
      <c r="AW328" s="35"/>
      <c r="AX328" s="35"/>
      <c r="AY328" s="35"/>
      <c r="AZ328" s="35"/>
      <c r="BA328" s="35"/>
      <c r="BB328" s="35"/>
    </row>
    <row r="329" spans="1:54" s="5" customFormat="1" x14ac:dyDescent="0.25">
      <c r="A329" s="32"/>
      <c r="B329" s="32"/>
      <c r="C329" s="32"/>
      <c r="D329" s="33"/>
      <c r="E329" s="33"/>
      <c r="F329" s="33"/>
      <c r="G329" s="33"/>
      <c r="H329" s="33"/>
      <c r="I329" s="33"/>
      <c r="J329" s="33"/>
      <c r="K329" s="33"/>
      <c r="L329" s="33"/>
      <c r="M329" s="33"/>
      <c r="N329" s="33"/>
      <c r="O329" s="33"/>
      <c r="P329" s="33"/>
      <c r="Q329" s="33"/>
      <c r="R329" s="33"/>
      <c r="S329" s="33"/>
      <c r="T329" s="33"/>
      <c r="U329" s="33"/>
      <c r="V329" s="33"/>
      <c r="W329" s="33"/>
      <c r="X329" s="33"/>
      <c r="Y329" s="36"/>
      <c r="Z329" s="36"/>
      <c r="AA329" s="36"/>
      <c r="AB329" s="36"/>
      <c r="AC329" s="36"/>
      <c r="AD329" s="36"/>
      <c r="AE329" s="36"/>
      <c r="AF329" s="36"/>
      <c r="AG329" s="36"/>
      <c r="AH329" s="36"/>
      <c r="AI329" s="36"/>
      <c r="AJ329" s="36"/>
      <c r="AK329" s="36"/>
      <c r="AL329" s="36"/>
      <c r="AM329" s="36"/>
      <c r="AN329" s="36"/>
      <c r="AO329" s="36"/>
      <c r="AP329" s="36"/>
      <c r="AQ329" s="36"/>
      <c r="AR329" s="36"/>
      <c r="AS329" s="36"/>
      <c r="AT329" s="36"/>
      <c r="AU329" s="36"/>
      <c r="AV329" s="36"/>
      <c r="AW329" s="36"/>
      <c r="AX329" s="36"/>
      <c r="AY329" s="36"/>
      <c r="AZ329" s="36"/>
      <c r="BA329" s="36"/>
      <c r="BB329" s="36"/>
    </row>
    <row r="330" spans="1:54" x14ac:dyDescent="0.25">
      <c r="A330" s="34"/>
      <c r="B330" s="34"/>
      <c r="C330" s="34"/>
      <c r="D330" s="37"/>
      <c r="E330" s="37"/>
      <c r="F330" s="37"/>
      <c r="G330" s="37"/>
      <c r="H330" s="37"/>
      <c r="I330" s="37"/>
      <c r="J330" s="37"/>
      <c r="K330" s="37"/>
      <c r="L330" s="37"/>
      <c r="M330" s="37"/>
      <c r="N330" s="37"/>
      <c r="O330" s="37"/>
      <c r="P330" s="37"/>
      <c r="Q330" s="37"/>
      <c r="R330" s="37"/>
      <c r="S330" s="37"/>
      <c r="T330" s="37"/>
      <c r="U330" s="37"/>
      <c r="V330" s="37"/>
      <c r="W330" s="37"/>
      <c r="X330" s="37"/>
      <c r="Y330" s="37"/>
      <c r="Z330" s="37"/>
      <c r="AA330" s="37"/>
      <c r="AB330" s="37"/>
      <c r="AC330" s="37"/>
      <c r="AD330" s="37"/>
      <c r="AE330" s="37"/>
      <c r="AF330" s="37"/>
      <c r="AG330" s="37"/>
      <c r="AH330" s="37"/>
      <c r="AI330" s="37"/>
      <c r="AJ330" s="37"/>
      <c r="AK330" s="37"/>
      <c r="AL330" s="37"/>
      <c r="AM330" s="37"/>
      <c r="AN330" s="37"/>
      <c r="AO330" s="37"/>
      <c r="AP330" s="37"/>
      <c r="AQ330" s="37"/>
      <c r="AR330" s="37"/>
      <c r="AS330" s="37"/>
      <c r="AT330" s="37"/>
      <c r="AU330" s="37"/>
      <c r="AV330" s="37"/>
      <c r="AW330" s="37"/>
      <c r="AX330" s="37"/>
      <c r="AY330" s="37"/>
      <c r="AZ330" s="37"/>
      <c r="BA330" s="37"/>
      <c r="BB330" s="37"/>
    </row>
    <row r="331" spans="1:54" s="5" customFormat="1" x14ac:dyDescent="0.25">
      <c r="A331" s="32"/>
      <c r="B331" s="32"/>
      <c r="C331" s="32"/>
      <c r="D331" s="33"/>
      <c r="E331" s="33"/>
      <c r="F331" s="33"/>
      <c r="G331" s="33"/>
      <c r="H331" s="33"/>
      <c r="I331" s="33"/>
      <c r="J331" s="33"/>
      <c r="K331" s="33"/>
      <c r="L331" s="33"/>
      <c r="M331" s="33"/>
      <c r="N331" s="33"/>
      <c r="O331" s="33"/>
      <c r="P331" s="33"/>
      <c r="Q331" s="33"/>
      <c r="R331" s="33"/>
      <c r="S331" s="33"/>
      <c r="T331" s="33"/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F331" s="33"/>
      <c r="AG331" s="33"/>
      <c r="AH331" s="33"/>
      <c r="AI331" s="33"/>
      <c r="AJ331" s="33"/>
      <c r="AK331" s="33"/>
      <c r="AL331" s="33"/>
      <c r="AM331" s="33"/>
      <c r="AN331" s="33"/>
      <c r="AO331" s="33"/>
      <c r="AP331" s="33"/>
      <c r="AQ331" s="33"/>
      <c r="AR331" s="33"/>
      <c r="AS331" s="33"/>
      <c r="AT331" s="33"/>
      <c r="AU331" s="33"/>
      <c r="AV331" s="33"/>
      <c r="AW331" s="33"/>
      <c r="AX331" s="33"/>
      <c r="AY331" s="33"/>
      <c r="AZ331" s="33"/>
      <c r="BA331" s="33"/>
      <c r="BB331" s="33"/>
    </row>
    <row r="332" spans="1:54" x14ac:dyDescent="0.25">
      <c r="A332" s="34"/>
      <c r="B332" s="34"/>
      <c r="C332" s="34"/>
      <c r="D332" s="35"/>
      <c r="E332" s="35"/>
      <c r="F332" s="35"/>
      <c r="G332" s="35"/>
      <c r="H332" s="35"/>
      <c r="I332" s="35"/>
      <c r="J332" s="35"/>
      <c r="K332" s="35"/>
      <c r="L332" s="35"/>
      <c r="M332" s="35"/>
      <c r="N332" s="35"/>
      <c r="O332" s="35"/>
      <c r="P332" s="35"/>
      <c r="Q332" s="35"/>
      <c r="R332" s="35"/>
      <c r="S332" s="35"/>
      <c r="T332" s="35"/>
      <c r="U332" s="35"/>
      <c r="V332" s="35"/>
      <c r="W332" s="35"/>
      <c r="X332" s="35"/>
      <c r="Y332" s="35"/>
      <c r="Z332" s="35"/>
      <c r="AA332" s="35"/>
      <c r="AB332" s="35"/>
      <c r="AC332" s="35"/>
      <c r="AD332" s="35"/>
      <c r="AE332" s="35"/>
      <c r="AF332" s="35"/>
      <c r="AG332" s="35"/>
      <c r="AH332" s="35"/>
      <c r="AI332" s="35"/>
      <c r="AJ332" s="35"/>
      <c r="AK332" s="35"/>
      <c r="AL332" s="35"/>
      <c r="AM332" s="35"/>
      <c r="AN332" s="35"/>
      <c r="AO332" s="35"/>
      <c r="AP332" s="35"/>
      <c r="AQ332" s="35"/>
      <c r="AR332" s="35"/>
      <c r="AS332" s="35"/>
      <c r="AT332" s="35"/>
      <c r="AU332" s="35"/>
      <c r="AV332" s="35"/>
      <c r="AW332" s="35"/>
      <c r="AX332" s="35"/>
      <c r="AY332" s="35"/>
      <c r="AZ332" s="35"/>
      <c r="BA332" s="35"/>
      <c r="BB332" s="35"/>
    </row>
    <row r="333" spans="1:54" s="5" customFormat="1" x14ac:dyDescent="0.25">
      <c r="A333" s="32"/>
      <c r="B333" s="32"/>
      <c r="C333" s="32"/>
      <c r="D333" s="36"/>
      <c r="E333" s="36"/>
      <c r="F333" s="36"/>
      <c r="G333" s="36"/>
      <c r="H333" s="36"/>
      <c r="I333" s="36"/>
      <c r="J333" s="36"/>
      <c r="K333" s="36"/>
      <c r="L333" s="36"/>
      <c r="M333" s="36"/>
      <c r="N333" s="36"/>
      <c r="O333" s="36"/>
      <c r="P333" s="36"/>
      <c r="Q333" s="36"/>
      <c r="R333" s="36"/>
      <c r="S333" s="36"/>
      <c r="T333" s="36"/>
      <c r="U333" s="36"/>
      <c r="V333" s="36"/>
      <c r="W333" s="36"/>
      <c r="X333" s="36"/>
      <c r="Y333" s="36"/>
      <c r="Z333" s="36"/>
      <c r="AA333" s="36"/>
      <c r="AB333" s="36"/>
      <c r="AC333" s="36"/>
      <c r="AD333" s="36"/>
      <c r="AE333" s="36"/>
      <c r="AF333" s="36"/>
      <c r="AG333" s="36"/>
      <c r="AH333" s="36"/>
      <c r="AI333" s="36"/>
      <c r="AJ333" s="36"/>
      <c r="AK333" s="36"/>
      <c r="AL333" s="36"/>
      <c r="AM333" s="36"/>
      <c r="AN333" s="36"/>
      <c r="AO333" s="36"/>
      <c r="AP333" s="36"/>
      <c r="AQ333" s="36"/>
      <c r="AR333" s="36"/>
      <c r="AS333" s="36"/>
      <c r="AT333" s="36"/>
      <c r="AU333" s="36"/>
      <c r="AV333" s="36"/>
      <c r="AW333" s="36"/>
      <c r="AX333" s="36"/>
      <c r="AY333" s="36"/>
      <c r="AZ333" s="36"/>
      <c r="BA333" s="36"/>
      <c r="BB333" s="36"/>
    </row>
    <row r="334" spans="1:54" x14ac:dyDescent="0.25">
      <c r="A334" s="32"/>
      <c r="B334" s="32"/>
      <c r="C334" s="32"/>
      <c r="D334" s="33"/>
      <c r="E334" s="33"/>
      <c r="F334" s="33"/>
      <c r="G334" s="33"/>
      <c r="H334" s="33"/>
      <c r="I334" s="33"/>
      <c r="J334" s="33"/>
      <c r="K334" s="33"/>
      <c r="L334" s="33"/>
      <c r="M334" s="33"/>
      <c r="N334" s="33"/>
      <c r="O334" s="33"/>
      <c r="P334" s="33"/>
      <c r="Q334" s="33"/>
      <c r="R334" s="33"/>
      <c r="S334" s="33"/>
      <c r="T334" s="33"/>
      <c r="U334" s="33"/>
      <c r="V334" s="33"/>
      <c r="W334" s="33"/>
      <c r="X334" s="33"/>
      <c r="Y334" s="33"/>
      <c r="Z334" s="33"/>
      <c r="AA334" s="33"/>
      <c r="AB334" s="33"/>
      <c r="AC334" s="33"/>
      <c r="AD334" s="33"/>
      <c r="AE334" s="33"/>
      <c r="AF334" s="33"/>
      <c r="AG334" s="33"/>
      <c r="AH334" s="33"/>
      <c r="AI334" s="33"/>
      <c r="AJ334" s="33"/>
      <c r="AK334" s="33"/>
      <c r="AL334" s="33"/>
      <c r="AM334" s="33"/>
      <c r="AN334" s="33"/>
      <c r="AO334" s="33"/>
      <c r="AP334" s="33"/>
      <c r="AQ334" s="33"/>
      <c r="AR334" s="33"/>
      <c r="AS334" s="33"/>
      <c r="AT334" s="33"/>
      <c r="AU334" s="33"/>
      <c r="AV334" s="33"/>
      <c r="AW334" s="33"/>
      <c r="AX334" s="33"/>
      <c r="AY334" s="33"/>
      <c r="AZ334" s="33"/>
      <c r="BA334" s="33"/>
      <c r="BB334" s="33"/>
    </row>
    <row r="335" spans="1:54" s="5" customFormat="1" x14ac:dyDescent="0.25">
      <c r="A335" s="32"/>
      <c r="B335" s="34"/>
      <c r="C335" s="34"/>
      <c r="D335" s="35"/>
      <c r="E335" s="35"/>
      <c r="F335" s="35"/>
      <c r="G335" s="35"/>
      <c r="H335" s="35"/>
      <c r="I335" s="35"/>
      <c r="J335" s="35"/>
      <c r="K335" s="35"/>
      <c r="L335" s="35"/>
      <c r="M335" s="35"/>
      <c r="N335" s="35"/>
      <c r="O335" s="35"/>
      <c r="P335" s="35"/>
      <c r="Q335" s="35"/>
      <c r="R335" s="35"/>
      <c r="S335" s="35"/>
      <c r="T335" s="35"/>
      <c r="U335" s="35"/>
      <c r="V335" s="35"/>
      <c r="W335" s="35"/>
      <c r="X335" s="35"/>
      <c r="Y335" s="35"/>
      <c r="Z335" s="35"/>
      <c r="AA335" s="35"/>
      <c r="AB335" s="35"/>
      <c r="AC335" s="35"/>
      <c r="AD335" s="35"/>
      <c r="AE335" s="35"/>
      <c r="AF335" s="35"/>
      <c r="AG335" s="35"/>
      <c r="AH335" s="35"/>
      <c r="AI335" s="35"/>
      <c r="AJ335" s="35"/>
      <c r="AK335" s="35"/>
      <c r="AL335" s="35"/>
      <c r="AM335" s="35"/>
      <c r="AN335" s="35"/>
      <c r="AO335" s="35"/>
      <c r="AP335" s="35"/>
      <c r="AQ335" s="35"/>
      <c r="AR335" s="35"/>
      <c r="AS335" s="35"/>
      <c r="AT335" s="37"/>
      <c r="AU335" s="37"/>
      <c r="AV335" s="37"/>
      <c r="AW335" s="37"/>
      <c r="AX335" s="37"/>
      <c r="AY335" s="37"/>
      <c r="AZ335" s="37"/>
      <c r="BA335" s="37"/>
      <c r="BB335" s="37"/>
    </row>
    <row r="336" spans="1:54" x14ac:dyDescent="0.25">
      <c r="A336" s="32"/>
      <c r="B336" s="32"/>
      <c r="C336" s="32"/>
      <c r="D336" s="33"/>
      <c r="E336" s="33"/>
      <c r="F336" s="33"/>
      <c r="G336" s="33"/>
      <c r="H336" s="33"/>
      <c r="I336" s="33"/>
      <c r="J336" s="33"/>
      <c r="K336" s="33"/>
      <c r="L336" s="33"/>
      <c r="M336" s="33"/>
      <c r="N336" s="33"/>
      <c r="O336" s="33"/>
      <c r="P336" s="33"/>
      <c r="Q336" s="33"/>
      <c r="R336" s="33"/>
      <c r="S336" s="33"/>
      <c r="T336" s="33"/>
      <c r="U336" s="33"/>
      <c r="V336" s="33"/>
      <c r="W336" s="33"/>
      <c r="X336" s="33"/>
      <c r="Y336" s="33"/>
      <c r="Z336" s="33"/>
      <c r="AA336" s="33"/>
      <c r="AB336" s="33"/>
      <c r="AC336" s="33"/>
      <c r="AD336" s="33"/>
      <c r="AE336" s="33"/>
      <c r="AF336" s="33"/>
      <c r="AG336" s="33"/>
      <c r="AH336" s="33"/>
      <c r="AI336" s="33"/>
      <c r="AJ336" s="33"/>
      <c r="AK336" s="33"/>
      <c r="AL336" s="33"/>
      <c r="AM336" s="33"/>
      <c r="AN336" s="33"/>
      <c r="AO336" s="33"/>
      <c r="AP336" s="33"/>
      <c r="AQ336" s="33"/>
      <c r="AR336" s="33"/>
      <c r="AS336" s="33"/>
      <c r="AT336" s="33"/>
      <c r="AU336" s="33"/>
      <c r="AV336" s="33"/>
      <c r="AW336" s="33"/>
      <c r="AX336" s="33"/>
      <c r="AY336" s="33"/>
      <c r="AZ336" s="33"/>
      <c r="BA336" s="33"/>
      <c r="BB336" s="33"/>
    </row>
    <row r="337" spans="1:54" s="5" customFormat="1" x14ac:dyDescent="0.25">
      <c r="A337" s="32"/>
      <c r="B337" s="34"/>
      <c r="C337" s="34"/>
      <c r="D337" s="35"/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35"/>
      <c r="P337" s="35"/>
      <c r="Q337" s="35"/>
      <c r="R337" s="35"/>
      <c r="S337" s="35"/>
      <c r="T337" s="35"/>
      <c r="U337" s="35"/>
      <c r="V337" s="35"/>
      <c r="W337" s="35"/>
      <c r="X337" s="35"/>
      <c r="Y337" s="35"/>
      <c r="Z337" s="35"/>
      <c r="AA337" s="35"/>
      <c r="AB337" s="35"/>
      <c r="AC337" s="35"/>
      <c r="AD337" s="35"/>
      <c r="AE337" s="35"/>
      <c r="AF337" s="35"/>
      <c r="AG337" s="35"/>
      <c r="AH337" s="35"/>
      <c r="AI337" s="35"/>
      <c r="AJ337" s="35"/>
      <c r="AK337" s="35"/>
      <c r="AL337" s="35"/>
      <c r="AM337" s="35"/>
      <c r="AN337" s="35"/>
      <c r="AO337" s="35"/>
      <c r="AP337" s="35"/>
      <c r="AQ337" s="35"/>
      <c r="AR337" s="35"/>
      <c r="AS337" s="35"/>
      <c r="AT337" s="35"/>
      <c r="AU337" s="37"/>
      <c r="AV337" s="37"/>
      <c r="AW337" s="37"/>
      <c r="AX337" s="37"/>
      <c r="AY337" s="37"/>
      <c r="AZ337" s="37"/>
      <c r="BA337" s="37"/>
      <c r="BB337" s="37"/>
    </row>
    <row r="338" spans="1:54" s="5" customFormat="1" x14ac:dyDescent="0.25">
      <c r="A338" s="32"/>
      <c r="B338" s="32"/>
      <c r="C338" s="32"/>
      <c r="D338" s="33"/>
      <c r="E338" s="33"/>
      <c r="F338" s="33"/>
      <c r="G338" s="33"/>
      <c r="H338" s="33"/>
      <c r="I338" s="33"/>
      <c r="J338" s="33"/>
      <c r="K338" s="33"/>
      <c r="L338" s="33"/>
      <c r="M338" s="33"/>
      <c r="N338" s="33"/>
      <c r="O338" s="33"/>
      <c r="P338" s="33"/>
      <c r="Q338" s="33"/>
      <c r="R338" s="33"/>
      <c r="S338" s="33"/>
      <c r="T338" s="33"/>
      <c r="U338" s="33"/>
      <c r="V338" s="33"/>
      <c r="W338" s="33"/>
      <c r="X338" s="33"/>
      <c r="Y338" s="33"/>
      <c r="Z338" s="33"/>
      <c r="AA338" s="33"/>
      <c r="AB338" s="33"/>
      <c r="AC338" s="33"/>
      <c r="AD338" s="33"/>
      <c r="AE338" s="33"/>
      <c r="AF338" s="33"/>
      <c r="AG338" s="33"/>
      <c r="AH338" s="33"/>
      <c r="AI338" s="33"/>
      <c r="AJ338" s="33"/>
      <c r="AK338" s="33"/>
      <c r="AL338" s="33"/>
      <c r="AM338" s="33"/>
      <c r="AN338" s="33"/>
      <c r="AO338" s="33"/>
      <c r="AP338" s="33"/>
      <c r="AQ338" s="33"/>
      <c r="AR338" s="33"/>
      <c r="AS338" s="33"/>
      <c r="AT338" s="33"/>
      <c r="AU338" s="33"/>
      <c r="AV338" s="33"/>
      <c r="AW338" s="33"/>
      <c r="AX338" s="33"/>
      <c r="AY338" s="33"/>
      <c r="AZ338" s="33"/>
      <c r="BA338" s="33"/>
      <c r="BB338" s="33"/>
    </row>
    <row r="339" spans="1:54" x14ac:dyDescent="0.25">
      <c r="A339" s="34"/>
      <c r="B339" s="34"/>
      <c r="C339" s="34"/>
      <c r="D339" s="35"/>
      <c r="E339" s="35"/>
      <c r="F339" s="35"/>
      <c r="G339" s="35"/>
      <c r="H339" s="35"/>
      <c r="I339" s="35"/>
      <c r="J339" s="35"/>
      <c r="K339" s="35"/>
      <c r="L339" s="35"/>
      <c r="M339" s="35"/>
      <c r="N339" s="35"/>
      <c r="O339" s="35"/>
      <c r="P339" s="35"/>
      <c r="Q339" s="35"/>
      <c r="R339" s="35"/>
      <c r="S339" s="35"/>
      <c r="T339" s="35"/>
      <c r="U339" s="37"/>
      <c r="V339" s="37"/>
      <c r="W339" s="37"/>
      <c r="X339" s="37"/>
      <c r="Y339" s="37"/>
      <c r="Z339" s="37"/>
      <c r="AA339" s="37"/>
      <c r="AB339" s="37"/>
      <c r="AC339" s="37"/>
      <c r="AD339" s="37"/>
      <c r="AE339" s="35"/>
      <c r="AF339" s="35"/>
      <c r="AG339" s="35"/>
      <c r="AH339" s="35"/>
      <c r="AI339" s="35"/>
      <c r="AJ339" s="35"/>
      <c r="AK339" s="35"/>
      <c r="AL339" s="35"/>
      <c r="AM339" s="35"/>
      <c r="AN339" s="35"/>
      <c r="AO339" s="37"/>
      <c r="AP339" s="37"/>
      <c r="AQ339" s="37"/>
      <c r="AR339" s="37"/>
      <c r="AS339" s="37"/>
      <c r="AT339" s="37"/>
      <c r="AU339" s="37"/>
      <c r="AV339" s="37"/>
      <c r="AW339" s="37"/>
      <c r="AX339" s="37"/>
      <c r="AY339" s="37"/>
      <c r="AZ339" s="37"/>
      <c r="BA339" s="37"/>
      <c r="BB339" s="37"/>
    </row>
    <row r="340" spans="1:54" s="5" customFormat="1" x14ac:dyDescent="0.25">
      <c r="A340" s="32"/>
      <c r="B340" s="32"/>
      <c r="C340" s="32"/>
      <c r="D340" s="33"/>
      <c r="E340" s="33"/>
      <c r="F340" s="33"/>
      <c r="G340" s="33"/>
      <c r="H340" s="33"/>
      <c r="I340" s="33"/>
      <c r="J340" s="33"/>
      <c r="K340" s="33"/>
      <c r="L340" s="33"/>
      <c r="M340" s="33"/>
      <c r="N340" s="33"/>
      <c r="O340" s="33"/>
      <c r="P340" s="33"/>
      <c r="Q340" s="33"/>
      <c r="R340" s="33"/>
      <c r="S340" s="33"/>
      <c r="T340" s="33"/>
      <c r="U340" s="33"/>
      <c r="V340" s="33"/>
      <c r="W340" s="33"/>
      <c r="X340" s="33"/>
      <c r="Y340" s="33"/>
      <c r="Z340" s="33"/>
      <c r="AA340" s="33"/>
      <c r="AB340" s="33"/>
      <c r="AC340" s="33"/>
      <c r="AD340" s="33"/>
      <c r="AE340" s="33"/>
      <c r="AF340" s="33"/>
      <c r="AG340" s="33"/>
      <c r="AH340" s="33"/>
      <c r="AI340" s="33"/>
      <c r="AJ340" s="33"/>
      <c r="AK340" s="33"/>
      <c r="AL340" s="33"/>
      <c r="AM340" s="33"/>
      <c r="AN340" s="33"/>
      <c r="AO340" s="33"/>
      <c r="AP340" s="33"/>
      <c r="AQ340" s="33"/>
      <c r="AR340" s="33"/>
      <c r="AS340" s="33"/>
      <c r="AT340" s="33"/>
      <c r="AU340" s="33"/>
      <c r="AV340" s="33"/>
      <c r="AW340" s="33"/>
      <c r="AX340" s="33"/>
      <c r="AY340" s="33"/>
      <c r="AZ340" s="33"/>
      <c r="BA340" s="33"/>
      <c r="BB340" s="33"/>
    </row>
    <row r="341" spans="1:54" x14ac:dyDescent="0.25">
      <c r="A341" s="34"/>
      <c r="B341" s="34"/>
      <c r="C341" s="34"/>
      <c r="D341" s="35"/>
      <c r="E341" s="35"/>
      <c r="F341" s="35"/>
      <c r="G341" s="35"/>
      <c r="H341" s="35"/>
      <c r="I341" s="35"/>
      <c r="J341" s="35"/>
      <c r="K341" s="35"/>
      <c r="L341" s="35"/>
      <c r="M341" s="35"/>
      <c r="N341" s="35"/>
      <c r="O341" s="35"/>
      <c r="P341" s="35"/>
      <c r="Q341" s="35"/>
      <c r="R341" s="35"/>
      <c r="S341" s="35"/>
      <c r="T341" s="35"/>
      <c r="U341" s="37"/>
      <c r="V341" s="37"/>
      <c r="W341" s="37"/>
      <c r="X341" s="37"/>
      <c r="Y341" s="37"/>
      <c r="Z341" s="37"/>
      <c r="AA341" s="37"/>
      <c r="AB341" s="37"/>
      <c r="AC341" s="37"/>
      <c r="AD341" s="35"/>
      <c r="AE341" s="35"/>
      <c r="AF341" s="35"/>
      <c r="AG341" s="35"/>
      <c r="AH341" s="35"/>
      <c r="AI341" s="35"/>
      <c r="AJ341" s="35"/>
      <c r="AK341" s="35"/>
      <c r="AL341" s="35"/>
      <c r="AM341" s="35"/>
      <c r="AN341" s="37"/>
      <c r="AO341" s="37"/>
      <c r="AP341" s="37"/>
      <c r="AQ341" s="37"/>
      <c r="AR341" s="37"/>
      <c r="AS341" s="37"/>
      <c r="AT341" s="37"/>
      <c r="AU341" s="37"/>
      <c r="AV341" s="37"/>
      <c r="AW341" s="37"/>
      <c r="AX341" s="37"/>
      <c r="AY341" s="37"/>
      <c r="AZ341" s="37"/>
      <c r="BA341" s="37"/>
      <c r="BB341" s="37"/>
    </row>
    <row r="342" spans="1:54" s="5" customFormat="1" x14ac:dyDescent="0.25">
      <c r="A342" s="32"/>
      <c r="B342" s="32"/>
      <c r="C342" s="32"/>
      <c r="D342" s="33"/>
      <c r="E342" s="33"/>
      <c r="F342" s="33"/>
      <c r="G342" s="33"/>
      <c r="H342" s="33"/>
      <c r="I342" s="33"/>
      <c r="J342" s="33"/>
      <c r="K342" s="33"/>
      <c r="L342" s="33"/>
      <c r="M342" s="33"/>
      <c r="N342" s="33"/>
      <c r="O342" s="33"/>
      <c r="P342" s="33"/>
      <c r="Q342" s="33"/>
      <c r="R342" s="33"/>
      <c r="S342" s="33"/>
      <c r="T342" s="33"/>
      <c r="U342" s="33"/>
      <c r="V342" s="33"/>
      <c r="W342" s="33"/>
      <c r="X342" s="33"/>
      <c r="Y342" s="33"/>
      <c r="Z342" s="36"/>
      <c r="AA342" s="36"/>
      <c r="AB342" s="36"/>
      <c r="AC342" s="36"/>
      <c r="AD342" s="36"/>
      <c r="AE342" s="36"/>
      <c r="AF342" s="36"/>
      <c r="AG342" s="36"/>
      <c r="AH342" s="36"/>
      <c r="AI342" s="36"/>
      <c r="AJ342" s="36"/>
      <c r="AK342" s="36"/>
      <c r="AL342" s="36"/>
      <c r="AM342" s="36"/>
      <c r="AN342" s="36"/>
      <c r="AO342" s="36"/>
      <c r="AP342" s="36"/>
      <c r="AQ342" s="36"/>
      <c r="AR342" s="36"/>
      <c r="AS342" s="36"/>
      <c r="AT342" s="36"/>
      <c r="AU342" s="36"/>
      <c r="AV342" s="36"/>
      <c r="AW342" s="36"/>
      <c r="AX342" s="36"/>
      <c r="AY342" s="36"/>
      <c r="AZ342" s="36"/>
      <c r="BA342" s="36"/>
      <c r="BB342" s="36"/>
    </row>
    <row r="343" spans="1:54" x14ac:dyDescent="0.25">
      <c r="A343" s="34"/>
      <c r="B343" s="34"/>
      <c r="C343" s="34"/>
      <c r="D343" s="35"/>
      <c r="E343" s="35"/>
      <c r="F343" s="35"/>
      <c r="G343" s="35"/>
      <c r="H343" s="35"/>
      <c r="I343" s="35"/>
      <c r="J343" s="35"/>
      <c r="K343" s="35"/>
      <c r="L343" s="35"/>
      <c r="M343" s="35"/>
      <c r="N343" s="35"/>
      <c r="O343" s="35"/>
      <c r="P343" s="35"/>
      <c r="Q343" s="35"/>
      <c r="R343" s="35"/>
      <c r="S343" s="35"/>
      <c r="T343" s="35"/>
      <c r="U343" s="35"/>
      <c r="V343" s="35"/>
      <c r="W343" s="35"/>
      <c r="X343" s="35"/>
      <c r="Y343" s="35"/>
      <c r="Z343" s="35"/>
      <c r="AA343" s="35"/>
      <c r="AB343" s="35"/>
      <c r="AC343" s="35"/>
      <c r="AD343" s="35"/>
      <c r="AE343" s="35"/>
      <c r="AF343" s="35"/>
      <c r="AG343" s="35"/>
      <c r="AH343" s="35"/>
      <c r="AI343" s="35"/>
      <c r="AJ343" s="35"/>
      <c r="AK343" s="35"/>
      <c r="AL343" s="35"/>
      <c r="AM343" s="35"/>
      <c r="AN343" s="35"/>
      <c r="AO343" s="35"/>
      <c r="AP343" s="35"/>
      <c r="AQ343" s="35"/>
      <c r="AR343" s="35"/>
      <c r="AS343" s="35"/>
      <c r="AT343" s="35"/>
      <c r="AU343" s="35"/>
      <c r="AV343" s="35"/>
      <c r="AW343" s="35"/>
      <c r="AX343" s="35"/>
      <c r="AY343" s="35"/>
      <c r="AZ343" s="35"/>
      <c r="BA343" s="35"/>
      <c r="BB343" s="35"/>
    </row>
    <row r="344" spans="1:54" s="5" customFormat="1" x14ac:dyDescent="0.25">
      <c r="A344" s="32"/>
      <c r="B344" s="32"/>
      <c r="C344" s="32"/>
      <c r="D344" s="33"/>
      <c r="E344" s="33"/>
      <c r="F344" s="33"/>
      <c r="G344" s="33"/>
      <c r="H344" s="33"/>
      <c r="I344" s="33"/>
      <c r="J344" s="33"/>
      <c r="K344" s="33"/>
      <c r="L344" s="33"/>
      <c r="M344" s="33"/>
      <c r="N344" s="33"/>
      <c r="O344" s="33"/>
      <c r="P344" s="33"/>
      <c r="Q344" s="33"/>
      <c r="R344" s="33"/>
      <c r="S344" s="33"/>
      <c r="T344" s="33"/>
      <c r="U344" s="33"/>
      <c r="V344" s="33"/>
      <c r="W344" s="33"/>
      <c r="X344" s="33"/>
      <c r="Y344" s="33"/>
      <c r="Z344" s="33"/>
      <c r="AA344" s="33"/>
      <c r="AB344" s="33"/>
      <c r="AC344" s="33"/>
      <c r="AD344" s="33"/>
      <c r="AE344" s="33"/>
      <c r="AF344" s="33"/>
      <c r="AG344" s="33"/>
      <c r="AH344" s="33"/>
      <c r="AI344" s="33"/>
      <c r="AJ344" s="33"/>
      <c r="AK344" s="33"/>
      <c r="AL344" s="33"/>
      <c r="AM344" s="33"/>
      <c r="AN344" s="33"/>
      <c r="AO344" s="33"/>
      <c r="AP344" s="33"/>
      <c r="AQ344" s="33"/>
      <c r="AR344" s="33"/>
      <c r="AS344" s="33"/>
      <c r="AT344" s="33"/>
      <c r="AU344" s="33"/>
      <c r="AV344" s="33"/>
      <c r="AW344" s="33"/>
      <c r="AX344" s="33"/>
      <c r="AY344" s="33"/>
      <c r="AZ344" s="33"/>
      <c r="BA344" s="33"/>
      <c r="BB344" s="33"/>
    </row>
    <row r="345" spans="1:54" x14ac:dyDescent="0.25">
      <c r="A345" s="34"/>
      <c r="B345" s="34"/>
      <c r="C345" s="34"/>
      <c r="D345" s="35"/>
      <c r="E345" s="35"/>
      <c r="F345" s="35"/>
      <c r="G345" s="35"/>
      <c r="H345" s="35"/>
      <c r="I345" s="35"/>
      <c r="J345" s="35"/>
      <c r="K345" s="37"/>
      <c r="L345" s="35"/>
      <c r="M345" s="35"/>
      <c r="N345" s="35"/>
      <c r="O345" s="35"/>
      <c r="P345" s="35"/>
      <c r="Q345" s="35"/>
      <c r="R345" s="35"/>
      <c r="S345" s="35"/>
      <c r="T345" s="35"/>
      <c r="U345" s="35"/>
      <c r="V345" s="35"/>
      <c r="W345" s="35"/>
      <c r="X345" s="35"/>
      <c r="Y345" s="35"/>
      <c r="Z345" s="37"/>
      <c r="AA345" s="37"/>
      <c r="AB345" s="37"/>
      <c r="AC345" s="37"/>
      <c r="AD345" s="37"/>
      <c r="AE345" s="37"/>
      <c r="AF345" s="37"/>
      <c r="AG345" s="37"/>
      <c r="AH345" s="37"/>
      <c r="AI345" s="37"/>
      <c r="AJ345" s="37"/>
      <c r="AK345" s="37"/>
      <c r="AL345" s="37"/>
      <c r="AM345" s="37"/>
      <c r="AN345" s="37"/>
      <c r="AO345" s="37"/>
      <c r="AP345" s="37"/>
      <c r="AQ345" s="37"/>
      <c r="AR345" s="37"/>
      <c r="AS345" s="37"/>
      <c r="AT345" s="37"/>
      <c r="AU345" s="37"/>
      <c r="AV345" s="37"/>
      <c r="AW345" s="37"/>
      <c r="AX345" s="37"/>
      <c r="AY345" s="37"/>
      <c r="AZ345" s="37"/>
      <c r="BA345" s="37"/>
      <c r="BB345" s="37"/>
    </row>
    <row r="346" spans="1:54" s="5" customFormat="1" x14ac:dyDescent="0.25">
      <c r="A346" s="32"/>
      <c r="B346" s="32"/>
      <c r="C346" s="32"/>
      <c r="D346" s="36"/>
      <c r="E346" s="36"/>
      <c r="F346" s="36"/>
      <c r="G346" s="36"/>
      <c r="H346" s="36"/>
      <c r="I346" s="36"/>
      <c r="J346" s="36"/>
      <c r="K346" s="36"/>
      <c r="L346" s="36"/>
      <c r="M346" s="36"/>
      <c r="N346" s="36"/>
      <c r="O346" s="36"/>
      <c r="P346" s="36"/>
      <c r="Q346" s="36"/>
      <c r="R346" s="36"/>
      <c r="S346" s="36"/>
      <c r="T346" s="36"/>
      <c r="U346" s="36"/>
      <c r="V346" s="36"/>
      <c r="W346" s="36"/>
      <c r="X346" s="36"/>
      <c r="Y346" s="36"/>
      <c r="Z346" s="36"/>
      <c r="AA346" s="36"/>
      <c r="AB346" s="36"/>
      <c r="AC346" s="36"/>
      <c r="AD346" s="36"/>
      <c r="AE346" s="36"/>
      <c r="AF346" s="36"/>
      <c r="AG346" s="36"/>
      <c r="AH346" s="36"/>
      <c r="AI346" s="36"/>
      <c r="AJ346" s="36"/>
      <c r="AK346" s="36"/>
      <c r="AL346" s="36"/>
      <c r="AM346" s="36"/>
      <c r="AN346" s="36"/>
      <c r="AO346" s="36"/>
      <c r="AP346" s="36"/>
      <c r="AQ346" s="36"/>
      <c r="AR346" s="36"/>
      <c r="AS346" s="36"/>
      <c r="AT346" s="36"/>
      <c r="AU346" s="36"/>
      <c r="AV346" s="36"/>
      <c r="AW346" s="36"/>
      <c r="AX346" s="36"/>
      <c r="AY346" s="36"/>
      <c r="AZ346" s="36"/>
      <c r="BA346" s="36"/>
      <c r="BB346" s="36"/>
    </row>
    <row r="347" spans="1:54" x14ac:dyDescent="0.25">
      <c r="A347" s="34"/>
      <c r="B347" s="34"/>
      <c r="C347" s="34"/>
      <c r="D347" s="35"/>
      <c r="E347" s="35"/>
      <c r="F347" s="35"/>
      <c r="G347" s="35"/>
      <c r="H347" s="35"/>
      <c r="I347" s="35"/>
      <c r="J347" s="35"/>
      <c r="K347" s="35"/>
      <c r="L347" s="35"/>
      <c r="M347" s="35"/>
      <c r="N347" s="35"/>
      <c r="O347" s="35"/>
      <c r="P347" s="35"/>
      <c r="Q347" s="35"/>
      <c r="R347" s="35"/>
      <c r="S347" s="35"/>
      <c r="T347" s="35"/>
      <c r="U347" s="35"/>
      <c r="V347" s="35"/>
      <c r="W347" s="35"/>
      <c r="X347" s="35"/>
      <c r="Y347" s="35"/>
      <c r="Z347" s="35"/>
      <c r="AA347" s="35"/>
      <c r="AB347" s="35"/>
      <c r="AC347" s="35"/>
      <c r="AD347" s="35"/>
      <c r="AE347" s="35"/>
      <c r="AF347" s="35"/>
      <c r="AG347" s="35"/>
      <c r="AH347" s="35"/>
      <c r="AI347" s="35"/>
      <c r="AJ347" s="35"/>
      <c r="AK347" s="35"/>
      <c r="AL347" s="35"/>
      <c r="AM347" s="35"/>
      <c r="AN347" s="35"/>
      <c r="AO347" s="35"/>
      <c r="AP347" s="35"/>
      <c r="AQ347" s="35"/>
      <c r="AR347" s="35"/>
      <c r="AS347" s="35"/>
      <c r="AT347" s="35"/>
      <c r="AU347" s="37"/>
      <c r="AV347" s="37"/>
      <c r="AW347" s="37"/>
      <c r="AX347" s="37"/>
      <c r="AY347" s="37"/>
      <c r="AZ347" s="37"/>
      <c r="BA347" s="37"/>
      <c r="BB347" s="37"/>
    </row>
    <row r="348" spans="1:54" s="5" customFormat="1" x14ac:dyDescent="0.25">
      <c r="A348" s="32"/>
      <c r="B348" s="32"/>
      <c r="C348" s="32"/>
      <c r="D348" s="33"/>
      <c r="E348" s="33"/>
      <c r="F348" s="33"/>
      <c r="G348" s="33"/>
      <c r="H348" s="33"/>
      <c r="I348" s="33"/>
      <c r="J348" s="33"/>
      <c r="K348" s="33"/>
      <c r="L348" s="33"/>
      <c r="M348" s="33"/>
      <c r="N348" s="33"/>
      <c r="O348" s="36"/>
      <c r="P348" s="33"/>
      <c r="Q348" s="33"/>
      <c r="R348" s="36"/>
      <c r="S348" s="33"/>
      <c r="T348" s="33"/>
      <c r="U348" s="33"/>
      <c r="V348" s="33"/>
      <c r="W348" s="36"/>
      <c r="X348" s="36"/>
      <c r="Y348" s="36"/>
      <c r="Z348" s="36"/>
      <c r="AA348" s="33"/>
      <c r="AB348" s="36"/>
      <c r="AC348" s="36"/>
      <c r="AD348" s="36"/>
      <c r="AE348" s="36"/>
      <c r="AF348" s="36"/>
      <c r="AG348" s="36"/>
      <c r="AH348" s="36"/>
      <c r="AI348" s="36"/>
      <c r="AJ348" s="36"/>
      <c r="AK348" s="33"/>
      <c r="AL348" s="33"/>
      <c r="AM348" s="36"/>
      <c r="AN348" s="33"/>
      <c r="AO348" s="33"/>
      <c r="AP348" s="33"/>
      <c r="AQ348" s="33"/>
      <c r="AR348" s="33"/>
      <c r="AS348" s="33"/>
      <c r="AT348" s="33"/>
      <c r="AU348" s="33"/>
      <c r="AV348" s="33"/>
      <c r="AW348" s="33"/>
      <c r="AX348" s="33"/>
      <c r="AY348" s="33"/>
      <c r="AZ348" s="33"/>
      <c r="BA348" s="33"/>
      <c r="BB348" s="33"/>
    </row>
    <row r="349" spans="1:54" x14ac:dyDescent="0.25">
      <c r="A349" s="34"/>
      <c r="B349" s="34"/>
      <c r="C349" s="34"/>
      <c r="D349" s="37"/>
      <c r="E349" s="37"/>
      <c r="F349" s="37"/>
      <c r="G349" s="37"/>
      <c r="H349" s="37"/>
      <c r="I349" s="37"/>
      <c r="J349" s="37"/>
      <c r="K349" s="37"/>
      <c r="L349" s="37"/>
      <c r="M349" s="37"/>
      <c r="N349" s="37"/>
      <c r="O349" s="37"/>
      <c r="P349" s="37"/>
      <c r="Q349" s="37"/>
      <c r="R349" s="37"/>
      <c r="S349" s="37"/>
      <c r="T349" s="37"/>
      <c r="U349" s="37"/>
      <c r="V349" s="37"/>
      <c r="W349" s="37"/>
      <c r="X349" s="37"/>
      <c r="Y349" s="37"/>
      <c r="Z349" s="37"/>
      <c r="AA349" s="37"/>
      <c r="AB349" s="37"/>
      <c r="AC349" s="37"/>
      <c r="AD349" s="37"/>
      <c r="AE349" s="37"/>
      <c r="AF349" s="37"/>
      <c r="AG349" s="37"/>
      <c r="AH349" s="37"/>
      <c r="AI349" s="37"/>
      <c r="AJ349" s="37"/>
      <c r="AK349" s="37"/>
      <c r="AL349" s="37"/>
      <c r="AM349" s="37"/>
      <c r="AN349" s="37"/>
      <c r="AO349" s="37"/>
      <c r="AP349" s="37"/>
      <c r="AQ349" s="37"/>
      <c r="AR349" s="37"/>
      <c r="AS349" s="37"/>
      <c r="AT349" s="37"/>
      <c r="AU349" s="37"/>
      <c r="AV349" s="37"/>
      <c r="AW349" s="37"/>
      <c r="AX349" s="37"/>
      <c r="AY349" s="37"/>
      <c r="AZ349" s="37"/>
      <c r="BA349" s="37"/>
      <c r="BB349" s="37"/>
    </row>
    <row r="350" spans="1:54" s="5" customFormat="1" x14ac:dyDescent="0.25">
      <c r="A350" s="32"/>
      <c r="B350" s="32"/>
      <c r="C350" s="32"/>
      <c r="D350" s="33"/>
      <c r="E350" s="33"/>
      <c r="F350" s="33"/>
      <c r="G350" s="33"/>
      <c r="H350" s="33"/>
      <c r="I350" s="33"/>
      <c r="J350" s="33"/>
      <c r="K350" s="33"/>
      <c r="L350" s="33"/>
      <c r="M350" s="33"/>
      <c r="N350" s="33"/>
      <c r="O350" s="33"/>
      <c r="P350" s="33"/>
      <c r="Q350" s="33"/>
      <c r="R350" s="33"/>
      <c r="S350" s="33"/>
      <c r="T350" s="33"/>
      <c r="U350" s="33"/>
      <c r="V350" s="33"/>
      <c r="W350" s="33"/>
      <c r="X350" s="33"/>
      <c r="Y350" s="33"/>
      <c r="Z350" s="33"/>
      <c r="AA350" s="33"/>
      <c r="AB350" s="33"/>
      <c r="AC350" s="33"/>
      <c r="AD350" s="33"/>
      <c r="AE350" s="33"/>
      <c r="AF350" s="33"/>
      <c r="AG350" s="33"/>
      <c r="AH350" s="33"/>
      <c r="AI350" s="33"/>
      <c r="AJ350" s="33"/>
      <c r="AK350" s="33"/>
      <c r="AL350" s="33"/>
      <c r="AM350" s="33"/>
      <c r="AN350" s="33"/>
      <c r="AO350" s="33"/>
      <c r="AP350" s="33"/>
      <c r="AQ350" s="33"/>
      <c r="AR350" s="33"/>
      <c r="AS350" s="33"/>
      <c r="AT350" s="33"/>
      <c r="AU350" s="33"/>
      <c r="AV350" s="33"/>
      <c r="AW350" s="33"/>
      <c r="AX350" s="33"/>
      <c r="AY350" s="33"/>
      <c r="AZ350" s="33"/>
      <c r="BA350" s="33"/>
      <c r="BB350" s="33"/>
    </row>
    <row r="351" spans="1:54" x14ac:dyDescent="0.25">
      <c r="A351" s="34"/>
      <c r="B351" s="34"/>
      <c r="C351" s="34"/>
      <c r="D351" s="35"/>
      <c r="E351" s="35"/>
      <c r="F351" s="35"/>
      <c r="G351" s="35"/>
      <c r="H351" s="35"/>
      <c r="I351" s="35"/>
      <c r="J351" s="35"/>
      <c r="K351" s="35"/>
      <c r="L351" s="35"/>
      <c r="M351" s="35"/>
      <c r="N351" s="35"/>
      <c r="O351" s="35"/>
      <c r="P351" s="35"/>
      <c r="Q351" s="35"/>
      <c r="R351" s="35"/>
      <c r="S351" s="35"/>
      <c r="T351" s="35"/>
      <c r="U351" s="35"/>
      <c r="V351" s="35"/>
      <c r="W351" s="35"/>
      <c r="X351" s="35"/>
      <c r="Y351" s="35"/>
      <c r="Z351" s="35"/>
      <c r="AA351" s="35"/>
      <c r="AB351" s="35"/>
      <c r="AC351" s="35"/>
      <c r="AD351" s="35"/>
      <c r="AE351" s="35"/>
      <c r="AF351" s="35"/>
      <c r="AG351" s="35"/>
      <c r="AH351" s="35"/>
      <c r="AI351" s="35"/>
      <c r="AJ351" s="35"/>
      <c r="AK351" s="35"/>
      <c r="AL351" s="35"/>
      <c r="AM351" s="35"/>
      <c r="AN351" s="35"/>
      <c r="AO351" s="35"/>
      <c r="AP351" s="35"/>
      <c r="AQ351" s="35"/>
      <c r="AR351" s="35"/>
      <c r="AS351" s="35"/>
      <c r="AT351" s="35"/>
      <c r="AU351" s="35"/>
      <c r="AV351" s="35"/>
      <c r="AW351" s="35"/>
      <c r="AX351" s="35"/>
      <c r="AY351" s="35"/>
      <c r="AZ351" s="35"/>
      <c r="BA351" s="35"/>
      <c r="BB351" s="35"/>
    </row>
    <row r="352" spans="1:54" s="5" customFormat="1" x14ac:dyDescent="0.25">
      <c r="A352" s="32"/>
      <c r="B352" s="32"/>
      <c r="C352" s="32"/>
      <c r="D352" s="33"/>
      <c r="E352" s="33"/>
      <c r="F352" s="33"/>
      <c r="G352" s="33"/>
      <c r="H352" s="33"/>
      <c r="I352" s="33"/>
      <c r="J352" s="33"/>
      <c r="K352" s="33"/>
      <c r="L352" s="33"/>
      <c r="M352" s="33"/>
      <c r="N352" s="33"/>
      <c r="O352" s="33"/>
      <c r="P352" s="33"/>
      <c r="Q352" s="33"/>
      <c r="R352" s="33"/>
      <c r="S352" s="33"/>
      <c r="T352" s="33"/>
      <c r="U352" s="33"/>
      <c r="V352" s="33"/>
      <c r="W352" s="33"/>
      <c r="X352" s="33"/>
      <c r="Y352" s="33"/>
      <c r="Z352" s="33"/>
      <c r="AA352" s="33"/>
      <c r="AB352" s="33"/>
      <c r="AC352" s="33"/>
      <c r="AD352" s="33"/>
      <c r="AE352" s="33"/>
      <c r="AF352" s="33"/>
      <c r="AG352" s="33"/>
      <c r="AH352" s="33"/>
      <c r="AI352" s="33"/>
      <c r="AJ352" s="33"/>
      <c r="AK352" s="33"/>
      <c r="AL352" s="33"/>
      <c r="AM352" s="33"/>
      <c r="AN352" s="33"/>
      <c r="AO352" s="33"/>
      <c r="AP352" s="33"/>
      <c r="AQ352" s="33"/>
      <c r="AR352" s="33"/>
      <c r="AS352" s="33"/>
      <c r="AT352" s="33"/>
      <c r="AU352" s="33"/>
      <c r="AV352" s="33"/>
      <c r="AW352" s="33"/>
      <c r="AX352" s="33"/>
      <c r="AY352" s="33"/>
      <c r="AZ352" s="33"/>
      <c r="BA352" s="33"/>
      <c r="BB352" s="33"/>
    </row>
    <row r="353" spans="1:54" x14ac:dyDescent="0.25">
      <c r="A353" s="34"/>
      <c r="B353" s="34"/>
      <c r="C353" s="34"/>
      <c r="D353" s="37"/>
      <c r="E353" s="37"/>
      <c r="F353" s="37"/>
      <c r="G353" s="37"/>
      <c r="H353" s="37"/>
      <c r="I353" s="37"/>
      <c r="J353" s="37"/>
      <c r="K353" s="37"/>
      <c r="L353" s="37"/>
      <c r="M353" s="37"/>
      <c r="N353" s="37"/>
      <c r="O353" s="37"/>
      <c r="P353" s="37"/>
      <c r="Q353" s="37"/>
      <c r="R353" s="37"/>
      <c r="S353" s="37"/>
      <c r="T353" s="37"/>
      <c r="U353" s="37"/>
      <c r="V353" s="37"/>
      <c r="W353" s="37"/>
      <c r="X353" s="37"/>
      <c r="Y353" s="37"/>
      <c r="Z353" s="37"/>
      <c r="AA353" s="37"/>
      <c r="AB353" s="37"/>
      <c r="AC353" s="37"/>
      <c r="AD353" s="37"/>
      <c r="AE353" s="37"/>
      <c r="AF353" s="37"/>
      <c r="AG353" s="37"/>
      <c r="AH353" s="37"/>
      <c r="AI353" s="37"/>
      <c r="AJ353" s="37"/>
      <c r="AK353" s="37"/>
      <c r="AL353" s="37"/>
      <c r="AM353" s="37"/>
      <c r="AN353" s="37"/>
      <c r="AO353" s="37"/>
      <c r="AP353" s="37"/>
      <c r="AQ353" s="37"/>
      <c r="AR353" s="37"/>
      <c r="AS353" s="37"/>
      <c r="AT353" s="37"/>
      <c r="AU353" s="37"/>
      <c r="AV353" s="37"/>
      <c r="AW353" s="37"/>
      <c r="AX353" s="37"/>
      <c r="AY353" s="37"/>
      <c r="AZ353" s="37"/>
      <c r="BA353" s="37"/>
      <c r="BB353" s="37"/>
    </row>
    <row r="354" spans="1:54" s="5" customFormat="1" x14ac:dyDescent="0.25">
      <c r="A354" s="32"/>
      <c r="B354" s="32"/>
      <c r="C354" s="32"/>
      <c r="D354" s="33"/>
      <c r="E354" s="33"/>
      <c r="F354" s="33"/>
      <c r="G354" s="33"/>
      <c r="H354" s="33"/>
      <c r="I354" s="33"/>
      <c r="J354" s="33"/>
      <c r="K354" s="33"/>
      <c r="L354" s="33"/>
      <c r="M354" s="33"/>
      <c r="N354" s="33"/>
      <c r="O354" s="33"/>
      <c r="P354" s="33"/>
      <c r="Q354" s="33"/>
      <c r="R354" s="33"/>
      <c r="S354" s="33"/>
      <c r="T354" s="33"/>
      <c r="U354" s="33"/>
      <c r="V354" s="33"/>
      <c r="W354" s="33"/>
      <c r="X354" s="33"/>
      <c r="Y354" s="33"/>
      <c r="Z354" s="33"/>
      <c r="AA354" s="33"/>
      <c r="AB354" s="33"/>
      <c r="AC354" s="33"/>
      <c r="AD354" s="33"/>
      <c r="AE354" s="33"/>
      <c r="AF354" s="33"/>
      <c r="AG354" s="33"/>
      <c r="AH354" s="33"/>
      <c r="AI354" s="33"/>
      <c r="AJ354" s="33"/>
      <c r="AK354" s="33"/>
      <c r="AL354" s="33"/>
      <c r="AM354" s="33"/>
      <c r="AN354" s="33"/>
      <c r="AO354" s="33"/>
      <c r="AP354" s="33"/>
      <c r="AQ354" s="33"/>
      <c r="AR354" s="33"/>
      <c r="AS354" s="33"/>
      <c r="AT354" s="33"/>
      <c r="AU354" s="33"/>
      <c r="AV354" s="33"/>
      <c r="AW354" s="33"/>
      <c r="AX354" s="33"/>
      <c r="AY354" s="33"/>
      <c r="AZ354" s="33"/>
      <c r="BA354" s="33"/>
      <c r="BB354" s="33"/>
    </row>
    <row r="355" spans="1:54" x14ac:dyDescent="0.25">
      <c r="A355" s="34"/>
      <c r="B355" s="34"/>
      <c r="C355" s="34"/>
      <c r="D355" s="35"/>
      <c r="E355" s="35"/>
      <c r="F355" s="35"/>
      <c r="G355" s="35"/>
      <c r="H355" s="35"/>
      <c r="I355" s="35"/>
      <c r="J355" s="35"/>
      <c r="K355" s="35"/>
      <c r="L355" s="35"/>
      <c r="M355" s="35"/>
      <c r="N355" s="35"/>
      <c r="O355" s="35"/>
      <c r="P355" s="35"/>
      <c r="Q355" s="35"/>
      <c r="R355" s="35"/>
      <c r="S355" s="35"/>
      <c r="T355" s="35"/>
      <c r="U355" s="35"/>
      <c r="V355" s="37"/>
      <c r="W355" s="37"/>
      <c r="X355" s="37"/>
      <c r="Y355" s="35"/>
      <c r="Z355" s="37"/>
      <c r="AA355" s="37"/>
      <c r="AB355" s="35"/>
      <c r="AC355" s="37"/>
      <c r="AD355" s="37"/>
      <c r="AE355" s="35"/>
      <c r="AF355" s="35"/>
      <c r="AG355" s="35"/>
      <c r="AH355" s="37"/>
      <c r="AI355" s="37"/>
      <c r="AJ355" s="35"/>
      <c r="AK355" s="37"/>
      <c r="AL355" s="37"/>
      <c r="AM355" s="37"/>
      <c r="AN355" s="37"/>
      <c r="AO355" s="37"/>
      <c r="AP355" s="37"/>
      <c r="AQ355" s="37"/>
      <c r="AR355" s="37"/>
      <c r="AS355" s="37"/>
      <c r="AT355" s="37"/>
      <c r="AU355" s="37"/>
      <c r="AV355" s="37"/>
      <c r="AW355" s="37"/>
      <c r="AX355" s="37"/>
      <c r="AY355" s="37"/>
      <c r="AZ355" s="37"/>
      <c r="BA355" s="37"/>
      <c r="BB355" s="37"/>
    </row>
    <row r="356" spans="1:54" s="5" customFormat="1" x14ac:dyDescent="0.25">
      <c r="A356" s="32"/>
      <c r="B356" s="32"/>
      <c r="C356" s="32"/>
      <c r="D356" s="33"/>
      <c r="E356" s="33"/>
      <c r="F356" s="33"/>
      <c r="G356" s="36"/>
      <c r="H356" s="36"/>
      <c r="I356" s="36"/>
      <c r="J356" s="36"/>
      <c r="K356" s="36"/>
      <c r="L356" s="36"/>
      <c r="M356" s="36"/>
      <c r="N356" s="36"/>
      <c r="O356" s="36"/>
      <c r="P356" s="36"/>
      <c r="Q356" s="36"/>
      <c r="R356" s="36"/>
      <c r="S356" s="36"/>
      <c r="T356" s="36"/>
      <c r="U356" s="36"/>
      <c r="V356" s="36"/>
      <c r="W356" s="36"/>
      <c r="X356" s="36"/>
      <c r="Y356" s="36"/>
      <c r="Z356" s="36"/>
      <c r="AA356" s="36"/>
      <c r="AB356" s="36"/>
      <c r="AC356" s="36"/>
      <c r="AD356" s="36"/>
      <c r="AE356" s="36"/>
      <c r="AF356" s="36"/>
      <c r="AG356" s="36"/>
      <c r="AH356" s="36"/>
      <c r="AI356" s="36"/>
      <c r="AJ356" s="36"/>
      <c r="AK356" s="36"/>
      <c r="AL356" s="36"/>
      <c r="AM356" s="36"/>
      <c r="AN356" s="36"/>
      <c r="AO356" s="36"/>
      <c r="AP356" s="36"/>
      <c r="AQ356" s="36"/>
      <c r="AR356" s="36"/>
      <c r="AS356" s="36"/>
      <c r="AT356" s="36"/>
      <c r="AU356" s="36"/>
      <c r="AV356" s="36"/>
      <c r="AW356" s="36"/>
      <c r="AX356" s="36"/>
      <c r="AY356" s="36"/>
      <c r="AZ356" s="36"/>
      <c r="BA356" s="36"/>
      <c r="BB356" s="36"/>
    </row>
    <row r="357" spans="1:54" x14ac:dyDescent="0.25">
      <c r="A357" s="34"/>
      <c r="B357" s="34"/>
      <c r="C357" s="34"/>
      <c r="D357" s="35"/>
      <c r="E357" s="35"/>
      <c r="F357" s="35"/>
      <c r="G357" s="35"/>
      <c r="H357" s="35"/>
      <c r="I357" s="35"/>
      <c r="J357" s="35"/>
      <c r="K357" s="35"/>
      <c r="L357" s="35"/>
      <c r="M357" s="35"/>
      <c r="N357" s="35"/>
      <c r="O357" s="35"/>
      <c r="P357" s="35"/>
      <c r="Q357" s="35"/>
      <c r="R357" s="35"/>
      <c r="S357" s="35"/>
      <c r="T357" s="35"/>
      <c r="U357" s="35"/>
      <c r="V357" s="35"/>
      <c r="W357" s="35"/>
      <c r="X357" s="35"/>
      <c r="Y357" s="35"/>
      <c r="Z357" s="35"/>
      <c r="AA357" s="35"/>
      <c r="AB357" s="35"/>
      <c r="AC357" s="35"/>
      <c r="AD357" s="35"/>
      <c r="AE357" s="35"/>
      <c r="AF357" s="35"/>
      <c r="AG357" s="35"/>
      <c r="AH357" s="35"/>
      <c r="AI357" s="35"/>
      <c r="AJ357" s="35"/>
      <c r="AK357" s="35"/>
      <c r="AL357" s="35"/>
      <c r="AM357" s="35"/>
      <c r="AN357" s="35"/>
      <c r="AO357" s="35"/>
      <c r="AP357" s="35"/>
      <c r="AQ357" s="35"/>
      <c r="AR357" s="35"/>
      <c r="AS357" s="35"/>
      <c r="AT357" s="35"/>
      <c r="AU357" s="35"/>
      <c r="AV357" s="35"/>
      <c r="AW357" s="35"/>
      <c r="AX357" s="35"/>
      <c r="AY357" s="35"/>
      <c r="AZ357" s="35"/>
      <c r="BA357" s="35"/>
      <c r="BB357" s="35"/>
    </row>
    <row r="358" spans="1:54" s="5" customFormat="1" x14ac:dyDescent="0.25">
      <c r="A358" s="32"/>
      <c r="B358" s="32"/>
      <c r="C358" s="32"/>
      <c r="D358" s="33"/>
      <c r="E358" s="33"/>
      <c r="F358" s="33"/>
      <c r="G358" s="33"/>
      <c r="H358" s="33"/>
      <c r="I358" s="33"/>
      <c r="J358" s="33"/>
      <c r="K358" s="33"/>
      <c r="L358" s="33"/>
      <c r="M358" s="33"/>
      <c r="N358" s="33"/>
      <c r="O358" s="33"/>
      <c r="P358" s="33"/>
      <c r="Q358" s="33"/>
      <c r="R358" s="33"/>
      <c r="S358" s="33"/>
      <c r="T358" s="33"/>
      <c r="U358" s="33"/>
      <c r="V358" s="33"/>
      <c r="W358" s="33"/>
      <c r="X358" s="33"/>
      <c r="Y358" s="33"/>
      <c r="Z358" s="33"/>
      <c r="AA358" s="33"/>
      <c r="AB358" s="33"/>
      <c r="AC358" s="33"/>
      <c r="AD358" s="33"/>
      <c r="AE358" s="33"/>
      <c r="AF358" s="33"/>
      <c r="AG358" s="33"/>
      <c r="AH358" s="33"/>
      <c r="AI358" s="33"/>
      <c r="AJ358" s="33"/>
      <c r="AK358" s="33"/>
      <c r="AL358" s="33"/>
      <c r="AM358" s="33"/>
      <c r="AN358" s="33"/>
      <c r="AO358" s="33"/>
      <c r="AP358" s="33"/>
      <c r="AQ358" s="33"/>
      <c r="AR358" s="33"/>
      <c r="AS358" s="33"/>
      <c r="AT358" s="33"/>
      <c r="AU358" s="33"/>
      <c r="AV358" s="33"/>
      <c r="AW358" s="33"/>
      <c r="AX358" s="33"/>
      <c r="AY358" s="33"/>
      <c r="AZ358" s="33"/>
      <c r="BA358" s="33"/>
      <c r="BB358" s="33"/>
    </row>
    <row r="359" spans="1:54" x14ac:dyDescent="0.25">
      <c r="A359" s="34"/>
      <c r="B359" s="34"/>
      <c r="C359" s="34"/>
      <c r="D359" s="35"/>
      <c r="E359" s="35"/>
      <c r="F359" s="35"/>
      <c r="G359" s="35"/>
      <c r="H359" s="35"/>
      <c r="I359" s="35"/>
      <c r="J359" s="35"/>
      <c r="K359" s="35"/>
      <c r="L359" s="35"/>
      <c r="M359" s="35"/>
      <c r="N359" s="35"/>
      <c r="O359" s="35"/>
      <c r="P359" s="35"/>
      <c r="Q359" s="35"/>
      <c r="R359" s="35"/>
      <c r="S359" s="35"/>
      <c r="T359" s="35"/>
      <c r="U359" s="35"/>
      <c r="V359" s="35"/>
      <c r="W359" s="35"/>
      <c r="X359" s="35"/>
      <c r="Y359" s="35"/>
      <c r="Z359" s="35"/>
      <c r="AA359" s="35"/>
      <c r="AB359" s="35"/>
      <c r="AC359" s="35"/>
      <c r="AD359" s="35"/>
      <c r="AE359" s="35"/>
      <c r="AF359" s="35"/>
      <c r="AG359" s="35"/>
      <c r="AH359" s="35"/>
      <c r="AI359" s="35"/>
      <c r="AJ359" s="35"/>
      <c r="AK359" s="35"/>
      <c r="AL359" s="35"/>
      <c r="AM359" s="35"/>
      <c r="AN359" s="35"/>
      <c r="AO359" s="35"/>
      <c r="AP359" s="35"/>
      <c r="AQ359" s="35"/>
      <c r="AR359" s="35"/>
      <c r="AS359" s="35"/>
      <c r="AT359" s="35"/>
      <c r="AU359" s="35"/>
      <c r="AV359" s="35"/>
      <c r="AW359" s="35"/>
      <c r="AX359" s="35"/>
      <c r="AY359" s="35"/>
      <c r="AZ359" s="35"/>
      <c r="BA359" s="35"/>
      <c r="BB359" s="35"/>
    </row>
    <row r="360" spans="1:54" s="5" customFormat="1" x14ac:dyDescent="0.25">
      <c r="A360" s="32"/>
      <c r="B360" s="32"/>
      <c r="C360" s="32"/>
      <c r="D360" s="33"/>
      <c r="E360" s="33"/>
      <c r="F360" s="33"/>
      <c r="G360" s="33"/>
      <c r="H360" s="33"/>
      <c r="I360" s="33"/>
      <c r="J360" s="33"/>
      <c r="K360" s="33"/>
      <c r="L360" s="33"/>
      <c r="M360" s="33"/>
      <c r="N360" s="33"/>
      <c r="O360" s="33"/>
      <c r="P360" s="33"/>
      <c r="Q360" s="33"/>
      <c r="R360" s="33"/>
      <c r="S360" s="33"/>
      <c r="T360" s="33"/>
      <c r="U360" s="33"/>
      <c r="V360" s="33"/>
      <c r="W360" s="33"/>
      <c r="X360" s="33"/>
      <c r="Y360" s="33"/>
      <c r="Z360" s="33"/>
      <c r="AA360" s="33"/>
      <c r="AB360" s="33"/>
      <c r="AC360" s="33"/>
      <c r="AD360" s="33"/>
      <c r="AE360" s="33"/>
      <c r="AF360" s="33"/>
      <c r="AG360" s="33"/>
      <c r="AH360" s="33"/>
      <c r="AI360" s="33"/>
      <c r="AJ360" s="33"/>
      <c r="AK360" s="33"/>
      <c r="AL360" s="33"/>
      <c r="AM360" s="33"/>
      <c r="AN360" s="33"/>
      <c r="AO360" s="33"/>
      <c r="AP360" s="33"/>
      <c r="AQ360" s="33"/>
      <c r="AR360" s="33"/>
      <c r="AS360" s="33"/>
      <c r="AT360" s="33"/>
      <c r="AU360" s="33"/>
      <c r="AV360" s="33"/>
      <c r="AW360" s="33"/>
      <c r="AX360" s="33"/>
      <c r="AY360" s="33"/>
      <c r="AZ360" s="33"/>
      <c r="BA360" s="33"/>
      <c r="BB360" s="33"/>
    </row>
    <row r="361" spans="1:54" x14ac:dyDescent="0.25">
      <c r="A361" s="32"/>
      <c r="B361" s="32"/>
      <c r="C361" s="32"/>
      <c r="D361" s="33"/>
      <c r="E361" s="33"/>
      <c r="F361" s="33"/>
      <c r="G361" s="33"/>
      <c r="H361" s="33"/>
      <c r="I361" s="33"/>
      <c r="J361" s="33"/>
      <c r="K361" s="33"/>
      <c r="L361" s="33"/>
      <c r="M361" s="33"/>
      <c r="N361" s="33"/>
      <c r="O361" s="33"/>
      <c r="P361" s="33"/>
      <c r="Q361" s="33"/>
      <c r="R361" s="33"/>
      <c r="S361" s="33"/>
      <c r="T361" s="33"/>
      <c r="U361" s="33"/>
      <c r="V361" s="33"/>
      <c r="W361" s="33"/>
      <c r="X361" s="33"/>
      <c r="Y361" s="36"/>
      <c r="Z361" s="36"/>
      <c r="AA361" s="36"/>
      <c r="AB361" s="36"/>
      <c r="AC361" s="36"/>
      <c r="AD361" s="36"/>
      <c r="AE361" s="36"/>
      <c r="AF361" s="36"/>
      <c r="AG361" s="36"/>
      <c r="AH361" s="36"/>
      <c r="AI361" s="36"/>
      <c r="AJ361" s="36"/>
      <c r="AK361" s="36"/>
      <c r="AL361" s="36"/>
      <c r="AM361" s="36"/>
      <c r="AN361" s="36"/>
      <c r="AO361" s="36"/>
      <c r="AP361" s="36"/>
      <c r="AQ361" s="36"/>
      <c r="AR361" s="36"/>
      <c r="AS361" s="36"/>
      <c r="AT361" s="36"/>
      <c r="AU361" s="36"/>
      <c r="AV361" s="36"/>
      <c r="AW361" s="36"/>
      <c r="AX361" s="36"/>
      <c r="AY361" s="36"/>
      <c r="AZ361" s="36"/>
      <c r="BA361" s="36"/>
      <c r="BB361" s="36"/>
    </row>
    <row r="362" spans="1:54" s="5" customFormat="1" x14ac:dyDescent="0.25">
      <c r="A362" s="32"/>
      <c r="B362" s="34"/>
      <c r="C362" s="34"/>
      <c r="D362" s="35"/>
      <c r="E362" s="35"/>
      <c r="F362" s="35"/>
      <c r="G362" s="35"/>
      <c r="H362" s="35"/>
      <c r="I362" s="35"/>
      <c r="J362" s="35"/>
      <c r="K362" s="35"/>
      <c r="L362" s="35"/>
      <c r="M362" s="35"/>
      <c r="N362" s="35"/>
      <c r="O362" s="35"/>
      <c r="P362" s="35"/>
      <c r="Q362" s="35"/>
      <c r="R362" s="35"/>
      <c r="S362" s="35"/>
      <c r="T362" s="35"/>
      <c r="U362" s="35"/>
      <c r="V362" s="35"/>
      <c r="W362" s="35"/>
      <c r="X362" s="35"/>
      <c r="Y362" s="35"/>
      <c r="Z362" s="35"/>
      <c r="AA362" s="35"/>
      <c r="AB362" s="35"/>
      <c r="AC362" s="35"/>
      <c r="AD362" s="35"/>
      <c r="AE362" s="35"/>
      <c r="AF362" s="35"/>
      <c r="AG362" s="35"/>
      <c r="AH362" s="35"/>
      <c r="AI362" s="35"/>
      <c r="AJ362" s="35"/>
      <c r="AK362" s="35"/>
      <c r="AL362" s="35"/>
      <c r="AM362" s="35"/>
      <c r="AN362" s="35"/>
      <c r="AO362" s="35"/>
      <c r="AP362" s="35"/>
      <c r="AQ362" s="35"/>
      <c r="AR362" s="37"/>
      <c r="AS362" s="35"/>
      <c r="AT362" s="35"/>
      <c r="AU362" s="35"/>
      <c r="AV362" s="35"/>
      <c r="AW362" s="37"/>
      <c r="AX362" s="35"/>
      <c r="AY362" s="35"/>
      <c r="AZ362" s="35"/>
      <c r="BA362" s="37"/>
      <c r="BB362" s="37"/>
    </row>
    <row r="363" spans="1:54" x14ac:dyDescent="0.25">
      <c r="A363" s="32"/>
      <c r="B363" s="32"/>
      <c r="C363" s="32"/>
      <c r="D363" s="33"/>
      <c r="E363" s="33"/>
      <c r="F363" s="33"/>
      <c r="G363" s="33"/>
      <c r="H363" s="33"/>
      <c r="I363" s="33"/>
      <c r="J363" s="33"/>
      <c r="K363" s="33"/>
      <c r="L363" s="33"/>
      <c r="M363" s="33"/>
      <c r="N363" s="33"/>
      <c r="O363" s="33"/>
      <c r="P363" s="33"/>
      <c r="Q363" s="33"/>
      <c r="R363" s="33"/>
      <c r="S363" s="33"/>
      <c r="T363" s="33"/>
      <c r="U363" s="33"/>
      <c r="V363" s="33"/>
      <c r="W363" s="33"/>
      <c r="X363" s="33"/>
      <c r="Y363" s="33"/>
      <c r="Z363" s="33"/>
      <c r="AA363" s="33"/>
      <c r="AB363" s="33"/>
      <c r="AC363" s="33"/>
      <c r="AD363" s="33"/>
      <c r="AE363" s="33"/>
      <c r="AF363" s="33"/>
      <c r="AG363" s="33"/>
      <c r="AH363" s="33"/>
      <c r="AI363" s="33"/>
      <c r="AJ363" s="33"/>
      <c r="AK363" s="33"/>
      <c r="AL363" s="33"/>
      <c r="AM363" s="33"/>
      <c r="AN363" s="33"/>
      <c r="AO363" s="33"/>
      <c r="AP363" s="33"/>
      <c r="AQ363" s="33"/>
      <c r="AR363" s="33"/>
      <c r="AS363" s="33"/>
      <c r="AT363" s="33"/>
      <c r="AU363" s="33"/>
      <c r="AV363" s="33"/>
      <c r="AW363" s="33"/>
      <c r="AX363" s="33"/>
      <c r="AY363" s="33"/>
      <c r="AZ363" s="33"/>
      <c r="BA363" s="33"/>
      <c r="BB363" s="33"/>
    </row>
    <row r="364" spans="1:54" s="5" customFormat="1" x14ac:dyDescent="0.25">
      <c r="A364" s="32"/>
      <c r="B364" s="34"/>
      <c r="C364" s="34"/>
      <c r="D364" s="35"/>
      <c r="E364" s="35"/>
      <c r="F364" s="35"/>
      <c r="G364" s="35"/>
      <c r="H364" s="35"/>
      <c r="I364" s="35"/>
      <c r="J364" s="35"/>
      <c r="K364" s="35"/>
      <c r="L364" s="35"/>
      <c r="M364" s="35"/>
      <c r="N364" s="35"/>
      <c r="O364" s="35"/>
      <c r="P364" s="35"/>
      <c r="Q364" s="35"/>
      <c r="R364" s="35"/>
      <c r="S364" s="35"/>
      <c r="T364" s="35"/>
      <c r="U364" s="35"/>
      <c r="V364" s="35"/>
      <c r="W364" s="35"/>
      <c r="X364" s="35"/>
      <c r="Y364" s="37"/>
      <c r="Z364" s="37"/>
      <c r="AA364" s="37"/>
      <c r="AB364" s="37"/>
      <c r="AC364" s="37"/>
      <c r="AD364" s="37"/>
      <c r="AE364" s="37"/>
      <c r="AF364" s="37"/>
      <c r="AG364" s="37"/>
      <c r="AH364" s="37"/>
      <c r="AI364" s="37"/>
      <c r="AJ364" s="37"/>
      <c r="AK364" s="37"/>
      <c r="AL364" s="37"/>
      <c r="AM364" s="37"/>
      <c r="AN364" s="37"/>
      <c r="AO364" s="37"/>
      <c r="AP364" s="37"/>
      <c r="AQ364" s="37"/>
      <c r="AR364" s="37"/>
      <c r="AS364" s="37"/>
      <c r="AT364" s="37"/>
      <c r="AU364" s="37"/>
      <c r="AV364" s="37"/>
      <c r="AW364" s="37"/>
      <c r="AX364" s="37"/>
      <c r="AY364" s="37"/>
      <c r="AZ364" s="37"/>
      <c r="BA364" s="37"/>
      <c r="BB364" s="37"/>
    </row>
    <row r="365" spans="1:54" s="5" customFormat="1" x14ac:dyDescent="0.25">
      <c r="A365" s="32"/>
      <c r="B365" s="32"/>
      <c r="C365" s="32"/>
      <c r="D365" s="36"/>
      <c r="E365" s="36"/>
      <c r="F365" s="36"/>
      <c r="G365" s="36"/>
      <c r="H365" s="36"/>
      <c r="I365" s="36"/>
      <c r="J365" s="36"/>
      <c r="K365" s="36"/>
      <c r="L365" s="36"/>
      <c r="M365" s="36"/>
      <c r="N365" s="36"/>
      <c r="O365" s="36"/>
      <c r="P365" s="36"/>
      <c r="Q365" s="36"/>
      <c r="R365" s="36"/>
      <c r="S365" s="36"/>
      <c r="T365" s="36"/>
      <c r="U365" s="36"/>
      <c r="V365" s="36"/>
      <c r="W365" s="36"/>
      <c r="X365" s="36"/>
      <c r="Y365" s="36"/>
      <c r="Z365" s="36"/>
      <c r="AA365" s="36"/>
      <c r="AB365" s="36"/>
      <c r="AC365" s="36"/>
      <c r="AD365" s="36"/>
      <c r="AE365" s="36"/>
      <c r="AF365" s="36"/>
      <c r="AG365" s="36"/>
      <c r="AH365" s="36"/>
      <c r="AI365" s="36"/>
      <c r="AJ365" s="36"/>
      <c r="AK365" s="36"/>
      <c r="AL365" s="36"/>
      <c r="AM365" s="36"/>
      <c r="AN365" s="36"/>
      <c r="AO365" s="36"/>
      <c r="AP365" s="36"/>
      <c r="AQ365" s="36"/>
      <c r="AR365" s="36"/>
      <c r="AS365" s="36"/>
      <c r="AT365" s="36"/>
      <c r="AU365" s="36"/>
      <c r="AV365" s="36"/>
      <c r="AW365" s="36"/>
      <c r="AX365" s="36"/>
      <c r="AY365" s="36"/>
      <c r="AZ365" s="36"/>
      <c r="BA365" s="36"/>
      <c r="BB365" s="36"/>
    </row>
    <row r="366" spans="1:54" x14ac:dyDescent="0.25">
      <c r="A366" s="34"/>
      <c r="B366" s="34"/>
      <c r="C366" s="34"/>
      <c r="D366" s="37"/>
      <c r="E366" s="37"/>
      <c r="F366" s="37"/>
      <c r="G366" s="37"/>
      <c r="H366" s="37"/>
      <c r="I366" s="37"/>
      <c r="J366" s="37"/>
      <c r="K366" s="37"/>
      <c r="L366" s="35"/>
      <c r="M366" s="37"/>
      <c r="N366" s="37"/>
      <c r="O366" s="37"/>
      <c r="P366" s="37"/>
      <c r="Q366" s="37"/>
      <c r="R366" s="37"/>
      <c r="S366" s="37"/>
      <c r="T366" s="35"/>
      <c r="U366" s="35"/>
      <c r="V366" s="37"/>
      <c r="W366" s="35"/>
      <c r="X366" s="35"/>
      <c r="Y366" s="35"/>
      <c r="Z366" s="35"/>
      <c r="AA366" s="35"/>
      <c r="AB366" s="37"/>
      <c r="AC366" s="37"/>
      <c r="AD366" s="35"/>
      <c r="AE366" s="35"/>
      <c r="AF366" s="37"/>
      <c r="AG366" s="37"/>
      <c r="AH366" s="37"/>
      <c r="AI366" s="37"/>
      <c r="AJ366" s="37"/>
      <c r="AK366" s="37"/>
      <c r="AL366" s="37"/>
      <c r="AM366" s="37"/>
      <c r="AN366" s="37"/>
      <c r="AO366" s="37"/>
      <c r="AP366" s="37"/>
      <c r="AQ366" s="37"/>
      <c r="AR366" s="35"/>
      <c r="AS366" s="35"/>
      <c r="AT366" s="35"/>
      <c r="AU366" s="35"/>
      <c r="AV366" s="37"/>
      <c r="AW366" s="35"/>
      <c r="AX366" s="35"/>
      <c r="AY366" s="37"/>
      <c r="AZ366" s="37"/>
      <c r="BA366" s="35"/>
      <c r="BB366" s="35"/>
    </row>
    <row r="367" spans="1:54" s="5" customFormat="1" x14ac:dyDescent="0.25">
      <c r="A367" s="32"/>
      <c r="B367" s="32"/>
      <c r="C367" s="32"/>
      <c r="D367" s="33"/>
      <c r="E367" s="33"/>
      <c r="F367" s="33"/>
      <c r="G367" s="33"/>
      <c r="H367" s="33"/>
      <c r="I367" s="33"/>
      <c r="J367" s="33"/>
      <c r="K367" s="33"/>
      <c r="L367" s="33"/>
      <c r="M367" s="33"/>
      <c r="N367" s="33"/>
      <c r="O367" s="33"/>
      <c r="P367" s="33"/>
      <c r="Q367" s="33"/>
      <c r="R367" s="33"/>
      <c r="S367" s="33"/>
      <c r="T367" s="33"/>
      <c r="U367" s="33"/>
      <c r="V367" s="33"/>
      <c r="W367" s="33"/>
      <c r="X367" s="33"/>
      <c r="Y367" s="33"/>
      <c r="Z367" s="33"/>
      <c r="AA367" s="33"/>
      <c r="AB367" s="33"/>
      <c r="AC367" s="33"/>
      <c r="AD367" s="33"/>
      <c r="AE367" s="33"/>
      <c r="AF367" s="33"/>
      <c r="AG367" s="33"/>
      <c r="AH367" s="33"/>
      <c r="AI367" s="33"/>
      <c r="AJ367" s="33"/>
      <c r="AK367" s="33"/>
      <c r="AL367" s="33"/>
      <c r="AM367" s="33"/>
      <c r="AN367" s="33"/>
      <c r="AO367" s="33"/>
      <c r="AP367" s="33"/>
      <c r="AQ367" s="33"/>
      <c r="AR367" s="33"/>
      <c r="AS367" s="33"/>
      <c r="AT367" s="36"/>
      <c r="AU367" s="33"/>
      <c r="AV367" s="33"/>
      <c r="AW367" s="33"/>
      <c r="AX367" s="33"/>
      <c r="AY367" s="36"/>
      <c r="AZ367" s="36"/>
      <c r="BA367" s="33"/>
      <c r="BB367" s="33"/>
    </row>
    <row r="368" spans="1:54" x14ac:dyDescent="0.25">
      <c r="A368" s="34"/>
      <c r="B368" s="34"/>
      <c r="C368" s="34"/>
      <c r="D368" s="37"/>
      <c r="E368" s="37"/>
      <c r="F368" s="37"/>
      <c r="G368" s="37"/>
      <c r="H368" s="37"/>
      <c r="I368" s="37"/>
      <c r="J368" s="37"/>
      <c r="K368" s="37"/>
      <c r="L368" s="37"/>
      <c r="M368" s="37"/>
      <c r="N368" s="37"/>
      <c r="O368" s="37"/>
      <c r="P368" s="37"/>
      <c r="Q368" s="37"/>
      <c r="R368" s="37"/>
      <c r="S368" s="37"/>
      <c r="T368" s="37"/>
      <c r="U368" s="37"/>
      <c r="V368" s="37"/>
      <c r="W368" s="37"/>
      <c r="X368" s="37"/>
      <c r="Y368" s="37"/>
      <c r="Z368" s="37"/>
      <c r="AA368" s="37"/>
      <c r="AB368" s="37"/>
      <c r="AC368" s="37"/>
      <c r="AD368" s="37"/>
      <c r="AE368" s="37"/>
      <c r="AF368" s="37"/>
      <c r="AG368" s="37"/>
      <c r="AH368" s="37"/>
      <c r="AI368" s="37"/>
      <c r="AJ368" s="37"/>
      <c r="AK368" s="37"/>
      <c r="AL368" s="37"/>
      <c r="AM368" s="37"/>
      <c r="AN368" s="37"/>
      <c r="AO368" s="37"/>
      <c r="AP368" s="37"/>
      <c r="AQ368" s="37"/>
      <c r="AR368" s="37"/>
      <c r="AS368" s="37"/>
      <c r="AT368" s="37"/>
      <c r="AU368" s="37"/>
      <c r="AV368" s="37"/>
      <c r="AW368" s="37"/>
      <c r="AX368" s="37"/>
      <c r="AY368" s="37"/>
      <c r="AZ368" s="37"/>
      <c r="BA368" s="37"/>
      <c r="BB368" s="37"/>
    </row>
    <row r="369" spans="1:54" s="5" customFormat="1" x14ac:dyDescent="0.25">
      <c r="A369" s="32"/>
      <c r="B369" s="32"/>
      <c r="C369" s="32"/>
      <c r="D369" s="33"/>
      <c r="E369" s="33"/>
      <c r="F369" s="33"/>
      <c r="G369" s="33"/>
      <c r="H369" s="33"/>
      <c r="I369" s="33"/>
      <c r="J369" s="33"/>
      <c r="K369" s="33"/>
      <c r="L369" s="33"/>
      <c r="M369" s="33"/>
      <c r="N369" s="33"/>
      <c r="O369" s="33"/>
      <c r="P369" s="33"/>
      <c r="Q369" s="33"/>
      <c r="R369" s="33"/>
      <c r="S369" s="33"/>
      <c r="T369" s="33"/>
      <c r="U369" s="33"/>
      <c r="V369" s="33"/>
      <c r="W369" s="33"/>
      <c r="X369" s="33"/>
      <c r="Y369" s="33"/>
      <c r="Z369" s="33"/>
      <c r="AA369" s="33"/>
      <c r="AB369" s="33"/>
      <c r="AC369" s="33"/>
      <c r="AD369" s="33"/>
      <c r="AE369" s="36"/>
      <c r="AF369" s="36"/>
      <c r="AG369" s="36"/>
      <c r="AH369" s="36"/>
      <c r="AI369" s="36"/>
      <c r="AJ369" s="36"/>
      <c r="AK369" s="36"/>
      <c r="AL369" s="33"/>
      <c r="AM369" s="36"/>
      <c r="AN369" s="36"/>
      <c r="AO369" s="36"/>
      <c r="AP369" s="33"/>
      <c r="AQ369" s="36"/>
      <c r="AR369" s="36"/>
      <c r="AS369" s="33"/>
      <c r="AT369" s="36"/>
      <c r="AU369" s="36"/>
      <c r="AV369" s="36"/>
      <c r="AW369" s="36"/>
      <c r="AX369" s="36"/>
      <c r="AY369" s="36"/>
      <c r="AZ369" s="36"/>
      <c r="BA369" s="36"/>
      <c r="BB369" s="36"/>
    </row>
    <row r="370" spans="1:54" x14ac:dyDescent="0.25">
      <c r="A370" s="34"/>
      <c r="B370" s="34"/>
      <c r="C370" s="34"/>
      <c r="D370" s="35"/>
      <c r="E370" s="35"/>
      <c r="F370" s="35"/>
      <c r="G370" s="35"/>
      <c r="H370" s="35"/>
      <c r="I370" s="35"/>
      <c r="J370" s="35"/>
      <c r="K370" s="35"/>
      <c r="L370" s="35"/>
      <c r="M370" s="35"/>
      <c r="N370" s="35"/>
      <c r="O370" s="35"/>
      <c r="P370" s="35"/>
      <c r="Q370" s="35"/>
      <c r="R370" s="35"/>
      <c r="S370" s="35"/>
      <c r="T370" s="35"/>
      <c r="U370" s="35"/>
      <c r="V370" s="35"/>
      <c r="W370" s="35"/>
      <c r="X370" s="35"/>
      <c r="Y370" s="35"/>
      <c r="Z370" s="35"/>
      <c r="AA370" s="35"/>
      <c r="AB370" s="35"/>
      <c r="AC370" s="35"/>
      <c r="AD370" s="35"/>
      <c r="AE370" s="37"/>
      <c r="AF370" s="37"/>
      <c r="AG370" s="37"/>
      <c r="AH370" s="37"/>
      <c r="AI370" s="37"/>
      <c r="AJ370" s="37"/>
      <c r="AK370" s="37"/>
      <c r="AL370" s="35"/>
      <c r="AM370" s="35"/>
      <c r="AN370" s="35"/>
      <c r="AO370" s="35"/>
      <c r="AP370" s="35"/>
      <c r="AQ370" s="35"/>
      <c r="AR370" s="35"/>
      <c r="AS370" s="35"/>
      <c r="AT370" s="35"/>
      <c r="AU370" s="35"/>
      <c r="AV370" s="35"/>
      <c r="AW370" s="35"/>
      <c r="AX370" s="35"/>
      <c r="AY370" s="35"/>
      <c r="AZ370" s="35"/>
      <c r="BA370" s="35"/>
      <c r="BB370" s="35"/>
    </row>
    <row r="371" spans="1:54" s="5" customFormat="1" x14ac:dyDescent="0.25">
      <c r="A371" s="32"/>
      <c r="B371" s="32"/>
      <c r="C371" s="32"/>
      <c r="D371" s="33"/>
      <c r="E371" s="33"/>
      <c r="F371" s="33"/>
      <c r="G371" s="33"/>
      <c r="H371" s="33"/>
      <c r="I371" s="33"/>
      <c r="J371" s="33"/>
      <c r="K371" s="33"/>
      <c r="L371" s="33"/>
      <c r="M371" s="33"/>
      <c r="N371" s="33"/>
      <c r="O371" s="33"/>
      <c r="P371" s="33"/>
      <c r="Q371" s="33"/>
      <c r="R371" s="33"/>
      <c r="S371" s="33"/>
      <c r="T371" s="33"/>
      <c r="U371" s="33"/>
      <c r="V371" s="33"/>
      <c r="W371" s="33"/>
      <c r="X371" s="33"/>
      <c r="Y371" s="33"/>
      <c r="Z371" s="33"/>
      <c r="AA371" s="33"/>
      <c r="AB371" s="33"/>
      <c r="AC371" s="33"/>
      <c r="AD371" s="33"/>
      <c r="AE371" s="33"/>
      <c r="AF371" s="33"/>
      <c r="AG371" s="33"/>
      <c r="AH371" s="33"/>
      <c r="AI371" s="33"/>
      <c r="AJ371" s="33"/>
      <c r="AK371" s="33"/>
      <c r="AL371" s="33"/>
      <c r="AM371" s="33"/>
      <c r="AN371" s="33"/>
      <c r="AO371" s="33"/>
      <c r="AP371" s="33"/>
      <c r="AQ371" s="33"/>
      <c r="AR371" s="33"/>
      <c r="AS371" s="33"/>
      <c r="AT371" s="33"/>
      <c r="AU371" s="33"/>
      <c r="AV371" s="33"/>
      <c r="AW371" s="33"/>
      <c r="AX371" s="33"/>
      <c r="AY371" s="33"/>
      <c r="AZ371" s="36"/>
      <c r="BA371" s="33"/>
      <c r="BB371" s="33"/>
    </row>
    <row r="372" spans="1:54" x14ac:dyDescent="0.25">
      <c r="A372" s="34"/>
      <c r="B372" s="34"/>
      <c r="C372" s="34"/>
      <c r="D372" s="35"/>
      <c r="E372" s="35"/>
      <c r="F372" s="35"/>
      <c r="G372" s="35"/>
      <c r="H372" s="35"/>
      <c r="I372" s="35"/>
      <c r="J372" s="35"/>
      <c r="K372" s="35"/>
      <c r="L372" s="35"/>
      <c r="M372" s="35"/>
      <c r="N372" s="35"/>
      <c r="O372" s="35"/>
      <c r="P372" s="35"/>
      <c r="Q372" s="35"/>
      <c r="R372" s="35"/>
      <c r="S372" s="35"/>
      <c r="T372" s="35"/>
      <c r="U372" s="35"/>
      <c r="V372" s="35"/>
      <c r="W372" s="35"/>
      <c r="X372" s="35"/>
      <c r="Y372" s="35"/>
      <c r="Z372" s="35"/>
      <c r="AA372" s="35"/>
      <c r="AB372" s="35"/>
      <c r="AC372" s="35"/>
      <c r="AD372" s="35"/>
      <c r="AE372" s="37"/>
      <c r="AF372" s="37"/>
      <c r="AG372" s="37"/>
      <c r="AH372" s="37"/>
      <c r="AI372" s="37"/>
      <c r="AJ372" s="37"/>
      <c r="AK372" s="37"/>
      <c r="AL372" s="37"/>
      <c r="AM372" s="37"/>
      <c r="AN372" s="37"/>
      <c r="AO372" s="37"/>
      <c r="AP372" s="37"/>
      <c r="AQ372" s="37"/>
      <c r="AR372" s="37"/>
      <c r="AS372" s="37"/>
      <c r="AT372" s="37"/>
      <c r="AU372" s="37"/>
      <c r="AV372" s="37"/>
      <c r="AW372" s="37"/>
      <c r="AX372" s="37"/>
      <c r="AY372" s="37"/>
      <c r="AZ372" s="37"/>
      <c r="BA372" s="37"/>
      <c r="BB372" s="37"/>
    </row>
    <row r="373" spans="1:54" s="5" customFormat="1" x14ac:dyDescent="0.25">
      <c r="A373" s="32"/>
      <c r="B373" s="32"/>
      <c r="C373" s="32"/>
      <c r="D373" s="33"/>
      <c r="E373" s="33"/>
      <c r="F373" s="33"/>
      <c r="G373" s="33"/>
      <c r="H373" s="33"/>
      <c r="I373" s="33"/>
      <c r="J373" s="33"/>
      <c r="K373" s="33"/>
      <c r="L373" s="33"/>
      <c r="M373" s="33"/>
      <c r="N373" s="33"/>
      <c r="O373" s="33"/>
      <c r="P373" s="33"/>
      <c r="Q373" s="33"/>
      <c r="R373" s="33"/>
      <c r="S373" s="33"/>
      <c r="T373" s="33"/>
      <c r="U373" s="33"/>
      <c r="V373" s="33"/>
      <c r="W373" s="33"/>
      <c r="X373" s="33"/>
      <c r="Y373" s="33"/>
      <c r="Z373" s="33"/>
      <c r="AA373" s="33"/>
      <c r="AB373" s="33"/>
      <c r="AC373" s="33"/>
      <c r="AD373" s="33"/>
      <c r="AE373" s="36"/>
      <c r="AF373" s="36"/>
      <c r="AG373" s="36"/>
      <c r="AH373" s="36"/>
      <c r="AI373" s="36"/>
      <c r="AJ373" s="36"/>
      <c r="AK373" s="36"/>
      <c r="AL373" s="36"/>
      <c r="AM373" s="36"/>
      <c r="AN373" s="36"/>
      <c r="AO373" s="36"/>
      <c r="AP373" s="33"/>
      <c r="AQ373" s="36"/>
      <c r="AR373" s="36"/>
      <c r="AS373" s="36"/>
      <c r="AT373" s="36"/>
      <c r="AU373" s="36"/>
      <c r="AV373" s="36"/>
      <c r="AW373" s="36"/>
      <c r="AX373" s="36"/>
      <c r="AY373" s="36"/>
      <c r="AZ373" s="33"/>
      <c r="BA373" s="33"/>
      <c r="BB373" s="33"/>
    </row>
    <row r="374" spans="1:54" x14ac:dyDescent="0.25">
      <c r="A374" s="34"/>
      <c r="B374" s="34"/>
      <c r="C374" s="34"/>
      <c r="D374" s="35"/>
      <c r="E374" s="35"/>
      <c r="F374" s="35"/>
      <c r="G374" s="35"/>
      <c r="H374" s="35"/>
      <c r="I374" s="35"/>
      <c r="J374" s="35"/>
      <c r="K374" s="35"/>
      <c r="L374" s="35"/>
      <c r="M374" s="35"/>
      <c r="N374" s="35"/>
      <c r="O374" s="35"/>
      <c r="P374" s="35"/>
      <c r="Q374" s="35"/>
      <c r="R374" s="35"/>
      <c r="S374" s="35"/>
      <c r="T374" s="35"/>
      <c r="U374" s="35"/>
      <c r="V374" s="35"/>
      <c r="W374" s="35"/>
      <c r="X374" s="35"/>
      <c r="Y374" s="35"/>
      <c r="Z374" s="35"/>
      <c r="AA374" s="35"/>
      <c r="AB374" s="35"/>
      <c r="AC374" s="35"/>
      <c r="AD374" s="35"/>
      <c r="AE374" s="35"/>
      <c r="AF374" s="35"/>
      <c r="AG374" s="35"/>
      <c r="AH374" s="35"/>
      <c r="AI374" s="35"/>
      <c r="AJ374" s="35"/>
      <c r="AK374" s="35"/>
      <c r="AL374" s="35"/>
      <c r="AM374" s="35"/>
      <c r="AN374" s="35"/>
      <c r="AO374" s="35"/>
      <c r="AP374" s="35"/>
      <c r="AQ374" s="35"/>
      <c r="AR374" s="35"/>
      <c r="AS374" s="35"/>
      <c r="AT374" s="35"/>
      <c r="AU374" s="35"/>
      <c r="AV374" s="35"/>
      <c r="AW374" s="35"/>
      <c r="AX374" s="35"/>
      <c r="AY374" s="35"/>
      <c r="AZ374" s="35"/>
      <c r="BA374" s="35"/>
      <c r="BB374" s="35"/>
    </row>
    <row r="375" spans="1:54" s="5" customFormat="1" x14ac:dyDescent="0.25">
      <c r="A375" s="32"/>
      <c r="B375" s="32"/>
      <c r="C375" s="32"/>
      <c r="D375" s="33"/>
      <c r="E375" s="33"/>
      <c r="F375" s="33"/>
      <c r="G375" s="33"/>
      <c r="H375" s="33"/>
      <c r="I375" s="33"/>
      <c r="J375" s="33"/>
      <c r="K375" s="33"/>
      <c r="L375" s="33"/>
      <c r="M375" s="33"/>
      <c r="N375" s="33"/>
      <c r="O375" s="33"/>
      <c r="P375" s="33"/>
      <c r="Q375" s="33"/>
      <c r="R375" s="33"/>
      <c r="S375" s="33"/>
      <c r="T375" s="33"/>
      <c r="U375" s="33"/>
      <c r="V375" s="33"/>
      <c r="W375" s="33"/>
      <c r="X375" s="33"/>
      <c r="Y375" s="33"/>
      <c r="Z375" s="33"/>
      <c r="AA375" s="33"/>
      <c r="AB375" s="33"/>
      <c r="AC375" s="33"/>
      <c r="AD375" s="33"/>
      <c r="AE375" s="36"/>
      <c r="AF375" s="36"/>
      <c r="AG375" s="36"/>
      <c r="AH375" s="36"/>
      <c r="AI375" s="36"/>
      <c r="AJ375" s="36"/>
      <c r="AK375" s="36"/>
      <c r="AL375" s="36"/>
      <c r="AM375" s="36"/>
      <c r="AN375" s="36"/>
      <c r="AO375" s="36"/>
      <c r="AP375" s="33"/>
      <c r="AQ375" s="36"/>
      <c r="AR375" s="36"/>
      <c r="AS375" s="36"/>
      <c r="AT375" s="36"/>
      <c r="AU375" s="36"/>
      <c r="AV375" s="36"/>
      <c r="AW375" s="36"/>
      <c r="AX375" s="36"/>
      <c r="AY375" s="36"/>
      <c r="AZ375" s="33"/>
      <c r="BA375" s="33"/>
      <c r="BB375" s="33"/>
    </row>
    <row r="376" spans="1:54" x14ac:dyDescent="0.25">
      <c r="A376" s="34"/>
      <c r="B376" s="34"/>
      <c r="C376" s="34"/>
      <c r="D376" s="35"/>
      <c r="E376" s="35"/>
      <c r="F376" s="35"/>
      <c r="G376" s="35"/>
      <c r="H376" s="35"/>
      <c r="I376" s="35"/>
      <c r="J376" s="35"/>
      <c r="K376" s="35"/>
      <c r="L376" s="35"/>
      <c r="M376" s="35"/>
      <c r="N376" s="35"/>
      <c r="O376" s="35"/>
      <c r="P376" s="35"/>
      <c r="Q376" s="35"/>
      <c r="R376" s="35"/>
      <c r="S376" s="35"/>
      <c r="T376" s="35"/>
      <c r="U376" s="35"/>
      <c r="V376" s="35"/>
      <c r="W376" s="35"/>
      <c r="X376" s="35"/>
      <c r="Y376" s="35"/>
      <c r="Z376" s="35"/>
      <c r="AA376" s="35"/>
      <c r="AB376" s="35"/>
      <c r="AC376" s="35"/>
      <c r="AD376" s="35"/>
      <c r="AE376" s="35"/>
      <c r="AF376" s="35"/>
      <c r="AG376" s="35"/>
      <c r="AH376" s="35"/>
      <c r="AI376" s="35"/>
      <c r="AJ376" s="35"/>
      <c r="AK376" s="35"/>
      <c r="AL376" s="35"/>
      <c r="AM376" s="35"/>
      <c r="AN376" s="35"/>
      <c r="AO376" s="35"/>
      <c r="AP376" s="35"/>
      <c r="AQ376" s="35"/>
      <c r="AR376" s="35"/>
      <c r="AS376" s="35"/>
      <c r="AT376" s="35"/>
      <c r="AU376" s="35"/>
      <c r="AV376" s="35"/>
      <c r="AW376" s="35"/>
      <c r="AX376" s="35"/>
      <c r="AY376" s="35"/>
      <c r="AZ376" s="35"/>
      <c r="BA376" s="35"/>
      <c r="BB376" s="37"/>
    </row>
    <row r="377" spans="1:54" s="5" customFormat="1" x14ac:dyDescent="0.25">
      <c r="A377" s="32"/>
      <c r="B377" s="32"/>
      <c r="C377" s="32"/>
      <c r="D377" s="33"/>
      <c r="E377" s="33"/>
      <c r="F377" s="33"/>
      <c r="G377" s="33"/>
      <c r="H377" s="33"/>
      <c r="I377" s="33"/>
      <c r="J377" s="33"/>
      <c r="K377" s="33"/>
      <c r="L377" s="33"/>
      <c r="M377" s="33"/>
      <c r="N377" s="33"/>
      <c r="O377" s="33"/>
      <c r="P377" s="33"/>
      <c r="Q377" s="33"/>
      <c r="R377" s="33"/>
      <c r="S377" s="33"/>
      <c r="T377" s="33"/>
      <c r="U377" s="33"/>
      <c r="V377" s="33"/>
      <c r="W377" s="33"/>
      <c r="X377" s="33"/>
      <c r="Y377" s="33"/>
      <c r="Z377" s="33"/>
      <c r="AA377" s="33"/>
      <c r="AB377" s="33"/>
      <c r="AC377" s="33"/>
      <c r="AD377" s="33"/>
      <c r="AE377" s="33"/>
      <c r="AF377" s="33"/>
      <c r="AG377" s="33"/>
      <c r="AH377" s="33"/>
      <c r="AI377" s="33"/>
      <c r="AJ377" s="33"/>
      <c r="AK377" s="33"/>
      <c r="AL377" s="33"/>
      <c r="AM377" s="33"/>
      <c r="AN377" s="33"/>
      <c r="AO377" s="33"/>
      <c r="AP377" s="33"/>
      <c r="AQ377" s="33"/>
      <c r="AR377" s="33"/>
      <c r="AS377" s="33"/>
      <c r="AT377" s="33"/>
      <c r="AU377" s="33"/>
      <c r="AV377" s="33"/>
      <c r="AW377" s="33"/>
      <c r="AX377" s="33"/>
      <c r="AY377" s="33"/>
      <c r="AZ377" s="33"/>
      <c r="BA377" s="36"/>
      <c r="BB377" s="36"/>
    </row>
    <row r="378" spans="1:54" x14ac:dyDescent="0.25">
      <c r="A378" s="34"/>
      <c r="B378" s="34"/>
      <c r="C378" s="34"/>
      <c r="D378" s="35"/>
      <c r="E378" s="35"/>
      <c r="F378" s="35"/>
      <c r="G378" s="35"/>
      <c r="H378" s="35"/>
      <c r="I378" s="35"/>
      <c r="J378" s="35"/>
      <c r="K378" s="35"/>
      <c r="L378" s="35"/>
      <c r="M378" s="35"/>
      <c r="N378" s="35"/>
      <c r="O378" s="35"/>
      <c r="P378" s="35"/>
      <c r="Q378" s="35"/>
      <c r="R378" s="35"/>
      <c r="S378" s="35"/>
      <c r="T378" s="35"/>
      <c r="U378" s="35"/>
      <c r="V378" s="35"/>
      <c r="W378" s="35"/>
      <c r="X378" s="35"/>
      <c r="Y378" s="35"/>
      <c r="Z378" s="35"/>
      <c r="AA378" s="35"/>
      <c r="AB378" s="35"/>
      <c r="AC378" s="35"/>
      <c r="AD378" s="35"/>
      <c r="AE378" s="35"/>
      <c r="AF378" s="35"/>
      <c r="AG378" s="35"/>
      <c r="AH378" s="35"/>
      <c r="AI378" s="35"/>
      <c r="AJ378" s="35"/>
      <c r="AK378" s="35"/>
      <c r="AL378" s="35"/>
      <c r="AM378" s="35"/>
      <c r="AN378" s="35"/>
      <c r="AO378" s="35"/>
      <c r="AP378" s="35"/>
      <c r="AQ378" s="35"/>
      <c r="AR378" s="35"/>
      <c r="AS378" s="35"/>
      <c r="AT378" s="35"/>
      <c r="AU378" s="35"/>
      <c r="AV378" s="35"/>
      <c r="AW378" s="35"/>
      <c r="AX378" s="35"/>
      <c r="AY378" s="35"/>
      <c r="AZ378" s="35"/>
      <c r="BA378" s="35"/>
      <c r="BB378" s="35"/>
    </row>
    <row r="379" spans="1:54" s="5" customFormat="1" x14ac:dyDescent="0.25">
      <c r="A379" s="32"/>
      <c r="B379" s="32"/>
      <c r="C379" s="32"/>
      <c r="D379" s="33"/>
      <c r="E379" s="33"/>
      <c r="F379" s="33"/>
      <c r="G379" s="33"/>
      <c r="H379" s="33"/>
      <c r="I379" s="33"/>
      <c r="J379" s="33"/>
      <c r="K379" s="33"/>
      <c r="L379" s="33"/>
      <c r="M379" s="33"/>
      <c r="N379" s="33"/>
      <c r="O379" s="33"/>
      <c r="P379" s="33"/>
      <c r="Q379" s="33"/>
      <c r="R379" s="33"/>
      <c r="S379" s="33"/>
      <c r="T379" s="33"/>
      <c r="U379" s="33"/>
      <c r="V379" s="33"/>
      <c r="W379" s="33"/>
      <c r="X379" s="33"/>
      <c r="Y379" s="33"/>
      <c r="Z379" s="33"/>
      <c r="AA379" s="33"/>
      <c r="AB379" s="33"/>
      <c r="AC379" s="33"/>
      <c r="AD379" s="33"/>
      <c r="AE379" s="33"/>
      <c r="AF379" s="33"/>
      <c r="AG379" s="33"/>
      <c r="AH379" s="33"/>
      <c r="AI379" s="33"/>
      <c r="AJ379" s="33"/>
      <c r="AK379" s="33"/>
      <c r="AL379" s="33"/>
      <c r="AM379" s="33"/>
      <c r="AN379" s="33"/>
      <c r="AO379" s="33"/>
      <c r="AP379" s="33"/>
      <c r="AQ379" s="33"/>
      <c r="AR379" s="33"/>
      <c r="AS379" s="33"/>
      <c r="AT379" s="33"/>
      <c r="AU379" s="33"/>
      <c r="AV379" s="33"/>
      <c r="AW379" s="33"/>
      <c r="AX379" s="33"/>
      <c r="AY379" s="36"/>
      <c r="AZ379" s="36"/>
      <c r="BA379" s="36"/>
      <c r="BB379" s="36"/>
    </row>
    <row r="380" spans="1:54" x14ac:dyDescent="0.25">
      <c r="A380" s="34"/>
      <c r="B380" s="34"/>
      <c r="C380" s="34"/>
      <c r="D380" s="35"/>
      <c r="E380" s="35"/>
      <c r="F380" s="35"/>
      <c r="G380" s="35"/>
      <c r="H380" s="35"/>
      <c r="I380" s="35"/>
      <c r="J380" s="35"/>
      <c r="K380" s="35"/>
      <c r="L380" s="35"/>
      <c r="M380" s="35"/>
      <c r="N380" s="35"/>
      <c r="O380" s="35"/>
      <c r="P380" s="35"/>
      <c r="Q380" s="35"/>
      <c r="R380" s="35"/>
      <c r="S380" s="35"/>
      <c r="T380" s="35"/>
      <c r="U380" s="35"/>
      <c r="V380" s="35"/>
      <c r="W380" s="35"/>
      <c r="X380" s="35"/>
      <c r="Y380" s="35"/>
      <c r="Z380" s="35"/>
      <c r="AA380" s="35"/>
      <c r="AB380" s="35"/>
      <c r="AC380" s="35"/>
      <c r="AD380" s="35"/>
      <c r="AE380" s="35"/>
      <c r="AF380" s="35"/>
      <c r="AG380" s="35"/>
      <c r="AH380" s="35"/>
      <c r="AI380" s="35"/>
      <c r="AJ380" s="35"/>
      <c r="AK380" s="35"/>
      <c r="AL380" s="35"/>
      <c r="AM380" s="35"/>
      <c r="AN380" s="35"/>
      <c r="AO380" s="35"/>
      <c r="AP380" s="35"/>
      <c r="AQ380" s="35"/>
      <c r="AR380" s="35"/>
      <c r="AS380" s="35"/>
      <c r="AT380" s="35"/>
      <c r="AU380" s="35"/>
      <c r="AV380" s="35"/>
      <c r="AW380" s="35"/>
      <c r="AX380" s="35"/>
      <c r="AY380" s="35"/>
      <c r="AZ380" s="35"/>
      <c r="BA380" s="35"/>
      <c r="BB380" s="35"/>
    </row>
    <row r="381" spans="1:54" s="5" customFormat="1" x14ac:dyDescent="0.25">
      <c r="A381" s="32"/>
      <c r="B381" s="32"/>
      <c r="C381" s="32"/>
      <c r="D381" s="33"/>
      <c r="E381" s="33"/>
      <c r="F381" s="33"/>
      <c r="G381" s="33"/>
      <c r="H381" s="33"/>
      <c r="I381" s="33"/>
      <c r="J381" s="33"/>
      <c r="K381" s="33"/>
      <c r="L381" s="33"/>
      <c r="M381" s="33"/>
      <c r="N381" s="33"/>
      <c r="O381" s="33"/>
      <c r="P381" s="33"/>
      <c r="Q381" s="33"/>
      <c r="R381" s="33"/>
      <c r="S381" s="33"/>
      <c r="T381" s="33"/>
      <c r="U381" s="33"/>
      <c r="V381" s="33"/>
      <c r="W381" s="33"/>
      <c r="X381" s="33"/>
      <c r="Y381" s="33"/>
      <c r="Z381" s="33"/>
      <c r="AA381" s="33"/>
      <c r="AB381" s="33"/>
      <c r="AC381" s="33"/>
      <c r="AD381" s="33"/>
      <c r="AE381" s="33"/>
      <c r="AF381" s="33"/>
      <c r="AG381" s="33"/>
      <c r="AH381" s="33"/>
      <c r="AI381" s="33"/>
      <c r="AJ381" s="33"/>
      <c r="AK381" s="33"/>
      <c r="AL381" s="33"/>
      <c r="AM381" s="33"/>
      <c r="AN381" s="33"/>
      <c r="AO381" s="33"/>
      <c r="AP381" s="33"/>
      <c r="AQ381" s="33"/>
      <c r="AR381" s="33"/>
      <c r="AS381" s="33"/>
      <c r="AT381" s="33"/>
      <c r="AU381" s="33"/>
      <c r="AV381" s="33"/>
      <c r="AW381" s="33"/>
      <c r="AX381" s="33"/>
      <c r="AY381" s="33"/>
      <c r="AZ381" s="33"/>
      <c r="BA381" s="33"/>
      <c r="BB381" s="33"/>
    </row>
    <row r="382" spans="1:54" x14ac:dyDescent="0.25">
      <c r="A382" s="34"/>
      <c r="B382" s="34"/>
      <c r="C382" s="34"/>
      <c r="D382" s="35"/>
      <c r="E382" s="35"/>
      <c r="F382" s="35"/>
      <c r="G382" s="35"/>
      <c r="H382" s="35"/>
      <c r="I382" s="35"/>
      <c r="J382" s="35"/>
      <c r="K382" s="35"/>
      <c r="L382" s="35"/>
      <c r="M382" s="35"/>
      <c r="N382" s="35"/>
      <c r="O382" s="35"/>
      <c r="P382" s="35"/>
      <c r="Q382" s="35"/>
      <c r="R382" s="35"/>
      <c r="S382" s="35"/>
      <c r="T382" s="35"/>
      <c r="U382" s="35"/>
      <c r="V382" s="35"/>
      <c r="W382" s="35"/>
      <c r="X382" s="35"/>
      <c r="Y382" s="35"/>
      <c r="Z382" s="35"/>
      <c r="AA382" s="35"/>
      <c r="AB382" s="35"/>
      <c r="AC382" s="35"/>
      <c r="AD382" s="35"/>
      <c r="AE382" s="35"/>
      <c r="AF382" s="35"/>
      <c r="AG382" s="35"/>
      <c r="AH382" s="35"/>
      <c r="AI382" s="35"/>
      <c r="AJ382" s="35"/>
      <c r="AK382" s="35"/>
      <c r="AL382" s="35"/>
      <c r="AM382" s="35"/>
      <c r="AN382" s="35"/>
      <c r="AO382" s="35"/>
      <c r="AP382" s="35"/>
      <c r="AQ382" s="35"/>
      <c r="AR382" s="35"/>
      <c r="AS382" s="35"/>
      <c r="AT382" s="35"/>
      <c r="AU382" s="35"/>
      <c r="AV382" s="35"/>
      <c r="AW382" s="35"/>
      <c r="AX382" s="35"/>
      <c r="AY382" s="35"/>
      <c r="AZ382" s="35"/>
      <c r="BA382" s="35"/>
      <c r="BB382" s="35"/>
    </row>
    <row r="383" spans="1:54" s="5" customFormat="1" x14ac:dyDescent="0.25">
      <c r="A383" s="32"/>
      <c r="B383" s="32"/>
      <c r="C383" s="32"/>
      <c r="D383" s="33"/>
      <c r="E383" s="33"/>
      <c r="F383" s="33"/>
      <c r="G383" s="33"/>
      <c r="H383" s="33"/>
      <c r="I383" s="33"/>
      <c r="J383" s="33"/>
      <c r="K383" s="33"/>
      <c r="L383" s="33"/>
      <c r="M383" s="33"/>
      <c r="N383" s="33"/>
      <c r="O383" s="33"/>
      <c r="P383" s="33"/>
      <c r="Q383" s="33"/>
      <c r="R383" s="33"/>
      <c r="S383" s="33"/>
      <c r="T383" s="33"/>
      <c r="U383" s="33"/>
      <c r="V383" s="33"/>
      <c r="W383" s="33"/>
      <c r="X383" s="33"/>
      <c r="Y383" s="33"/>
      <c r="Z383" s="33"/>
      <c r="AA383" s="33"/>
      <c r="AB383" s="33"/>
      <c r="AC383" s="33"/>
      <c r="AD383" s="33"/>
      <c r="AE383" s="33"/>
      <c r="AF383" s="33"/>
      <c r="AG383" s="33"/>
      <c r="AH383" s="33"/>
      <c r="AI383" s="33"/>
      <c r="AJ383" s="33"/>
      <c r="AK383" s="33"/>
      <c r="AL383" s="33"/>
      <c r="AM383" s="33"/>
      <c r="AN383" s="33"/>
      <c r="AO383" s="33"/>
      <c r="AP383" s="33"/>
      <c r="AQ383" s="33"/>
      <c r="AR383" s="33"/>
      <c r="AS383" s="33"/>
      <c r="AT383" s="33"/>
      <c r="AU383" s="33"/>
      <c r="AV383" s="33"/>
      <c r="AW383" s="33"/>
      <c r="AX383" s="33"/>
      <c r="AY383" s="33"/>
      <c r="AZ383" s="33"/>
      <c r="BA383" s="33"/>
      <c r="BB383" s="33"/>
    </row>
    <row r="384" spans="1:54" x14ac:dyDescent="0.25">
      <c r="A384" s="34"/>
      <c r="B384" s="34"/>
      <c r="C384" s="34"/>
      <c r="D384" s="35"/>
      <c r="E384" s="35"/>
      <c r="F384" s="35"/>
      <c r="G384" s="35"/>
      <c r="H384" s="35"/>
      <c r="I384" s="35"/>
      <c r="J384" s="35"/>
      <c r="K384" s="35"/>
      <c r="L384" s="35"/>
      <c r="M384" s="35"/>
      <c r="N384" s="35"/>
      <c r="O384" s="35"/>
      <c r="P384" s="35"/>
      <c r="Q384" s="35"/>
      <c r="R384" s="35"/>
      <c r="S384" s="35"/>
      <c r="T384" s="35"/>
      <c r="U384" s="35"/>
      <c r="V384" s="35"/>
      <c r="W384" s="35"/>
      <c r="X384" s="35"/>
      <c r="Y384" s="35"/>
      <c r="Z384" s="35"/>
      <c r="AA384" s="35"/>
      <c r="AB384" s="35"/>
      <c r="AC384" s="35"/>
      <c r="AD384" s="35"/>
      <c r="AE384" s="35"/>
      <c r="AF384" s="37"/>
      <c r="AG384" s="35"/>
      <c r="AH384" s="35"/>
      <c r="AI384" s="35"/>
      <c r="AJ384" s="35"/>
      <c r="AK384" s="35"/>
      <c r="AL384" s="35"/>
      <c r="AM384" s="35"/>
      <c r="AN384" s="35"/>
      <c r="AO384" s="35"/>
      <c r="AP384" s="35"/>
      <c r="AQ384" s="35"/>
      <c r="AR384" s="35"/>
      <c r="AS384" s="35"/>
      <c r="AT384" s="35"/>
      <c r="AU384" s="35"/>
      <c r="AV384" s="35"/>
      <c r="AW384" s="35"/>
      <c r="AX384" s="35"/>
      <c r="AY384" s="35"/>
      <c r="AZ384" s="35"/>
      <c r="BA384" s="35"/>
      <c r="BB384" s="35"/>
    </row>
    <row r="385" spans="1:54" s="5" customFormat="1" x14ac:dyDescent="0.25">
      <c r="A385" s="32"/>
      <c r="B385" s="32"/>
      <c r="C385" s="32"/>
      <c r="D385" s="33"/>
      <c r="E385" s="33"/>
      <c r="F385" s="33"/>
      <c r="G385" s="33"/>
      <c r="H385" s="33"/>
      <c r="I385" s="33"/>
      <c r="J385" s="33"/>
      <c r="K385" s="33"/>
      <c r="L385" s="33"/>
      <c r="M385" s="33"/>
      <c r="N385" s="33"/>
      <c r="O385" s="33"/>
      <c r="P385" s="33"/>
      <c r="Q385" s="33"/>
      <c r="R385" s="33"/>
      <c r="S385" s="33"/>
      <c r="T385" s="33"/>
      <c r="U385" s="33"/>
      <c r="V385" s="33"/>
      <c r="W385" s="33"/>
      <c r="X385" s="33"/>
      <c r="Y385" s="33"/>
      <c r="Z385" s="33"/>
      <c r="AA385" s="33"/>
      <c r="AB385" s="33"/>
      <c r="AC385" s="33"/>
      <c r="AD385" s="33"/>
      <c r="AE385" s="33"/>
      <c r="AF385" s="33"/>
      <c r="AG385" s="33"/>
      <c r="AH385" s="33"/>
      <c r="AI385" s="33"/>
      <c r="AJ385" s="33"/>
      <c r="AK385" s="33"/>
      <c r="AL385" s="33"/>
      <c r="AM385" s="33"/>
      <c r="AN385" s="33"/>
      <c r="AO385" s="33"/>
      <c r="AP385" s="33"/>
      <c r="AQ385" s="33"/>
      <c r="AR385" s="33"/>
      <c r="AS385" s="33"/>
      <c r="AT385" s="33"/>
      <c r="AU385" s="33"/>
      <c r="AV385" s="33"/>
      <c r="AW385" s="33"/>
      <c r="AX385" s="33"/>
      <c r="AY385" s="33"/>
      <c r="AZ385" s="33"/>
      <c r="BA385" s="33"/>
      <c r="BB385" s="33"/>
    </row>
    <row r="386" spans="1:54" x14ac:dyDescent="0.25">
      <c r="A386" s="34"/>
      <c r="B386" s="34"/>
      <c r="C386" s="34"/>
      <c r="D386" s="35"/>
      <c r="E386" s="35"/>
      <c r="F386" s="35"/>
      <c r="G386" s="35"/>
      <c r="H386" s="35"/>
      <c r="I386" s="35"/>
      <c r="J386" s="35"/>
      <c r="K386" s="35"/>
      <c r="L386" s="35"/>
      <c r="M386" s="35"/>
      <c r="N386" s="35"/>
      <c r="O386" s="35"/>
      <c r="P386" s="35"/>
      <c r="Q386" s="35"/>
      <c r="R386" s="35"/>
      <c r="S386" s="35"/>
      <c r="T386" s="35"/>
      <c r="U386" s="35"/>
      <c r="V386" s="35"/>
      <c r="W386" s="35"/>
      <c r="X386" s="35"/>
      <c r="Y386" s="35"/>
      <c r="Z386" s="35"/>
      <c r="AA386" s="35"/>
      <c r="AB386" s="35"/>
      <c r="AC386" s="35"/>
      <c r="AD386" s="35"/>
      <c r="AE386" s="35"/>
      <c r="AF386" s="35"/>
      <c r="AG386" s="35"/>
      <c r="AH386" s="35"/>
      <c r="AI386" s="35"/>
      <c r="AJ386" s="35"/>
      <c r="AK386" s="35"/>
      <c r="AL386" s="35"/>
      <c r="AM386" s="35"/>
      <c r="AN386" s="35"/>
      <c r="AO386" s="35"/>
      <c r="AP386" s="35"/>
      <c r="AQ386" s="35"/>
      <c r="AR386" s="35"/>
      <c r="AS386" s="35"/>
      <c r="AT386" s="35"/>
      <c r="AU386" s="35"/>
      <c r="AV386" s="35"/>
      <c r="AW386" s="35"/>
      <c r="AX386" s="35"/>
      <c r="AY386" s="35"/>
      <c r="AZ386" s="35"/>
      <c r="BA386" s="35"/>
      <c r="BB386" s="35"/>
    </row>
    <row r="387" spans="1:54" x14ac:dyDescent="0.25">
      <c r="A387" s="32"/>
      <c r="B387" s="32"/>
      <c r="C387" s="32"/>
      <c r="D387" s="33"/>
      <c r="E387" s="33"/>
      <c r="F387" s="33"/>
      <c r="G387" s="33"/>
      <c r="H387" s="33"/>
      <c r="I387" s="33"/>
      <c r="J387" s="33"/>
      <c r="K387" s="33"/>
      <c r="L387" s="33"/>
      <c r="M387" s="33"/>
      <c r="N387" s="33"/>
      <c r="O387" s="33"/>
      <c r="P387" s="33"/>
      <c r="Q387" s="33"/>
      <c r="R387" s="33"/>
      <c r="S387" s="33"/>
      <c r="T387" s="33"/>
      <c r="U387" s="33"/>
      <c r="V387" s="33"/>
      <c r="W387" s="33"/>
      <c r="X387" s="33"/>
      <c r="Y387" s="33"/>
      <c r="Z387" s="33"/>
      <c r="AA387" s="33"/>
      <c r="AB387" s="33"/>
      <c r="AC387" s="33"/>
      <c r="AD387" s="33"/>
      <c r="AE387" s="33"/>
      <c r="AF387" s="33"/>
      <c r="AG387" s="36"/>
      <c r="AH387" s="36"/>
      <c r="AI387" s="36"/>
      <c r="AJ387" s="36"/>
      <c r="AK387" s="36"/>
      <c r="AL387" s="36"/>
      <c r="AM387" s="36"/>
      <c r="AN387" s="36"/>
      <c r="AO387" s="36"/>
      <c r="AP387" s="36"/>
      <c r="AQ387" s="36"/>
      <c r="AR387" s="36"/>
      <c r="AS387" s="36"/>
      <c r="AT387" s="36"/>
      <c r="AU387" s="36"/>
      <c r="AV387" s="36"/>
      <c r="AW387" s="36"/>
      <c r="AX387" s="36"/>
      <c r="AY387" s="36"/>
      <c r="AZ387" s="36"/>
      <c r="BA387" s="36"/>
      <c r="BB387" s="36"/>
    </row>
    <row r="388" spans="1:54" s="5" customFormat="1" x14ac:dyDescent="0.25">
      <c r="A388" s="32"/>
      <c r="B388" s="34"/>
      <c r="C388" s="34"/>
      <c r="D388" s="35"/>
      <c r="E388" s="35"/>
      <c r="F388" s="35"/>
      <c r="G388" s="35"/>
      <c r="H388" s="35"/>
      <c r="I388" s="35"/>
      <c r="J388" s="35"/>
      <c r="K388" s="35"/>
      <c r="L388" s="35"/>
      <c r="M388" s="35"/>
      <c r="N388" s="35"/>
      <c r="O388" s="35"/>
      <c r="P388" s="35"/>
      <c r="Q388" s="35"/>
      <c r="R388" s="35"/>
      <c r="S388" s="35"/>
      <c r="T388" s="35"/>
      <c r="U388" s="35"/>
      <c r="V388" s="35"/>
      <c r="W388" s="35"/>
      <c r="X388" s="35"/>
      <c r="Y388" s="35"/>
      <c r="Z388" s="35"/>
      <c r="AA388" s="35"/>
      <c r="AB388" s="35"/>
      <c r="AC388" s="35"/>
      <c r="AD388" s="35"/>
      <c r="AE388" s="35"/>
      <c r="AF388" s="35"/>
      <c r="AG388" s="37"/>
      <c r="AH388" s="37"/>
      <c r="AI388" s="37"/>
      <c r="AJ388" s="37"/>
      <c r="AK388" s="37"/>
      <c r="AL388" s="37"/>
      <c r="AM388" s="37"/>
      <c r="AN388" s="37"/>
      <c r="AO388" s="37"/>
      <c r="AP388" s="37"/>
      <c r="AQ388" s="37"/>
      <c r="AR388" s="37"/>
      <c r="AS388" s="37"/>
      <c r="AT388" s="37"/>
      <c r="AU388" s="37"/>
      <c r="AV388" s="37"/>
      <c r="AW388" s="37"/>
      <c r="AX388" s="37"/>
      <c r="AY388" s="37"/>
      <c r="AZ388" s="37"/>
      <c r="BA388" s="37"/>
      <c r="BB388" s="37"/>
    </row>
    <row r="389" spans="1:54" x14ac:dyDescent="0.25">
      <c r="A389" s="32"/>
      <c r="B389" s="32"/>
      <c r="C389" s="32"/>
      <c r="D389" s="33"/>
      <c r="E389" s="33"/>
      <c r="F389" s="33"/>
      <c r="G389" s="33"/>
      <c r="H389" s="33"/>
      <c r="I389" s="33"/>
      <c r="J389" s="33"/>
      <c r="K389" s="33"/>
      <c r="L389" s="33"/>
      <c r="M389" s="33"/>
      <c r="N389" s="33"/>
      <c r="O389" s="33"/>
      <c r="P389" s="33"/>
      <c r="Q389" s="33"/>
      <c r="R389" s="33"/>
      <c r="S389" s="33"/>
      <c r="T389" s="33"/>
      <c r="U389" s="33"/>
      <c r="V389" s="33"/>
      <c r="W389" s="33"/>
      <c r="X389" s="33"/>
      <c r="Y389" s="33"/>
      <c r="Z389" s="33"/>
      <c r="AA389" s="33"/>
      <c r="AB389" s="33"/>
      <c r="AC389" s="33"/>
      <c r="AD389" s="33"/>
      <c r="AE389" s="33"/>
      <c r="AF389" s="33"/>
      <c r="AG389" s="33"/>
      <c r="AH389" s="33"/>
      <c r="AI389" s="33"/>
      <c r="AJ389" s="33"/>
      <c r="AK389" s="33"/>
      <c r="AL389" s="33"/>
      <c r="AM389" s="33"/>
      <c r="AN389" s="33"/>
      <c r="AO389" s="33"/>
      <c r="AP389" s="33"/>
      <c r="AQ389" s="33"/>
      <c r="AR389" s="33"/>
      <c r="AS389" s="33"/>
      <c r="AT389" s="33"/>
      <c r="AU389" s="33"/>
      <c r="AV389" s="33"/>
      <c r="AW389" s="33"/>
      <c r="AX389" s="33"/>
      <c r="AY389" s="33"/>
      <c r="AZ389" s="33"/>
      <c r="BA389" s="33"/>
      <c r="BB389" s="33"/>
    </row>
    <row r="390" spans="1:54" s="5" customFormat="1" x14ac:dyDescent="0.25">
      <c r="A390" s="32"/>
      <c r="B390" s="34"/>
      <c r="C390" s="34"/>
      <c r="D390" s="35"/>
      <c r="E390" s="35"/>
      <c r="F390" s="35"/>
      <c r="G390" s="35"/>
      <c r="H390" s="35"/>
      <c r="I390" s="35"/>
      <c r="J390" s="35"/>
      <c r="K390" s="35"/>
      <c r="L390" s="35"/>
      <c r="M390" s="35"/>
      <c r="N390" s="35"/>
      <c r="O390" s="35"/>
      <c r="P390" s="35"/>
      <c r="Q390" s="35"/>
      <c r="R390" s="35"/>
      <c r="S390" s="35"/>
      <c r="T390" s="35"/>
      <c r="U390" s="35"/>
      <c r="V390" s="35"/>
      <c r="W390" s="35"/>
      <c r="X390" s="35"/>
      <c r="Y390" s="35"/>
      <c r="Z390" s="35"/>
      <c r="AA390" s="35"/>
      <c r="AB390" s="35"/>
      <c r="AC390" s="35"/>
      <c r="AD390" s="35"/>
      <c r="AE390" s="35"/>
      <c r="AF390" s="35"/>
      <c r="AG390" s="37"/>
      <c r="AH390" s="37"/>
      <c r="AI390" s="37"/>
      <c r="AJ390" s="37"/>
      <c r="AK390" s="37"/>
      <c r="AL390" s="37"/>
      <c r="AM390" s="37"/>
      <c r="AN390" s="37"/>
      <c r="AO390" s="37"/>
      <c r="AP390" s="37"/>
      <c r="AQ390" s="37"/>
      <c r="AR390" s="37"/>
      <c r="AS390" s="37"/>
      <c r="AT390" s="37"/>
      <c r="AU390" s="37"/>
      <c r="AV390" s="37"/>
      <c r="AW390" s="37"/>
      <c r="AX390" s="37"/>
      <c r="AY390" s="37"/>
      <c r="AZ390" s="37"/>
      <c r="BA390" s="37"/>
      <c r="BB390" s="37"/>
    </row>
    <row r="391" spans="1:54" x14ac:dyDescent="0.25">
      <c r="A391" s="34"/>
      <c r="B391" s="34"/>
      <c r="C391" s="34"/>
      <c r="D391" s="35"/>
      <c r="E391" s="35"/>
      <c r="F391" s="35"/>
      <c r="G391" s="35"/>
      <c r="H391" s="35"/>
      <c r="I391" s="35"/>
      <c r="J391" s="35"/>
      <c r="K391" s="35"/>
      <c r="L391" s="35"/>
      <c r="M391" s="35"/>
      <c r="N391" s="35"/>
      <c r="O391" s="35"/>
      <c r="P391" s="35"/>
      <c r="Q391" s="35"/>
      <c r="R391" s="35"/>
      <c r="S391" s="35"/>
      <c r="T391" s="35"/>
      <c r="U391" s="35"/>
      <c r="V391" s="35"/>
      <c r="W391" s="35"/>
      <c r="X391" s="35"/>
      <c r="Y391" s="35"/>
      <c r="Z391" s="35"/>
      <c r="AA391" s="35"/>
      <c r="AB391" s="35"/>
      <c r="AC391" s="35"/>
      <c r="AD391" s="35"/>
      <c r="AE391" s="37"/>
      <c r="AF391" s="37"/>
      <c r="AG391" s="37"/>
      <c r="AH391" s="37"/>
      <c r="AI391" s="37"/>
      <c r="AJ391" s="37"/>
      <c r="AK391" s="37"/>
      <c r="AL391" s="37"/>
      <c r="AM391" s="37"/>
      <c r="AN391" s="37"/>
      <c r="AO391" s="37"/>
      <c r="AP391" s="37"/>
      <c r="AQ391" s="37"/>
      <c r="AR391" s="37"/>
      <c r="AS391" s="37"/>
      <c r="AT391" s="37"/>
      <c r="AU391" s="37"/>
      <c r="AV391" s="37"/>
      <c r="AW391" s="37"/>
      <c r="AX391" s="37"/>
      <c r="AY391" s="37"/>
      <c r="AZ391" s="37"/>
      <c r="BA391" s="37"/>
      <c r="BB391" s="37"/>
    </row>
    <row r="392" spans="1:54" s="5" customFormat="1" x14ac:dyDescent="0.25">
      <c r="A392" s="32"/>
      <c r="B392" s="32"/>
      <c r="C392" s="32"/>
      <c r="D392" s="33"/>
      <c r="E392" s="33"/>
      <c r="F392" s="33"/>
      <c r="G392" s="33"/>
      <c r="H392" s="33"/>
      <c r="I392" s="33"/>
      <c r="J392" s="33"/>
      <c r="K392" s="33"/>
      <c r="L392" s="33"/>
      <c r="M392" s="33"/>
      <c r="N392" s="33"/>
      <c r="O392" s="33"/>
      <c r="P392" s="33"/>
      <c r="Q392" s="33"/>
      <c r="R392" s="33"/>
      <c r="S392" s="33"/>
      <c r="T392" s="33"/>
      <c r="U392" s="33"/>
      <c r="V392" s="33"/>
      <c r="W392" s="33"/>
      <c r="X392" s="33"/>
      <c r="Y392" s="33"/>
      <c r="Z392" s="33"/>
      <c r="AA392" s="33"/>
      <c r="AB392" s="33"/>
      <c r="AC392" s="33"/>
      <c r="AD392" s="33"/>
      <c r="AE392" s="36"/>
      <c r="AF392" s="36"/>
      <c r="AG392" s="36"/>
      <c r="AH392" s="36"/>
      <c r="AI392" s="36"/>
      <c r="AJ392" s="36"/>
      <c r="AK392" s="36"/>
      <c r="AL392" s="36"/>
      <c r="AM392" s="36"/>
      <c r="AN392" s="36"/>
      <c r="AO392" s="36"/>
      <c r="AP392" s="36"/>
      <c r="AQ392" s="36"/>
      <c r="AR392" s="36"/>
      <c r="AS392" s="33"/>
      <c r="AT392" s="36"/>
      <c r="AU392" s="36"/>
      <c r="AV392" s="36"/>
      <c r="AW392" s="36"/>
      <c r="AX392" s="33"/>
      <c r="AY392" s="33"/>
      <c r="AZ392" s="33"/>
      <c r="BA392" s="33"/>
      <c r="BB392" s="33"/>
    </row>
    <row r="393" spans="1:54" x14ac:dyDescent="0.25">
      <c r="A393" s="34"/>
      <c r="B393" s="34"/>
      <c r="C393" s="34"/>
      <c r="D393" s="35"/>
      <c r="E393" s="35"/>
      <c r="F393" s="35"/>
      <c r="G393" s="35"/>
      <c r="H393" s="35"/>
      <c r="I393" s="35"/>
      <c r="J393" s="35"/>
      <c r="K393" s="35"/>
      <c r="L393" s="35"/>
      <c r="M393" s="35"/>
      <c r="N393" s="35"/>
      <c r="O393" s="35"/>
      <c r="P393" s="35"/>
      <c r="Q393" s="35"/>
      <c r="R393" s="35"/>
      <c r="S393" s="35"/>
      <c r="T393" s="35"/>
      <c r="U393" s="35"/>
      <c r="V393" s="35"/>
      <c r="W393" s="35"/>
      <c r="X393" s="35"/>
      <c r="Y393" s="35"/>
      <c r="Z393" s="35"/>
      <c r="AA393" s="35"/>
      <c r="AB393" s="35"/>
      <c r="AC393" s="35"/>
      <c r="AD393" s="35"/>
      <c r="AE393" s="35"/>
      <c r="AF393" s="35"/>
      <c r="AG393" s="37"/>
      <c r="AH393" s="37"/>
      <c r="AI393" s="35"/>
      <c r="AJ393" s="35"/>
      <c r="AK393" s="35"/>
      <c r="AL393" s="35"/>
      <c r="AM393" s="35"/>
      <c r="AN393" s="35"/>
      <c r="AO393" s="37"/>
      <c r="AP393" s="37"/>
      <c r="AQ393" s="35"/>
      <c r="AR393" s="35"/>
      <c r="AS393" s="37"/>
      <c r="AT393" s="37"/>
      <c r="AU393" s="37"/>
      <c r="AV393" s="37"/>
      <c r="AW393" s="37"/>
      <c r="AX393" s="37"/>
      <c r="AY393" s="37"/>
      <c r="AZ393" s="37"/>
      <c r="BA393" s="37"/>
      <c r="BB393" s="37"/>
    </row>
    <row r="394" spans="1:54" s="5" customFormat="1" x14ac:dyDescent="0.25">
      <c r="A394" s="32"/>
      <c r="B394" s="32"/>
      <c r="C394" s="32"/>
      <c r="D394" s="33"/>
      <c r="E394" s="33"/>
      <c r="F394" s="33"/>
      <c r="G394" s="33"/>
      <c r="H394" s="33"/>
      <c r="I394" s="33"/>
      <c r="J394" s="33"/>
      <c r="K394" s="33"/>
      <c r="L394" s="33"/>
      <c r="M394" s="33"/>
      <c r="N394" s="33"/>
      <c r="O394" s="33"/>
      <c r="P394" s="33"/>
      <c r="Q394" s="33"/>
      <c r="R394" s="33"/>
      <c r="S394" s="33"/>
      <c r="T394" s="33"/>
      <c r="U394" s="33"/>
      <c r="V394" s="33"/>
      <c r="W394" s="33"/>
      <c r="X394" s="33"/>
      <c r="Y394" s="33"/>
      <c r="Z394" s="33"/>
      <c r="AA394" s="33"/>
      <c r="AB394" s="33"/>
      <c r="AC394" s="33"/>
      <c r="AD394" s="33"/>
      <c r="AE394" s="36"/>
      <c r="AF394" s="36"/>
      <c r="AG394" s="36"/>
      <c r="AH394" s="36"/>
      <c r="AI394" s="36"/>
      <c r="AJ394" s="36"/>
      <c r="AK394" s="36"/>
      <c r="AL394" s="36"/>
      <c r="AM394" s="36"/>
      <c r="AN394" s="36"/>
      <c r="AO394" s="36"/>
      <c r="AP394" s="36"/>
      <c r="AQ394" s="36"/>
      <c r="AR394" s="36"/>
      <c r="AS394" s="36"/>
      <c r="AT394" s="36"/>
      <c r="AU394" s="36"/>
      <c r="AV394" s="36"/>
      <c r="AW394" s="36"/>
      <c r="AX394" s="36"/>
      <c r="AY394" s="36"/>
      <c r="AZ394" s="36"/>
      <c r="BA394" s="36"/>
      <c r="BB394" s="36"/>
    </row>
    <row r="395" spans="1:54" x14ac:dyDescent="0.25">
      <c r="A395" s="34"/>
      <c r="B395" s="34"/>
      <c r="C395" s="34"/>
      <c r="D395" s="37"/>
      <c r="E395" s="37"/>
      <c r="F395" s="37"/>
      <c r="G395" s="37"/>
      <c r="H395" s="37"/>
      <c r="I395" s="37"/>
      <c r="J395" s="37"/>
      <c r="K395" s="37"/>
      <c r="L395" s="37"/>
      <c r="M395" s="37"/>
      <c r="N395" s="37"/>
      <c r="O395" s="37"/>
      <c r="P395" s="37"/>
      <c r="Q395" s="37"/>
      <c r="R395" s="37"/>
      <c r="S395" s="37"/>
      <c r="T395" s="37"/>
      <c r="U395" s="37"/>
      <c r="V395" s="37"/>
      <c r="W395" s="37"/>
      <c r="X395" s="37"/>
      <c r="Y395" s="37"/>
      <c r="Z395" s="37"/>
      <c r="AA395" s="37"/>
      <c r="AB395" s="37"/>
      <c r="AC395" s="37"/>
      <c r="AD395" s="37"/>
      <c r="AE395" s="37"/>
      <c r="AF395" s="37"/>
      <c r="AG395" s="37"/>
      <c r="AH395" s="37"/>
      <c r="AI395" s="37"/>
      <c r="AJ395" s="37"/>
      <c r="AK395" s="37"/>
      <c r="AL395" s="37"/>
      <c r="AM395" s="37"/>
      <c r="AN395" s="37"/>
      <c r="AO395" s="37"/>
      <c r="AP395" s="37"/>
      <c r="AQ395" s="37"/>
      <c r="AR395" s="37"/>
      <c r="AS395" s="37"/>
      <c r="AT395" s="37"/>
      <c r="AU395" s="37"/>
      <c r="AV395" s="37"/>
      <c r="AW395" s="37"/>
      <c r="AX395" s="37"/>
      <c r="AY395" s="37"/>
      <c r="AZ395" s="37"/>
      <c r="BA395" s="37"/>
      <c r="BB395" s="37"/>
    </row>
    <row r="396" spans="1:54" s="5" customFormat="1" x14ac:dyDescent="0.25">
      <c r="A396" s="32"/>
      <c r="B396" s="32"/>
      <c r="C396" s="32"/>
      <c r="D396" s="33"/>
      <c r="E396" s="33"/>
      <c r="F396" s="33"/>
      <c r="G396" s="33"/>
      <c r="H396" s="33"/>
      <c r="I396" s="33"/>
      <c r="J396" s="33"/>
      <c r="K396" s="33"/>
      <c r="L396" s="33"/>
      <c r="M396" s="33"/>
      <c r="N396" s="33"/>
      <c r="O396" s="33"/>
      <c r="P396" s="33"/>
      <c r="Q396" s="33"/>
      <c r="R396" s="33"/>
      <c r="S396" s="33"/>
      <c r="T396" s="33"/>
      <c r="U396" s="33"/>
      <c r="V396" s="33"/>
      <c r="W396" s="33"/>
      <c r="X396" s="33"/>
      <c r="Y396" s="33"/>
      <c r="Z396" s="36"/>
      <c r="AA396" s="36"/>
      <c r="AB396" s="33"/>
      <c r="AC396" s="33"/>
      <c r="AD396" s="33"/>
      <c r="AE396" s="33"/>
      <c r="AF396" s="33"/>
      <c r="AG396" s="33"/>
      <c r="AH396" s="33"/>
      <c r="AI396" s="36"/>
      <c r="AJ396" s="33"/>
      <c r="AK396" s="33"/>
      <c r="AL396" s="33"/>
      <c r="AM396" s="33"/>
      <c r="AN396" s="33"/>
      <c r="AO396" s="33"/>
      <c r="AP396" s="33"/>
      <c r="AQ396" s="33"/>
      <c r="AR396" s="33"/>
      <c r="AS396" s="33"/>
      <c r="AT396" s="33"/>
      <c r="AU396" s="33"/>
      <c r="AV396" s="33"/>
      <c r="AW396" s="33"/>
      <c r="AX396" s="36"/>
      <c r="AY396" s="33"/>
      <c r="AZ396" s="33"/>
      <c r="BA396" s="33"/>
      <c r="BB396" s="33"/>
    </row>
    <row r="397" spans="1:54" x14ac:dyDescent="0.25">
      <c r="A397" s="34"/>
      <c r="B397" s="34"/>
      <c r="C397" s="34"/>
      <c r="D397" s="37"/>
      <c r="E397" s="37"/>
      <c r="F397" s="37"/>
      <c r="G397" s="37"/>
      <c r="H397" s="35"/>
      <c r="I397" s="35"/>
      <c r="J397" s="37"/>
      <c r="K397" s="37"/>
      <c r="L397" s="35"/>
      <c r="M397" s="37"/>
      <c r="N397" s="37"/>
      <c r="O397" s="37"/>
      <c r="P397" s="35"/>
      <c r="Q397" s="37"/>
      <c r="R397" s="37"/>
      <c r="S397" s="37"/>
      <c r="T397" s="37"/>
      <c r="U397" s="37"/>
      <c r="V397" s="37"/>
      <c r="W397" s="37"/>
      <c r="X397" s="37"/>
      <c r="Y397" s="37"/>
      <c r="Z397" s="35"/>
      <c r="AA397" s="35"/>
      <c r="AB397" s="35"/>
      <c r="AC397" s="37"/>
      <c r="AD397" s="37"/>
      <c r="AE397" s="35"/>
      <c r="AF397" s="37"/>
      <c r="AG397" s="37"/>
      <c r="AH397" s="35"/>
      <c r="AI397" s="35"/>
      <c r="AJ397" s="37"/>
      <c r="AK397" s="37"/>
      <c r="AL397" s="35"/>
      <c r="AM397" s="37"/>
      <c r="AN397" s="37"/>
      <c r="AO397" s="37"/>
      <c r="AP397" s="35"/>
      <c r="AQ397" s="37"/>
      <c r="AR397" s="37"/>
      <c r="AS397" s="37"/>
      <c r="AT397" s="37"/>
      <c r="AU397" s="35"/>
      <c r="AV397" s="37"/>
      <c r="AW397" s="35"/>
      <c r="AX397" s="35"/>
      <c r="AY397" s="37"/>
      <c r="AZ397" s="37"/>
      <c r="BA397" s="37"/>
      <c r="BB397" s="37"/>
    </row>
    <row r="398" spans="1:54" s="5" customFormat="1" x14ac:dyDescent="0.25">
      <c r="A398" s="32"/>
      <c r="B398" s="32"/>
      <c r="C398" s="32"/>
      <c r="D398" s="36"/>
      <c r="E398" s="36"/>
      <c r="F398" s="36"/>
      <c r="G398" s="36"/>
      <c r="H398" s="36"/>
      <c r="I398" s="36"/>
      <c r="J398" s="36"/>
      <c r="K398" s="36"/>
      <c r="L398" s="36"/>
      <c r="M398" s="36"/>
      <c r="N398" s="36"/>
      <c r="O398" s="36"/>
      <c r="P398" s="36"/>
      <c r="Q398" s="36"/>
      <c r="R398" s="36"/>
      <c r="S398" s="36"/>
      <c r="T398" s="36"/>
      <c r="U398" s="36"/>
      <c r="V398" s="36"/>
      <c r="W398" s="36"/>
      <c r="X398" s="36"/>
      <c r="Y398" s="36"/>
      <c r="Z398" s="36"/>
      <c r="AA398" s="36"/>
      <c r="AB398" s="36"/>
      <c r="AC398" s="36"/>
      <c r="AD398" s="36"/>
      <c r="AE398" s="36"/>
      <c r="AF398" s="36"/>
      <c r="AG398" s="36"/>
      <c r="AH398" s="36"/>
      <c r="AI398" s="36"/>
      <c r="AJ398" s="36"/>
      <c r="AK398" s="36"/>
      <c r="AL398" s="36"/>
      <c r="AM398" s="36"/>
      <c r="AN398" s="36"/>
      <c r="AO398" s="36"/>
      <c r="AP398" s="36"/>
      <c r="AQ398" s="36"/>
      <c r="AR398" s="36"/>
      <c r="AS398" s="36"/>
      <c r="AT398" s="36"/>
      <c r="AU398" s="36"/>
      <c r="AV398" s="36"/>
      <c r="AW398" s="36"/>
      <c r="AX398" s="36"/>
      <c r="AY398" s="36"/>
      <c r="AZ398" s="36"/>
      <c r="BA398" s="36"/>
      <c r="BB398" s="36"/>
    </row>
    <row r="399" spans="1:54" x14ac:dyDescent="0.25">
      <c r="A399" s="34"/>
      <c r="B399" s="34"/>
      <c r="C399" s="34"/>
      <c r="D399" s="35"/>
      <c r="E399" s="35"/>
      <c r="F399" s="35"/>
      <c r="G399" s="35"/>
      <c r="H399" s="35"/>
      <c r="I399" s="35"/>
      <c r="J399" s="35"/>
      <c r="K399" s="35"/>
      <c r="L399" s="35"/>
      <c r="M399" s="35"/>
      <c r="N399" s="35"/>
      <c r="O399" s="35"/>
      <c r="P399" s="35"/>
      <c r="Q399" s="35"/>
      <c r="R399" s="35"/>
      <c r="S399" s="35"/>
      <c r="T399" s="35"/>
      <c r="U399" s="35"/>
      <c r="V399" s="35"/>
      <c r="W399" s="35"/>
      <c r="X399" s="35"/>
      <c r="Y399" s="35"/>
      <c r="Z399" s="35"/>
      <c r="AA399" s="35"/>
      <c r="AB399" s="35"/>
      <c r="AC399" s="35"/>
      <c r="AD399" s="35"/>
      <c r="AE399" s="35"/>
      <c r="AF399" s="35"/>
      <c r="AG399" s="35"/>
      <c r="AH399" s="35"/>
      <c r="AI399" s="35"/>
      <c r="AJ399" s="35"/>
      <c r="AK399" s="35"/>
      <c r="AL399" s="35"/>
      <c r="AM399" s="35"/>
      <c r="AN399" s="35"/>
      <c r="AO399" s="35"/>
      <c r="AP399" s="35"/>
      <c r="AQ399" s="35"/>
      <c r="AR399" s="35"/>
      <c r="AS399" s="35"/>
      <c r="AT399" s="35"/>
      <c r="AU399" s="35"/>
      <c r="AV399" s="35"/>
      <c r="AW399" s="35"/>
      <c r="AX399" s="35"/>
      <c r="AY399" s="35"/>
      <c r="AZ399" s="35"/>
      <c r="BA399" s="35"/>
      <c r="BB399" s="35"/>
    </row>
    <row r="400" spans="1:54" s="5" customFormat="1" x14ac:dyDescent="0.25">
      <c r="A400" s="32"/>
      <c r="B400" s="32"/>
      <c r="C400" s="32"/>
      <c r="D400" s="33"/>
      <c r="E400" s="33"/>
      <c r="F400" s="33"/>
      <c r="G400" s="33"/>
      <c r="H400" s="33"/>
      <c r="I400" s="33"/>
      <c r="J400" s="33"/>
      <c r="K400" s="33"/>
      <c r="L400" s="33"/>
      <c r="M400" s="33"/>
      <c r="N400" s="33"/>
      <c r="O400" s="33"/>
      <c r="P400" s="33"/>
      <c r="Q400" s="33"/>
      <c r="R400" s="33"/>
      <c r="S400" s="33"/>
      <c r="T400" s="33"/>
      <c r="U400" s="33"/>
      <c r="V400" s="33"/>
      <c r="W400" s="33"/>
      <c r="X400" s="33"/>
      <c r="Y400" s="33"/>
      <c r="Z400" s="33"/>
      <c r="AA400" s="33"/>
      <c r="AB400" s="33"/>
      <c r="AC400" s="33"/>
      <c r="AD400" s="33"/>
      <c r="AE400" s="33"/>
      <c r="AF400" s="33"/>
      <c r="AG400" s="33"/>
      <c r="AH400" s="33"/>
      <c r="AI400" s="33"/>
      <c r="AJ400" s="33"/>
      <c r="AK400" s="33"/>
      <c r="AL400" s="33"/>
      <c r="AM400" s="33"/>
      <c r="AN400" s="33"/>
      <c r="AO400" s="33"/>
      <c r="AP400" s="33"/>
      <c r="AQ400" s="33"/>
      <c r="AR400" s="33"/>
      <c r="AS400" s="33"/>
      <c r="AT400" s="33"/>
      <c r="AU400" s="33"/>
      <c r="AV400" s="33"/>
      <c r="AW400" s="33"/>
      <c r="AX400" s="33"/>
      <c r="AY400" s="33"/>
      <c r="AZ400" s="33"/>
      <c r="BA400" s="33"/>
      <c r="BB400" s="33"/>
    </row>
    <row r="401" spans="1:54" x14ac:dyDescent="0.25">
      <c r="A401" s="34"/>
      <c r="B401" s="34"/>
      <c r="C401" s="34"/>
      <c r="D401" s="35"/>
      <c r="E401" s="35"/>
      <c r="F401" s="35"/>
      <c r="G401" s="35"/>
      <c r="H401" s="35"/>
      <c r="I401" s="35"/>
      <c r="J401" s="35"/>
      <c r="K401" s="35"/>
      <c r="L401" s="35"/>
      <c r="M401" s="35"/>
      <c r="N401" s="35"/>
      <c r="O401" s="35"/>
      <c r="P401" s="35"/>
      <c r="Q401" s="35"/>
      <c r="R401" s="35"/>
      <c r="S401" s="35"/>
      <c r="T401" s="35"/>
      <c r="U401" s="35"/>
      <c r="V401" s="35"/>
      <c r="W401" s="35"/>
      <c r="X401" s="35"/>
      <c r="Y401" s="35"/>
      <c r="Z401" s="35"/>
      <c r="AA401" s="35"/>
      <c r="AB401" s="35"/>
      <c r="AC401" s="35"/>
      <c r="AD401" s="35"/>
      <c r="AE401" s="35"/>
      <c r="AF401" s="35"/>
      <c r="AG401" s="35"/>
      <c r="AH401" s="35"/>
      <c r="AI401" s="35"/>
      <c r="AJ401" s="35"/>
      <c r="AK401" s="35"/>
      <c r="AL401" s="35"/>
      <c r="AM401" s="35"/>
      <c r="AN401" s="35"/>
      <c r="AO401" s="35"/>
      <c r="AP401" s="35"/>
      <c r="AQ401" s="35"/>
      <c r="AR401" s="35"/>
      <c r="AS401" s="35"/>
      <c r="AT401" s="35"/>
      <c r="AU401" s="35"/>
      <c r="AV401" s="35"/>
      <c r="AW401" s="35"/>
      <c r="AX401" s="35"/>
      <c r="AY401" s="35"/>
      <c r="AZ401" s="35"/>
      <c r="BA401" s="35"/>
      <c r="BB401" s="35"/>
    </row>
    <row r="402" spans="1:54" s="5" customFormat="1" x14ac:dyDescent="0.25">
      <c r="A402" s="32"/>
      <c r="B402" s="32"/>
      <c r="C402" s="32"/>
      <c r="D402" s="33"/>
      <c r="E402" s="33"/>
      <c r="F402" s="33"/>
      <c r="G402" s="33"/>
      <c r="H402" s="33"/>
      <c r="I402" s="33"/>
      <c r="J402" s="33"/>
      <c r="K402" s="33"/>
      <c r="L402" s="33"/>
      <c r="M402" s="33"/>
      <c r="N402" s="33"/>
      <c r="O402" s="33"/>
      <c r="P402" s="33"/>
      <c r="Q402" s="33"/>
      <c r="R402" s="33"/>
      <c r="S402" s="33"/>
      <c r="T402" s="33"/>
      <c r="U402" s="33"/>
      <c r="V402" s="33"/>
      <c r="W402" s="33"/>
      <c r="X402" s="33"/>
      <c r="Y402" s="33"/>
      <c r="Z402" s="33"/>
      <c r="AA402" s="33"/>
      <c r="AB402" s="33"/>
      <c r="AC402" s="33"/>
      <c r="AD402" s="33"/>
      <c r="AE402" s="33"/>
      <c r="AF402" s="33"/>
      <c r="AG402" s="33"/>
      <c r="AH402" s="33"/>
      <c r="AI402" s="33"/>
      <c r="AJ402" s="33"/>
      <c r="AK402" s="33"/>
      <c r="AL402" s="33"/>
      <c r="AM402" s="33"/>
      <c r="AN402" s="33"/>
      <c r="AO402" s="33"/>
      <c r="AP402" s="33"/>
      <c r="AQ402" s="33"/>
      <c r="AR402" s="33"/>
      <c r="AS402" s="33"/>
      <c r="AT402" s="33"/>
      <c r="AU402" s="33"/>
      <c r="AV402" s="33"/>
      <c r="AW402" s="33"/>
      <c r="AX402" s="33"/>
      <c r="AY402" s="33"/>
      <c r="AZ402" s="33"/>
      <c r="BA402" s="33"/>
      <c r="BB402" s="33"/>
    </row>
    <row r="403" spans="1:54" x14ac:dyDescent="0.25">
      <c r="A403" s="34"/>
      <c r="B403" s="34"/>
      <c r="C403" s="34"/>
      <c r="D403" s="35"/>
      <c r="E403" s="35"/>
      <c r="F403" s="35"/>
      <c r="G403" s="35"/>
      <c r="H403" s="35"/>
      <c r="I403" s="35"/>
      <c r="J403" s="35"/>
      <c r="K403" s="35"/>
      <c r="L403" s="35"/>
      <c r="M403" s="35"/>
      <c r="N403" s="35"/>
      <c r="O403" s="35"/>
      <c r="P403" s="35"/>
      <c r="Q403" s="35"/>
      <c r="R403" s="35"/>
      <c r="S403" s="35"/>
      <c r="T403" s="35"/>
      <c r="U403" s="35"/>
      <c r="V403" s="35"/>
      <c r="W403" s="35"/>
      <c r="X403" s="35"/>
      <c r="Y403" s="35"/>
      <c r="Z403" s="35"/>
      <c r="AA403" s="35"/>
      <c r="AB403" s="35"/>
      <c r="AC403" s="35"/>
      <c r="AD403" s="35"/>
      <c r="AE403" s="35"/>
      <c r="AF403" s="35"/>
      <c r="AG403" s="35"/>
      <c r="AH403" s="35"/>
      <c r="AI403" s="35"/>
      <c r="AJ403" s="35"/>
      <c r="AK403" s="35"/>
      <c r="AL403" s="35"/>
      <c r="AM403" s="35"/>
      <c r="AN403" s="35"/>
      <c r="AO403" s="35"/>
      <c r="AP403" s="35"/>
      <c r="AQ403" s="35"/>
      <c r="AR403" s="35"/>
      <c r="AS403" s="35"/>
      <c r="AT403" s="35"/>
      <c r="AU403" s="35"/>
      <c r="AV403" s="35"/>
      <c r="AW403" s="35"/>
      <c r="AX403" s="35"/>
      <c r="AY403" s="35"/>
      <c r="AZ403" s="35"/>
      <c r="BA403" s="35"/>
      <c r="BB403" s="35"/>
    </row>
    <row r="404" spans="1:54" s="5" customFormat="1" x14ac:dyDescent="0.25">
      <c r="A404" s="32"/>
      <c r="B404" s="32"/>
      <c r="C404" s="32"/>
      <c r="D404" s="33"/>
      <c r="E404" s="33"/>
      <c r="F404" s="33"/>
      <c r="G404" s="33"/>
      <c r="H404" s="33"/>
      <c r="I404" s="33"/>
      <c r="J404" s="33"/>
      <c r="K404" s="33"/>
      <c r="L404" s="33"/>
      <c r="M404" s="33"/>
      <c r="N404" s="33"/>
      <c r="O404" s="33"/>
      <c r="P404" s="33"/>
      <c r="Q404" s="33"/>
      <c r="R404" s="33"/>
      <c r="S404" s="33"/>
      <c r="T404" s="33"/>
      <c r="U404" s="33"/>
      <c r="V404" s="33"/>
      <c r="W404" s="33"/>
      <c r="X404" s="33"/>
      <c r="Y404" s="33"/>
      <c r="Z404" s="33"/>
      <c r="AA404" s="33"/>
      <c r="AB404" s="33"/>
      <c r="AC404" s="33"/>
      <c r="AD404" s="33"/>
      <c r="AE404" s="33"/>
      <c r="AF404" s="33"/>
      <c r="AG404" s="33"/>
      <c r="AH404" s="33"/>
      <c r="AI404" s="33"/>
      <c r="AJ404" s="33"/>
      <c r="AK404" s="33"/>
      <c r="AL404" s="33"/>
      <c r="AM404" s="33"/>
      <c r="AN404" s="33"/>
      <c r="AO404" s="33"/>
      <c r="AP404" s="33"/>
      <c r="AQ404" s="33"/>
      <c r="AR404" s="33"/>
      <c r="AS404" s="33"/>
      <c r="AT404" s="33"/>
      <c r="AU404" s="33"/>
      <c r="AV404" s="33"/>
      <c r="AW404" s="33"/>
      <c r="AX404" s="33"/>
      <c r="AY404" s="33"/>
      <c r="AZ404" s="33"/>
      <c r="BA404" s="33"/>
      <c r="BB404" s="33"/>
    </row>
    <row r="405" spans="1:54" x14ac:dyDescent="0.25">
      <c r="A405" s="34"/>
      <c r="B405" s="34"/>
      <c r="C405" s="34"/>
      <c r="D405" s="35"/>
      <c r="E405" s="35"/>
      <c r="F405" s="35"/>
      <c r="G405" s="35"/>
      <c r="H405" s="35"/>
      <c r="I405" s="35"/>
      <c r="J405" s="35"/>
      <c r="K405" s="35"/>
      <c r="L405" s="35"/>
      <c r="M405" s="35"/>
      <c r="N405" s="35"/>
      <c r="O405" s="35"/>
      <c r="P405" s="35"/>
      <c r="Q405" s="35"/>
      <c r="R405" s="35"/>
      <c r="S405" s="35"/>
      <c r="T405" s="35"/>
      <c r="U405" s="35"/>
      <c r="V405" s="35"/>
      <c r="W405" s="35"/>
      <c r="X405" s="35"/>
      <c r="Y405" s="35"/>
      <c r="Z405" s="35"/>
      <c r="AA405" s="35"/>
      <c r="AB405" s="35"/>
      <c r="AC405" s="35"/>
      <c r="AD405" s="35"/>
      <c r="AE405" s="35"/>
      <c r="AF405" s="35"/>
      <c r="AG405" s="35"/>
      <c r="AH405" s="35"/>
      <c r="AI405" s="35"/>
      <c r="AJ405" s="35"/>
      <c r="AK405" s="35"/>
      <c r="AL405" s="35"/>
      <c r="AM405" s="35"/>
      <c r="AN405" s="35"/>
      <c r="AO405" s="35"/>
      <c r="AP405" s="35"/>
      <c r="AQ405" s="35"/>
      <c r="AR405" s="35"/>
      <c r="AS405" s="35"/>
      <c r="AT405" s="35"/>
      <c r="AU405" s="35"/>
      <c r="AV405" s="35"/>
      <c r="AW405" s="35"/>
      <c r="AX405" s="35"/>
      <c r="AY405" s="35"/>
      <c r="AZ405" s="35"/>
      <c r="BA405" s="35"/>
      <c r="BB405" s="35"/>
    </row>
    <row r="406" spans="1:54" s="5" customFormat="1" x14ac:dyDescent="0.25">
      <c r="A406" s="32"/>
      <c r="B406" s="32"/>
      <c r="C406" s="32"/>
      <c r="D406" s="33"/>
      <c r="E406" s="33"/>
      <c r="F406" s="33"/>
      <c r="G406" s="33"/>
      <c r="H406" s="33"/>
      <c r="I406" s="33"/>
      <c r="J406" s="33"/>
      <c r="K406" s="33"/>
      <c r="L406" s="33"/>
      <c r="M406" s="33"/>
      <c r="N406" s="33"/>
      <c r="O406" s="33"/>
      <c r="P406" s="33"/>
      <c r="Q406" s="33"/>
      <c r="R406" s="33"/>
      <c r="S406" s="33"/>
      <c r="T406" s="33"/>
      <c r="U406" s="33"/>
      <c r="V406" s="33"/>
      <c r="W406" s="33"/>
      <c r="X406" s="33"/>
      <c r="Y406" s="33"/>
      <c r="Z406" s="33"/>
      <c r="AA406" s="33"/>
      <c r="AB406" s="33"/>
      <c r="AC406" s="33"/>
      <c r="AD406" s="33"/>
      <c r="AE406" s="33"/>
      <c r="AF406" s="33"/>
      <c r="AG406" s="33"/>
      <c r="AH406" s="33"/>
      <c r="AI406" s="33"/>
      <c r="AJ406" s="33"/>
      <c r="AK406" s="33"/>
      <c r="AL406" s="33"/>
      <c r="AM406" s="33"/>
      <c r="AN406" s="33"/>
      <c r="AO406" s="33"/>
      <c r="AP406" s="33"/>
      <c r="AQ406" s="33"/>
      <c r="AR406" s="33"/>
      <c r="AS406" s="33"/>
      <c r="AT406" s="33"/>
      <c r="AU406" s="33"/>
      <c r="AV406" s="33"/>
      <c r="AW406" s="33"/>
      <c r="AX406" s="33"/>
      <c r="AY406" s="33"/>
      <c r="AZ406" s="33"/>
      <c r="BA406" s="33"/>
      <c r="BB406" s="33"/>
    </row>
    <row r="407" spans="1:54" x14ac:dyDescent="0.25">
      <c r="A407" s="34"/>
      <c r="B407" s="34"/>
      <c r="C407" s="34"/>
      <c r="D407" s="35"/>
      <c r="E407" s="35"/>
      <c r="F407" s="35"/>
      <c r="G407" s="35"/>
      <c r="H407" s="35"/>
      <c r="I407" s="35"/>
      <c r="J407" s="35"/>
      <c r="K407" s="35"/>
      <c r="L407" s="35"/>
      <c r="M407" s="35"/>
      <c r="N407" s="35"/>
      <c r="O407" s="35"/>
      <c r="P407" s="35"/>
      <c r="Q407" s="35"/>
      <c r="R407" s="35"/>
      <c r="S407" s="35"/>
      <c r="T407" s="35"/>
      <c r="U407" s="35"/>
      <c r="V407" s="35"/>
      <c r="W407" s="35"/>
      <c r="X407" s="35"/>
      <c r="Y407" s="35"/>
      <c r="Z407" s="35"/>
      <c r="AA407" s="35"/>
      <c r="AB407" s="35"/>
      <c r="AC407" s="35"/>
      <c r="AD407" s="35"/>
      <c r="AE407" s="35"/>
      <c r="AF407" s="35"/>
      <c r="AG407" s="35"/>
      <c r="AH407" s="35"/>
      <c r="AI407" s="35"/>
      <c r="AJ407" s="35"/>
      <c r="AK407" s="35"/>
      <c r="AL407" s="35"/>
      <c r="AM407" s="35"/>
      <c r="AN407" s="35"/>
      <c r="AO407" s="35"/>
      <c r="AP407" s="35"/>
      <c r="AQ407" s="35"/>
      <c r="AR407" s="35"/>
      <c r="AS407" s="35"/>
      <c r="AT407" s="35"/>
      <c r="AU407" s="35"/>
      <c r="AV407" s="35"/>
      <c r="AW407" s="35"/>
      <c r="AX407" s="35"/>
      <c r="AY407" s="37"/>
      <c r="AZ407" s="35"/>
      <c r="BA407" s="35"/>
      <c r="BB407" s="35"/>
    </row>
    <row r="408" spans="1:54" s="5" customFormat="1" x14ac:dyDescent="0.25">
      <c r="A408" s="32"/>
      <c r="B408" s="32"/>
      <c r="C408" s="32"/>
      <c r="D408" s="33"/>
      <c r="E408" s="33"/>
      <c r="F408" s="33"/>
      <c r="G408" s="33"/>
      <c r="H408" s="33"/>
      <c r="I408" s="33"/>
      <c r="J408" s="33"/>
      <c r="K408" s="33"/>
      <c r="L408" s="33"/>
      <c r="M408" s="33"/>
      <c r="N408" s="33"/>
      <c r="O408" s="33"/>
      <c r="P408" s="33"/>
      <c r="Q408" s="33"/>
      <c r="R408" s="33"/>
      <c r="S408" s="33"/>
      <c r="T408" s="33"/>
      <c r="U408" s="33"/>
      <c r="V408" s="33"/>
      <c r="W408" s="33"/>
      <c r="X408" s="33"/>
      <c r="Y408" s="33"/>
      <c r="Z408" s="33"/>
      <c r="AA408" s="33"/>
      <c r="AB408" s="33"/>
      <c r="AC408" s="33"/>
      <c r="AD408" s="33"/>
      <c r="AE408" s="33"/>
      <c r="AF408" s="33"/>
      <c r="AG408" s="33"/>
      <c r="AH408" s="33"/>
      <c r="AI408" s="33"/>
      <c r="AJ408" s="33"/>
      <c r="AK408" s="33"/>
      <c r="AL408" s="33"/>
      <c r="AM408" s="33"/>
      <c r="AN408" s="33"/>
      <c r="AO408" s="33"/>
      <c r="AP408" s="33"/>
      <c r="AQ408" s="33"/>
      <c r="AR408" s="33"/>
      <c r="AS408" s="33"/>
      <c r="AT408" s="33"/>
      <c r="AU408" s="33"/>
      <c r="AV408" s="33"/>
      <c r="AW408" s="33"/>
      <c r="AX408" s="33"/>
      <c r="AY408" s="33"/>
      <c r="AZ408" s="33"/>
      <c r="BA408" s="33"/>
      <c r="BB408" s="33"/>
    </row>
    <row r="409" spans="1:54" x14ac:dyDescent="0.25">
      <c r="A409" s="34"/>
      <c r="B409" s="34"/>
      <c r="C409" s="34"/>
      <c r="D409" s="35"/>
      <c r="E409" s="35"/>
      <c r="F409" s="35"/>
      <c r="G409" s="35"/>
      <c r="H409" s="35"/>
      <c r="I409" s="35"/>
      <c r="J409" s="35"/>
      <c r="K409" s="35"/>
      <c r="L409" s="35"/>
      <c r="M409" s="35"/>
      <c r="N409" s="35"/>
      <c r="O409" s="35"/>
      <c r="P409" s="35"/>
      <c r="Q409" s="35"/>
      <c r="R409" s="35"/>
      <c r="S409" s="35"/>
      <c r="T409" s="35"/>
      <c r="U409" s="35"/>
      <c r="V409" s="35"/>
      <c r="W409" s="35"/>
      <c r="X409" s="35"/>
      <c r="Y409" s="35"/>
      <c r="Z409" s="35"/>
      <c r="AA409" s="35"/>
      <c r="AB409" s="35"/>
      <c r="AC409" s="35"/>
      <c r="AD409" s="35"/>
      <c r="AE409" s="35"/>
      <c r="AF409" s="35"/>
      <c r="AG409" s="35"/>
      <c r="AH409" s="35"/>
      <c r="AI409" s="35"/>
      <c r="AJ409" s="35"/>
      <c r="AK409" s="35"/>
      <c r="AL409" s="35"/>
      <c r="AM409" s="35"/>
      <c r="AN409" s="35"/>
      <c r="AO409" s="35"/>
      <c r="AP409" s="35"/>
      <c r="AQ409" s="35"/>
      <c r="AR409" s="35"/>
      <c r="AS409" s="35"/>
      <c r="AT409" s="35"/>
      <c r="AU409" s="35"/>
      <c r="AV409" s="35"/>
      <c r="AW409" s="35"/>
      <c r="AX409" s="35"/>
      <c r="AY409" s="35"/>
      <c r="AZ409" s="35"/>
      <c r="BA409" s="35"/>
      <c r="BB409" s="35"/>
    </row>
    <row r="410" spans="1:54" s="5" customFormat="1" x14ac:dyDescent="0.25">
      <c r="A410" s="32"/>
      <c r="B410" s="32"/>
      <c r="C410" s="32"/>
      <c r="D410" s="33"/>
      <c r="E410" s="33"/>
      <c r="F410" s="33"/>
      <c r="G410" s="33"/>
      <c r="H410" s="33"/>
      <c r="I410" s="33"/>
      <c r="J410" s="33"/>
      <c r="K410" s="33"/>
      <c r="L410" s="33"/>
      <c r="M410" s="33"/>
      <c r="N410" s="33"/>
      <c r="O410" s="33"/>
      <c r="P410" s="33"/>
      <c r="Q410" s="33"/>
      <c r="R410" s="33"/>
      <c r="S410" s="33"/>
      <c r="T410" s="33"/>
      <c r="U410" s="33"/>
      <c r="V410" s="33"/>
      <c r="W410" s="33"/>
      <c r="X410" s="33"/>
      <c r="Y410" s="33"/>
      <c r="Z410" s="33"/>
      <c r="AA410" s="33"/>
      <c r="AB410" s="33"/>
      <c r="AC410" s="33"/>
      <c r="AD410" s="33"/>
      <c r="AE410" s="33"/>
      <c r="AF410" s="33"/>
      <c r="AG410" s="33"/>
      <c r="AH410" s="33"/>
      <c r="AI410" s="33"/>
      <c r="AJ410" s="33"/>
      <c r="AK410" s="33"/>
      <c r="AL410" s="33"/>
      <c r="AM410" s="33"/>
      <c r="AN410" s="33"/>
      <c r="AO410" s="33"/>
      <c r="AP410" s="33"/>
      <c r="AQ410" s="33"/>
      <c r="AR410" s="33"/>
      <c r="AS410" s="33"/>
      <c r="AT410" s="33"/>
      <c r="AU410" s="33"/>
      <c r="AV410" s="33"/>
      <c r="AW410" s="33"/>
      <c r="AX410" s="33"/>
      <c r="AY410" s="33"/>
      <c r="AZ410" s="33"/>
      <c r="BA410" s="33"/>
      <c r="BB410" s="33"/>
    </row>
    <row r="411" spans="1:54" x14ac:dyDescent="0.25">
      <c r="A411" s="34"/>
      <c r="B411" s="34"/>
      <c r="C411" s="34"/>
      <c r="D411" s="35"/>
      <c r="E411" s="35"/>
      <c r="F411" s="35"/>
      <c r="G411" s="35"/>
      <c r="H411" s="35"/>
      <c r="I411" s="35"/>
      <c r="J411" s="35"/>
      <c r="K411" s="35"/>
      <c r="L411" s="35"/>
      <c r="M411" s="35"/>
      <c r="N411" s="35"/>
      <c r="O411" s="35"/>
      <c r="P411" s="35"/>
      <c r="Q411" s="35"/>
      <c r="R411" s="35"/>
      <c r="S411" s="35"/>
      <c r="T411" s="35"/>
      <c r="U411" s="35"/>
      <c r="V411" s="35"/>
      <c r="W411" s="35"/>
      <c r="X411" s="35"/>
      <c r="Y411" s="35"/>
      <c r="Z411" s="35"/>
      <c r="AA411" s="35"/>
      <c r="AB411" s="35"/>
      <c r="AC411" s="35"/>
      <c r="AD411" s="35"/>
      <c r="AE411" s="35"/>
      <c r="AF411" s="35"/>
      <c r="AG411" s="35"/>
      <c r="AH411" s="35"/>
      <c r="AI411" s="35"/>
      <c r="AJ411" s="35"/>
      <c r="AK411" s="35"/>
      <c r="AL411" s="35"/>
      <c r="AM411" s="35"/>
      <c r="AN411" s="35"/>
      <c r="AO411" s="35"/>
      <c r="AP411" s="35"/>
      <c r="AQ411" s="35"/>
      <c r="AR411" s="35"/>
      <c r="AS411" s="35"/>
      <c r="AT411" s="35"/>
      <c r="AU411" s="35"/>
      <c r="AV411" s="35"/>
      <c r="AW411" s="35"/>
      <c r="AX411" s="35"/>
      <c r="AY411" s="35"/>
      <c r="AZ411" s="35"/>
      <c r="BA411" s="35"/>
      <c r="BB411" s="35"/>
    </row>
    <row r="412" spans="1:54" s="5" customFormat="1" x14ac:dyDescent="0.25">
      <c r="A412" s="32"/>
      <c r="B412" s="32"/>
      <c r="C412" s="32"/>
      <c r="D412" s="33"/>
      <c r="E412" s="33"/>
      <c r="F412" s="33"/>
      <c r="G412" s="33"/>
      <c r="H412" s="33"/>
      <c r="I412" s="33"/>
      <c r="J412" s="33"/>
      <c r="K412" s="33"/>
      <c r="L412" s="33"/>
      <c r="M412" s="33"/>
      <c r="N412" s="33"/>
      <c r="O412" s="33"/>
      <c r="P412" s="33"/>
      <c r="Q412" s="33"/>
      <c r="R412" s="33"/>
      <c r="S412" s="33"/>
      <c r="T412" s="33"/>
      <c r="U412" s="33"/>
      <c r="V412" s="33"/>
      <c r="W412" s="33"/>
      <c r="X412" s="33"/>
      <c r="Y412" s="33"/>
      <c r="Z412" s="33"/>
      <c r="AA412" s="33"/>
      <c r="AB412" s="33"/>
      <c r="AC412" s="33"/>
      <c r="AD412" s="33"/>
      <c r="AE412" s="33"/>
      <c r="AF412" s="33"/>
      <c r="AG412" s="33"/>
      <c r="AH412" s="33"/>
      <c r="AI412" s="33"/>
      <c r="AJ412" s="33"/>
      <c r="AK412" s="33"/>
      <c r="AL412" s="33"/>
      <c r="AM412" s="33"/>
      <c r="AN412" s="33"/>
      <c r="AO412" s="33"/>
      <c r="AP412" s="33"/>
      <c r="AQ412" s="33"/>
      <c r="AR412" s="33"/>
      <c r="AS412" s="33"/>
      <c r="AT412" s="33"/>
      <c r="AU412" s="33"/>
      <c r="AV412" s="33"/>
      <c r="AW412" s="33"/>
      <c r="AX412" s="33"/>
      <c r="AY412" s="33"/>
      <c r="AZ412" s="33"/>
      <c r="BA412" s="33"/>
      <c r="BB412" s="33"/>
    </row>
    <row r="413" spans="1:54" x14ac:dyDescent="0.25">
      <c r="A413" s="34"/>
      <c r="B413" s="34"/>
      <c r="C413" s="34"/>
      <c r="D413" s="35"/>
      <c r="E413" s="35"/>
      <c r="F413" s="35"/>
      <c r="G413" s="35"/>
      <c r="H413" s="35"/>
      <c r="I413" s="35"/>
      <c r="J413" s="35"/>
      <c r="K413" s="35"/>
      <c r="L413" s="35"/>
      <c r="M413" s="35"/>
      <c r="N413" s="35"/>
      <c r="O413" s="35"/>
      <c r="P413" s="35"/>
      <c r="Q413" s="35"/>
      <c r="R413" s="35"/>
      <c r="S413" s="35"/>
      <c r="T413" s="35"/>
      <c r="U413" s="35"/>
      <c r="V413" s="35"/>
      <c r="W413" s="35"/>
      <c r="X413" s="35"/>
      <c r="Y413" s="35"/>
      <c r="Z413" s="35"/>
      <c r="AA413" s="35"/>
      <c r="AB413" s="35"/>
      <c r="AC413" s="35"/>
      <c r="AD413" s="35"/>
      <c r="AE413" s="35"/>
      <c r="AF413" s="35"/>
      <c r="AG413" s="35"/>
      <c r="AH413" s="35"/>
      <c r="AI413" s="35"/>
      <c r="AJ413" s="35"/>
      <c r="AK413" s="35"/>
      <c r="AL413" s="35"/>
      <c r="AM413" s="35"/>
      <c r="AN413" s="35"/>
      <c r="AO413" s="35"/>
      <c r="AP413" s="35"/>
      <c r="AQ413" s="35"/>
      <c r="AR413" s="35"/>
      <c r="AS413" s="35"/>
      <c r="AT413" s="35"/>
      <c r="AU413" s="35"/>
      <c r="AV413" s="35"/>
      <c r="AW413" s="35"/>
      <c r="AX413" s="35"/>
      <c r="AY413" s="35"/>
      <c r="AZ413" s="35"/>
      <c r="BA413" s="35"/>
      <c r="BB413" s="35"/>
    </row>
    <row r="414" spans="1:54" x14ac:dyDescent="0.25">
      <c r="A414" s="32"/>
      <c r="B414" s="32"/>
      <c r="C414" s="32"/>
      <c r="D414" s="33"/>
      <c r="E414" s="36"/>
      <c r="F414" s="36"/>
      <c r="G414" s="36"/>
      <c r="H414" s="36"/>
      <c r="I414" s="33"/>
      <c r="J414" s="36"/>
      <c r="K414" s="36"/>
      <c r="L414" s="36"/>
      <c r="M414" s="36"/>
      <c r="N414" s="36"/>
      <c r="O414" s="36"/>
      <c r="P414" s="36"/>
      <c r="Q414" s="36"/>
      <c r="R414" s="36"/>
      <c r="S414" s="36"/>
      <c r="T414" s="36"/>
      <c r="U414" s="36"/>
      <c r="V414" s="36"/>
      <c r="W414" s="36"/>
      <c r="X414" s="36"/>
      <c r="Y414" s="36"/>
      <c r="Z414" s="36"/>
      <c r="AA414" s="36"/>
      <c r="AB414" s="36"/>
      <c r="AC414" s="36"/>
      <c r="AD414" s="36"/>
      <c r="AE414" s="36"/>
      <c r="AF414" s="36"/>
      <c r="AG414" s="36"/>
      <c r="AH414" s="36"/>
      <c r="AI414" s="36"/>
      <c r="AJ414" s="36"/>
      <c r="AK414" s="36"/>
      <c r="AL414" s="36"/>
      <c r="AM414" s="36"/>
      <c r="AN414" s="36"/>
      <c r="AO414" s="36"/>
      <c r="AP414" s="36"/>
      <c r="AQ414" s="36"/>
      <c r="AR414" s="36"/>
      <c r="AS414" s="36"/>
      <c r="AT414" s="36"/>
      <c r="AU414" s="36"/>
      <c r="AV414" s="36"/>
      <c r="AW414" s="36"/>
      <c r="AX414" s="36"/>
      <c r="AY414" s="36"/>
      <c r="AZ414" s="36"/>
      <c r="BA414" s="36"/>
      <c r="BB414" s="36"/>
    </row>
    <row r="415" spans="1:54" s="5" customFormat="1" x14ac:dyDescent="0.25">
      <c r="A415" s="32"/>
      <c r="B415" s="34"/>
      <c r="C415" s="34"/>
      <c r="D415" s="35"/>
      <c r="E415" s="35"/>
      <c r="F415" s="35"/>
      <c r="G415" s="35"/>
      <c r="H415" s="35"/>
      <c r="I415" s="35"/>
      <c r="J415" s="35"/>
      <c r="K415" s="35"/>
      <c r="L415" s="35"/>
      <c r="M415" s="35"/>
      <c r="N415" s="35"/>
      <c r="O415" s="35"/>
      <c r="P415" s="35"/>
      <c r="Q415" s="35"/>
      <c r="R415" s="35"/>
      <c r="S415" s="35"/>
      <c r="T415" s="35"/>
      <c r="U415" s="35"/>
      <c r="V415" s="35"/>
      <c r="W415" s="35"/>
      <c r="X415" s="35"/>
      <c r="Y415" s="35"/>
      <c r="Z415" s="35"/>
      <c r="AA415" s="35"/>
      <c r="AB415" s="35"/>
      <c r="AC415" s="35"/>
      <c r="AD415" s="35"/>
      <c r="AE415" s="35"/>
      <c r="AF415" s="35"/>
      <c r="AG415" s="35"/>
      <c r="AH415" s="35"/>
      <c r="AI415" s="35"/>
      <c r="AJ415" s="35"/>
      <c r="AK415" s="35"/>
      <c r="AL415" s="35"/>
      <c r="AM415" s="35"/>
      <c r="AN415" s="35"/>
      <c r="AO415" s="35"/>
      <c r="AP415" s="35"/>
      <c r="AQ415" s="35"/>
      <c r="AR415" s="35"/>
      <c r="AS415" s="35"/>
      <c r="AT415" s="35"/>
      <c r="AU415" s="35"/>
      <c r="AV415" s="35"/>
      <c r="AW415" s="35"/>
      <c r="AX415" s="35"/>
      <c r="AY415" s="35"/>
      <c r="AZ415" s="35"/>
      <c r="BA415" s="35"/>
      <c r="BB415" s="35"/>
    </row>
    <row r="416" spans="1:54" x14ac:dyDescent="0.25">
      <c r="A416" s="32"/>
      <c r="B416" s="32"/>
      <c r="C416" s="32"/>
      <c r="D416" s="33"/>
      <c r="E416" s="33"/>
      <c r="F416" s="33"/>
      <c r="G416" s="33"/>
      <c r="H416" s="33"/>
      <c r="I416" s="33"/>
      <c r="J416" s="33"/>
      <c r="K416" s="33"/>
      <c r="L416" s="33"/>
      <c r="M416" s="33"/>
      <c r="N416" s="33"/>
      <c r="O416" s="33"/>
      <c r="P416" s="33"/>
      <c r="Q416" s="33"/>
      <c r="R416" s="33"/>
      <c r="S416" s="33"/>
      <c r="T416" s="33"/>
      <c r="U416" s="36"/>
      <c r="V416" s="33"/>
      <c r="W416" s="33"/>
      <c r="X416" s="33"/>
      <c r="Y416" s="33"/>
      <c r="Z416" s="33"/>
      <c r="AA416" s="33"/>
      <c r="AB416" s="33"/>
      <c r="AC416" s="36"/>
      <c r="AD416" s="33"/>
      <c r="AE416" s="33"/>
      <c r="AF416" s="33"/>
      <c r="AG416" s="33"/>
      <c r="AH416" s="33"/>
      <c r="AI416" s="33"/>
      <c r="AJ416" s="33"/>
      <c r="AK416" s="33"/>
      <c r="AL416" s="33"/>
      <c r="AM416" s="33"/>
      <c r="AN416" s="36"/>
      <c r="AO416" s="36"/>
      <c r="AP416" s="36"/>
      <c r="AQ416" s="36"/>
      <c r="AR416" s="36"/>
      <c r="AS416" s="36"/>
      <c r="AT416" s="36"/>
      <c r="AU416" s="36"/>
      <c r="AV416" s="36"/>
      <c r="AW416" s="36"/>
      <c r="AX416" s="36"/>
      <c r="AY416" s="36"/>
      <c r="AZ416" s="36"/>
      <c r="BA416" s="33"/>
      <c r="BB416" s="33"/>
    </row>
    <row r="417" spans="1:54" s="5" customFormat="1" x14ac:dyDescent="0.25">
      <c r="A417" s="32"/>
      <c r="B417" s="34"/>
      <c r="C417" s="34"/>
      <c r="D417" s="35"/>
      <c r="E417" s="35"/>
      <c r="F417" s="35"/>
      <c r="G417" s="35"/>
      <c r="H417" s="35"/>
      <c r="I417" s="35"/>
      <c r="J417" s="35"/>
      <c r="K417" s="35"/>
      <c r="L417" s="35"/>
      <c r="M417" s="35"/>
      <c r="N417" s="35"/>
      <c r="O417" s="35"/>
      <c r="P417" s="35"/>
      <c r="Q417" s="35"/>
      <c r="R417" s="37"/>
      <c r="S417" s="37"/>
      <c r="T417" s="37"/>
      <c r="U417" s="37"/>
      <c r="V417" s="37"/>
      <c r="W417" s="37"/>
      <c r="X417" s="37"/>
      <c r="Y417" s="37"/>
      <c r="Z417" s="37"/>
      <c r="AA417" s="37"/>
      <c r="AB417" s="37"/>
      <c r="AC417" s="37"/>
      <c r="AD417" s="37"/>
      <c r="AE417" s="37"/>
      <c r="AF417" s="37"/>
      <c r="AG417" s="37"/>
      <c r="AH417" s="37"/>
      <c r="AI417" s="37"/>
      <c r="AJ417" s="37"/>
      <c r="AK417" s="37"/>
      <c r="AL417" s="37"/>
      <c r="AM417" s="37"/>
      <c r="AN417" s="37"/>
      <c r="AO417" s="37"/>
      <c r="AP417" s="37"/>
      <c r="AQ417" s="37"/>
      <c r="AR417" s="37"/>
      <c r="AS417" s="37"/>
      <c r="AT417" s="37"/>
      <c r="AU417" s="37"/>
      <c r="AV417" s="37"/>
      <c r="AW417" s="37"/>
      <c r="AX417" s="37"/>
      <c r="AY417" s="37"/>
      <c r="AZ417" s="37"/>
      <c r="BA417" s="37"/>
      <c r="BB417" s="37"/>
    </row>
    <row r="418" spans="1:54" x14ac:dyDescent="0.25">
      <c r="A418" s="34"/>
      <c r="B418" s="34"/>
      <c r="C418" s="34"/>
      <c r="D418" s="35"/>
      <c r="E418" s="35"/>
      <c r="F418" s="35"/>
      <c r="G418" s="35"/>
      <c r="H418" s="37"/>
      <c r="I418" s="35"/>
      <c r="J418" s="35"/>
      <c r="K418" s="37"/>
      <c r="L418" s="37"/>
      <c r="M418" s="37"/>
      <c r="N418" s="37"/>
      <c r="O418" s="37"/>
      <c r="P418" s="37"/>
      <c r="Q418" s="37"/>
      <c r="R418" s="37"/>
      <c r="S418" s="37"/>
      <c r="T418" s="37"/>
      <c r="U418" s="37"/>
      <c r="V418" s="37"/>
      <c r="W418" s="37"/>
      <c r="X418" s="37"/>
      <c r="Y418" s="37"/>
      <c r="Z418" s="37"/>
      <c r="AA418" s="37"/>
      <c r="AB418" s="37"/>
      <c r="AC418" s="37"/>
      <c r="AD418" s="37"/>
      <c r="AE418" s="37"/>
      <c r="AF418" s="37"/>
      <c r="AG418" s="37"/>
      <c r="AH418" s="37"/>
      <c r="AI418" s="37"/>
      <c r="AJ418" s="37"/>
      <c r="AK418" s="37"/>
      <c r="AL418" s="37"/>
      <c r="AM418" s="37"/>
      <c r="AN418" s="37"/>
      <c r="AO418" s="37"/>
      <c r="AP418" s="37"/>
      <c r="AQ418" s="37"/>
      <c r="AR418" s="37"/>
      <c r="AS418" s="37"/>
      <c r="AT418" s="37"/>
      <c r="AU418" s="37"/>
      <c r="AV418" s="37"/>
      <c r="AW418" s="37"/>
      <c r="AX418" s="37"/>
      <c r="AY418" s="37"/>
      <c r="AZ418" s="37"/>
      <c r="BA418" s="37"/>
      <c r="BB418" s="37"/>
    </row>
    <row r="419" spans="1:54" s="5" customFormat="1" x14ac:dyDescent="0.25">
      <c r="A419" s="32"/>
      <c r="B419" s="32"/>
      <c r="C419" s="32"/>
      <c r="D419" s="33"/>
      <c r="E419" s="33"/>
      <c r="F419" s="33"/>
      <c r="G419" s="33"/>
      <c r="H419" s="33"/>
      <c r="I419" s="33"/>
      <c r="J419" s="33"/>
      <c r="K419" s="33"/>
      <c r="L419" s="33"/>
      <c r="M419" s="33"/>
      <c r="N419" s="33"/>
      <c r="O419" s="33"/>
      <c r="P419" s="33"/>
      <c r="Q419" s="33"/>
      <c r="R419" s="33"/>
      <c r="S419" s="33"/>
      <c r="T419" s="33"/>
      <c r="U419" s="33"/>
      <c r="V419" s="33"/>
      <c r="W419" s="33"/>
      <c r="X419" s="33"/>
      <c r="Y419" s="33"/>
      <c r="Z419" s="33"/>
      <c r="AA419" s="33"/>
      <c r="AB419" s="33"/>
      <c r="AC419" s="33"/>
      <c r="AD419" s="33"/>
      <c r="AE419" s="33"/>
      <c r="AF419" s="33"/>
      <c r="AG419" s="33"/>
      <c r="AH419" s="33"/>
      <c r="AI419" s="33"/>
      <c r="AJ419" s="36"/>
      <c r="AK419" s="33"/>
      <c r="AL419" s="33"/>
      <c r="AM419" s="33"/>
      <c r="AN419" s="33"/>
      <c r="AO419" s="33"/>
      <c r="AP419" s="33"/>
      <c r="AQ419" s="33"/>
      <c r="AR419" s="33"/>
      <c r="AS419" s="33"/>
      <c r="AT419" s="33"/>
      <c r="AU419" s="36"/>
      <c r="AV419" s="36"/>
      <c r="AW419" s="36"/>
      <c r="AX419" s="33"/>
      <c r="AY419" s="36"/>
      <c r="AZ419" s="36"/>
      <c r="BA419" s="36"/>
      <c r="BB419" s="36"/>
    </row>
    <row r="420" spans="1:54" x14ac:dyDescent="0.25">
      <c r="A420" s="34"/>
      <c r="B420" s="34"/>
      <c r="C420" s="34"/>
      <c r="D420" s="35"/>
      <c r="E420" s="35"/>
      <c r="F420" s="35"/>
      <c r="G420" s="35"/>
      <c r="H420" s="35"/>
      <c r="I420" s="35"/>
      <c r="J420" s="35"/>
      <c r="K420" s="35"/>
      <c r="L420" s="35"/>
      <c r="M420" s="35"/>
      <c r="N420" s="35"/>
      <c r="O420" s="35"/>
      <c r="P420" s="35"/>
      <c r="Q420" s="35"/>
      <c r="R420" s="35"/>
      <c r="S420" s="35"/>
      <c r="T420" s="35"/>
      <c r="U420" s="35"/>
      <c r="V420" s="35"/>
      <c r="W420" s="35"/>
      <c r="X420" s="35"/>
      <c r="Y420" s="35"/>
      <c r="Z420" s="35"/>
      <c r="AA420" s="35"/>
      <c r="AB420" s="35"/>
      <c r="AC420" s="35"/>
      <c r="AD420" s="35"/>
      <c r="AE420" s="35"/>
      <c r="AF420" s="37"/>
      <c r="AG420" s="35"/>
      <c r="AH420" s="35"/>
      <c r="AI420" s="35"/>
      <c r="AJ420" s="35"/>
      <c r="AK420" s="35"/>
      <c r="AL420" s="35"/>
      <c r="AM420" s="35"/>
      <c r="AN420" s="35"/>
      <c r="AO420" s="35"/>
      <c r="AP420" s="35"/>
      <c r="AQ420" s="35"/>
      <c r="AR420" s="35"/>
      <c r="AS420" s="35"/>
      <c r="AT420" s="35"/>
      <c r="AU420" s="35"/>
      <c r="AV420" s="35"/>
      <c r="AW420" s="35"/>
      <c r="AX420" s="35"/>
      <c r="AY420" s="35"/>
      <c r="AZ420" s="35"/>
      <c r="BA420" s="35"/>
      <c r="BB420" s="35"/>
    </row>
    <row r="421" spans="1:54" s="5" customFormat="1" x14ac:dyDescent="0.25">
      <c r="A421" s="32"/>
      <c r="B421" s="32"/>
      <c r="C421" s="32"/>
      <c r="D421" s="33"/>
      <c r="E421" s="33"/>
      <c r="F421" s="33"/>
      <c r="G421" s="33"/>
      <c r="H421" s="33"/>
      <c r="I421" s="33"/>
      <c r="J421" s="36"/>
      <c r="K421" s="36"/>
      <c r="L421" s="36"/>
      <c r="M421" s="36"/>
      <c r="N421" s="36"/>
      <c r="O421" s="36"/>
      <c r="P421" s="36"/>
      <c r="Q421" s="36"/>
      <c r="R421" s="36"/>
      <c r="S421" s="36"/>
      <c r="T421" s="36"/>
      <c r="U421" s="36"/>
      <c r="V421" s="36"/>
      <c r="W421" s="36"/>
      <c r="X421" s="36"/>
      <c r="Y421" s="36"/>
      <c r="Z421" s="36"/>
      <c r="AA421" s="36"/>
      <c r="AB421" s="36"/>
      <c r="AC421" s="36"/>
      <c r="AD421" s="36"/>
      <c r="AE421" s="36"/>
      <c r="AF421" s="36"/>
      <c r="AG421" s="36"/>
      <c r="AH421" s="36"/>
      <c r="AI421" s="36"/>
      <c r="AJ421" s="36"/>
      <c r="AK421" s="36"/>
      <c r="AL421" s="36"/>
      <c r="AM421" s="36"/>
      <c r="AN421" s="36"/>
      <c r="AO421" s="36"/>
      <c r="AP421" s="36"/>
      <c r="AQ421" s="36"/>
      <c r="AR421" s="36"/>
      <c r="AS421" s="36"/>
      <c r="AT421" s="36"/>
      <c r="AU421" s="36"/>
      <c r="AV421" s="36"/>
      <c r="AW421" s="36"/>
      <c r="AX421" s="36"/>
      <c r="AY421" s="36"/>
      <c r="AZ421" s="36"/>
      <c r="BA421" s="36"/>
      <c r="BB421" s="36"/>
    </row>
    <row r="422" spans="1:54" x14ac:dyDescent="0.25">
      <c r="A422" s="34"/>
      <c r="B422" s="34"/>
      <c r="C422" s="34"/>
      <c r="D422" s="35"/>
      <c r="E422" s="35"/>
      <c r="F422" s="35"/>
      <c r="G422" s="35"/>
      <c r="H422" s="35"/>
      <c r="I422" s="37"/>
      <c r="J422" s="37"/>
      <c r="K422" s="37"/>
      <c r="L422" s="37"/>
      <c r="M422" s="37"/>
      <c r="N422" s="37"/>
      <c r="O422" s="37"/>
      <c r="P422" s="37"/>
      <c r="Q422" s="37"/>
      <c r="R422" s="37"/>
      <c r="S422" s="37"/>
      <c r="T422" s="37"/>
      <c r="U422" s="37"/>
      <c r="V422" s="37"/>
      <c r="W422" s="37"/>
      <c r="X422" s="37"/>
      <c r="Y422" s="37"/>
      <c r="Z422" s="37"/>
      <c r="AA422" s="37"/>
      <c r="AB422" s="37"/>
      <c r="AC422" s="37"/>
      <c r="AD422" s="37"/>
      <c r="AE422" s="37"/>
      <c r="AF422" s="37"/>
      <c r="AG422" s="37"/>
      <c r="AH422" s="37"/>
      <c r="AI422" s="37"/>
      <c r="AJ422" s="37"/>
      <c r="AK422" s="37"/>
      <c r="AL422" s="37"/>
      <c r="AM422" s="37"/>
      <c r="AN422" s="37"/>
      <c r="AO422" s="37"/>
      <c r="AP422" s="37"/>
      <c r="AQ422" s="37"/>
      <c r="AR422" s="37"/>
      <c r="AS422" s="37"/>
      <c r="AT422" s="37"/>
      <c r="AU422" s="37"/>
      <c r="AV422" s="37"/>
      <c r="AW422" s="37"/>
      <c r="AX422" s="37"/>
      <c r="AY422" s="37"/>
      <c r="AZ422" s="37"/>
      <c r="BA422" s="37"/>
      <c r="BB422" s="37"/>
    </row>
    <row r="423" spans="1:54" s="5" customFormat="1" x14ac:dyDescent="0.25">
      <c r="A423" s="32"/>
      <c r="B423" s="32"/>
      <c r="C423" s="32"/>
      <c r="D423" s="33"/>
      <c r="E423" s="33"/>
      <c r="F423" s="33"/>
      <c r="G423" s="33"/>
      <c r="H423" s="33"/>
      <c r="I423" s="33"/>
      <c r="J423" s="33"/>
      <c r="K423" s="33"/>
      <c r="L423" s="33"/>
      <c r="M423" s="33"/>
      <c r="N423" s="33"/>
      <c r="O423" s="33"/>
      <c r="P423" s="33"/>
      <c r="Q423" s="33"/>
      <c r="R423" s="33"/>
      <c r="S423" s="33"/>
      <c r="T423" s="33"/>
      <c r="U423" s="33"/>
      <c r="V423" s="33"/>
      <c r="W423" s="33"/>
      <c r="X423" s="33"/>
      <c r="Y423" s="33"/>
      <c r="Z423" s="33"/>
      <c r="AA423" s="33"/>
      <c r="AB423" s="33"/>
      <c r="AC423" s="33"/>
      <c r="AD423" s="33"/>
      <c r="AE423" s="33"/>
      <c r="AF423" s="33"/>
      <c r="AG423" s="33"/>
      <c r="AH423" s="33"/>
      <c r="AI423" s="33"/>
      <c r="AJ423" s="33"/>
      <c r="AK423" s="33"/>
      <c r="AL423" s="33"/>
      <c r="AM423" s="33"/>
      <c r="AN423" s="33"/>
      <c r="AO423" s="33"/>
      <c r="AP423" s="33"/>
      <c r="AQ423" s="33"/>
      <c r="AR423" s="33"/>
      <c r="AS423" s="33"/>
      <c r="AT423" s="33"/>
      <c r="AU423" s="33"/>
      <c r="AV423" s="33"/>
      <c r="AW423" s="33"/>
      <c r="AX423" s="33"/>
      <c r="AY423" s="33"/>
      <c r="AZ423" s="33"/>
      <c r="BA423" s="33"/>
      <c r="BB423" s="33"/>
    </row>
    <row r="424" spans="1:54" x14ac:dyDescent="0.25">
      <c r="A424" s="34"/>
      <c r="B424" s="34"/>
      <c r="C424" s="34"/>
      <c r="D424" s="35"/>
      <c r="E424" s="35"/>
      <c r="F424" s="35"/>
      <c r="G424" s="35"/>
      <c r="H424" s="35"/>
      <c r="I424" s="37"/>
      <c r="J424" s="37"/>
      <c r="K424" s="37"/>
      <c r="L424" s="37"/>
      <c r="M424" s="37"/>
      <c r="N424" s="37"/>
      <c r="O424" s="37"/>
      <c r="P424" s="37"/>
      <c r="Q424" s="37"/>
      <c r="R424" s="37"/>
      <c r="S424" s="37"/>
      <c r="T424" s="37"/>
      <c r="U424" s="37"/>
      <c r="V424" s="37"/>
      <c r="W424" s="37"/>
      <c r="X424" s="37"/>
      <c r="Y424" s="37"/>
      <c r="Z424" s="37"/>
      <c r="AA424" s="37"/>
      <c r="AB424" s="37"/>
      <c r="AC424" s="37"/>
      <c r="AD424" s="37"/>
      <c r="AE424" s="35"/>
      <c r="AF424" s="37"/>
      <c r="AG424" s="37"/>
      <c r="AH424" s="37"/>
      <c r="AI424" s="35"/>
      <c r="AJ424" s="35"/>
      <c r="AK424" s="35"/>
      <c r="AL424" s="35"/>
      <c r="AM424" s="35"/>
      <c r="AN424" s="35"/>
      <c r="AO424" s="35"/>
      <c r="AP424" s="35"/>
      <c r="AQ424" s="35"/>
      <c r="AR424" s="35"/>
      <c r="AS424" s="35"/>
      <c r="AT424" s="35"/>
      <c r="AU424" s="35"/>
      <c r="AV424" s="35"/>
      <c r="AW424" s="35"/>
      <c r="AX424" s="35"/>
      <c r="AY424" s="35"/>
      <c r="AZ424" s="35"/>
      <c r="BA424" s="37"/>
      <c r="BB424" s="35"/>
    </row>
    <row r="425" spans="1:54" s="5" customFormat="1" x14ac:dyDescent="0.25">
      <c r="A425" s="32"/>
      <c r="B425" s="32"/>
      <c r="C425" s="32"/>
      <c r="D425" s="33"/>
      <c r="E425" s="33"/>
      <c r="F425" s="33"/>
      <c r="G425" s="33"/>
      <c r="H425" s="33"/>
      <c r="I425" s="33"/>
      <c r="J425" s="33"/>
      <c r="K425" s="33"/>
      <c r="L425" s="33"/>
      <c r="M425" s="33"/>
      <c r="N425" s="33"/>
      <c r="O425" s="33"/>
      <c r="P425" s="33"/>
      <c r="Q425" s="33"/>
      <c r="R425" s="33"/>
      <c r="S425" s="33"/>
      <c r="T425" s="33"/>
      <c r="U425" s="33"/>
      <c r="V425" s="33"/>
      <c r="W425" s="36"/>
      <c r="X425" s="36"/>
      <c r="Y425" s="36"/>
      <c r="Z425" s="36"/>
      <c r="AA425" s="36"/>
      <c r="AB425" s="36"/>
      <c r="AC425" s="36"/>
      <c r="AD425" s="36"/>
      <c r="AE425" s="36"/>
      <c r="AF425" s="36"/>
      <c r="AG425" s="36"/>
      <c r="AH425" s="36"/>
      <c r="AI425" s="36"/>
      <c r="AJ425" s="36"/>
      <c r="AK425" s="36"/>
      <c r="AL425" s="36"/>
      <c r="AM425" s="36"/>
      <c r="AN425" s="36"/>
      <c r="AO425" s="36"/>
      <c r="AP425" s="36"/>
      <c r="AQ425" s="36"/>
      <c r="AR425" s="36"/>
      <c r="AS425" s="36"/>
      <c r="AT425" s="36"/>
      <c r="AU425" s="36"/>
      <c r="AV425" s="36"/>
      <c r="AW425" s="36"/>
      <c r="AX425" s="36"/>
      <c r="AY425" s="36"/>
      <c r="AZ425" s="36"/>
      <c r="BA425" s="36"/>
      <c r="BB425" s="36"/>
    </row>
    <row r="426" spans="1:54" x14ac:dyDescent="0.25">
      <c r="A426" s="34"/>
      <c r="B426" s="34"/>
      <c r="C426" s="34"/>
      <c r="D426" s="35"/>
      <c r="E426" s="35"/>
      <c r="F426" s="35"/>
      <c r="G426" s="35"/>
      <c r="H426" s="35"/>
      <c r="I426" s="35"/>
      <c r="J426" s="35"/>
      <c r="K426" s="35"/>
      <c r="L426" s="35"/>
      <c r="M426" s="35"/>
      <c r="N426" s="35"/>
      <c r="O426" s="35"/>
      <c r="P426" s="35"/>
      <c r="Q426" s="35"/>
      <c r="R426" s="35"/>
      <c r="S426" s="35"/>
      <c r="T426" s="35"/>
      <c r="U426" s="35"/>
      <c r="V426" s="35"/>
      <c r="W426" s="35"/>
      <c r="X426" s="35"/>
      <c r="Y426" s="35"/>
      <c r="Z426" s="35"/>
      <c r="AA426" s="35"/>
      <c r="AB426" s="35"/>
      <c r="AC426" s="35"/>
      <c r="AD426" s="35"/>
      <c r="AE426" s="35"/>
      <c r="AF426" s="35"/>
      <c r="AG426" s="35"/>
      <c r="AH426" s="35"/>
      <c r="AI426" s="35"/>
      <c r="AJ426" s="35"/>
      <c r="AK426" s="35"/>
      <c r="AL426" s="35"/>
      <c r="AM426" s="35"/>
      <c r="AN426" s="35"/>
      <c r="AO426" s="35"/>
      <c r="AP426" s="35"/>
      <c r="AQ426" s="35"/>
      <c r="AR426" s="35"/>
      <c r="AS426" s="35"/>
      <c r="AT426" s="35"/>
      <c r="AU426" s="35"/>
      <c r="AV426" s="35"/>
      <c r="AW426" s="35"/>
      <c r="AX426" s="35"/>
      <c r="AY426" s="35"/>
      <c r="AZ426" s="35"/>
      <c r="BA426" s="35"/>
      <c r="BB426" s="35"/>
    </row>
    <row r="427" spans="1:54" s="5" customFormat="1" x14ac:dyDescent="0.25">
      <c r="A427" s="32"/>
      <c r="B427" s="32"/>
      <c r="C427" s="32"/>
      <c r="D427" s="33"/>
      <c r="E427" s="33"/>
      <c r="F427" s="33"/>
      <c r="G427" s="33"/>
      <c r="H427" s="33"/>
      <c r="I427" s="33"/>
      <c r="J427" s="33"/>
      <c r="K427" s="33"/>
      <c r="L427" s="33"/>
      <c r="M427" s="33"/>
      <c r="N427" s="33"/>
      <c r="O427" s="33"/>
      <c r="P427" s="33"/>
      <c r="Q427" s="33"/>
      <c r="R427" s="33"/>
      <c r="S427" s="33"/>
      <c r="T427" s="33"/>
      <c r="U427" s="33"/>
      <c r="V427" s="33"/>
      <c r="W427" s="33"/>
      <c r="X427" s="33"/>
      <c r="Y427" s="33"/>
      <c r="Z427" s="33"/>
      <c r="AA427" s="33"/>
      <c r="AB427" s="33"/>
      <c r="AC427" s="33"/>
      <c r="AD427" s="36"/>
      <c r="AE427" s="33"/>
      <c r="AF427" s="36"/>
      <c r="AG427" s="36"/>
      <c r="AH427" s="36"/>
      <c r="AI427" s="36"/>
      <c r="AJ427" s="36"/>
      <c r="AK427" s="36"/>
      <c r="AL427" s="36"/>
      <c r="AM427" s="36"/>
      <c r="AN427" s="36"/>
      <c r="AO427" s="36"/>
      <c r="AP427" s="36"/>
      <c r="AQ427" s="36"/>
      <c r="AR427" s="36"/>
      <c r="AS427" s="36"/>
      <c r="AT427" s="36"/>
      <c r="AU427" s="36"/>
      <c r="AV427" s="36"/>
      <c r="AW427" s="36"/>
      <c r="AX427" s="36"/>
      <c r="AY427" s="36"/>
      <c r="AZ427" s="36"/>
      <c r="BA427" s="36"/>
      <c r="BB427" s="36"/>
    </row>
    <row r="428" spans="1:54" x14ac:dyDescent="0.25">
      <c r="A428" s="34"/>
      <c r="B428" s="34"/>
      <c r="C428" s="34"/>
      <c r="D428" s="35"/>
      <c r="E428" s="35"/>
      <c r="F428" s="35"/>
      <c r="G428" s="35"/>
      <c r="H428" s="35"/>
      <c r="I428" s="35"/>
      <c r="J428" s="35"/>
      <c r="K428" s="35"/>
      <c r="L428" s="35"/>
      <c r="M428" s="35"/>
      <c r="N428" s="35"/>
      <c r="O428" s="35"/>
      <c r="P428" s="35"/>
      <c r="Q428" s="35"/>
      <c r="R428" s="35"/>
      <c r="S428" s="35"/>
      <c r="T428" s="35"/>
      <c r="U428" s="35"/>
      <c r="V428" s="35"/>
      <c r="W428" s="35"/>
      <c r="X428" s="35"/>
      <c r="Y428" s="35"/>
      <c r="Z428" s="35"/>
      <c r="AA428" s="35"/>
      <c r="AB428" s="35"/>
      <c r="AC428" s="35"/>
      <c r="AD428" s="35"/>
      <c r="AE428" s="35"/>
      <c r="AF428" s="35"/>
      <c r="AG428" s="35"/>
      <c r="AH428" s="35"/>
      <c r="AI428" s="35"/>
      <c r="AJ428" s="35"/>
      <c r="AK428" s="35"/>
      <c r="AL428" s="35"/>
      <c r="AM428" s="35"/>
      <c r="AN428" s="35"/>
      <c r="AO428" s="35"/>
      <c r="AP428" s="35"/>
      <c r="AQ428" s="35"/>
      <c r="AR428" s="35"/>
      <c r="AS428" s="35"/>
      <c r="AT428" s="35"/>
      <c r="AU428" s="35"/>
      <c r="AV428" s="35"/>
      <c r="AW428" s="35"/>
      <c r="AX428" s="35"/>
      <c r="AY428" s="35"/>
      <c r="AZ428" s="35"/>
      <c r="BA428" s="35"/>
      <c r="BB428" s="35"/>
    </row>
    <row r="429" spans="1:54" s="5" customFormat="1" x14ac:dyDescent="0.25">
      <c r="A429" s="32"/>
      <c r="B429" s="32"/>
      <c r="C429" s="32"/>
      <c r="D429" s="33"/>
      <c r="E429" s="33"/>
      <c r="F429" s="33"/>
      <c r="G429" s="33"/>
      <c r="H429" s="33"/>
      <c r="I429" s="33"/>
      <c r="J429" s="33"/>
      <c r="K429" s="33"/>
      <c r="L429" s="33"/>
      <c r="M429" s="33"/>
      <c r="N429" s="33"/>
      <c r="O429" s="33"/>
      <c r="P429" s="33"/>
      <c r="Q429" s="33"/>
      <c r="R429" s="33"/>
      <c r="S429" s="33"/>
      <c r="T429" s="33"/>
      <c r="U429" s="33"/>
      <c r="V429" s="33"/>
      <c r="W429" s="33"/>
      <c r="X429" s="33"/>
      <c r="Y429" s="33"/>
      <c r="Z429" s="33"/>
      <c r="AA429" s="33"/>
      <c r="AB429" s="33"/>
      <c r="AC429" s="33"/>
      <c r="AD429" s="36"/>
      <c r="AE429" s="36"/>
      <c r="AF429" s="36"/>
      <c r="AG429" s="36"/>
      <c r="AH429" s="36"/>
      <c r="AI429" s="36"/>
      <c r="AJ429" s="36"/>
      <c r="AK429" s="36"/>
      <c r="AL429" s="36"/>
      <c r="AM429" s="36"/>
      <c r="AN429" s="36"/>
      <c r="AO429" s="36"/>
      <c r="AP429" s="36"/>
      <c r="AQ429" s="36"/>
      <c r="AR429" s="36"/>
      <c r="AS429" s="36"/>
      <c r="AT429" s="36"/>
      <c r="AU429" s="36"/>
      <c r="AV429" s="36"/>
      <c r="AW429" s="36"/>
      <c r="AX429" s="36"/>
      <c r="AY429" s="36"/>
      <c r="AZ429" s="36"/>
      <c r="BA429" s="36"/>
      <c r="BB429" s="36"/>
    </row>
    <row r="430" spans="1:54" x14ac:dyDescent="0.25">
      <c r="A430" s="34"/>
      <c r="B430" s="34"/>
      <c r="C430" s="34"/>
      <c r="D430" s="35"/>
      <c r="E430" s="35"/>
      <c r="F430" s="35"/>
      <c r="G430" s="35"/>
      <c r="H430" s="35"/>
      <c r="I430" s="35"/>
      <c r="J430" s="35"/>
      <c r="K430" s="35"/>
      <c r="L430" s="35"/>
      <c r="M430" s="35"/>
      <c r="N430" s="35"/>
      <c r="O430" s="35"/>
      <c r="P430" s="35"/>
      <c r="Q430" s="35"/>
      <c r="R430" s="35"/>
      <c r="S430" s="35"/>
      <c r="T430" s="35"/>
      <c r="U430" s="35"/>
      <c r="V430" s="35"/>
      <c r="W430" s="35"/>
      <c r="X430" s="35"/>
      <c r="Y430" s="35"/>
      <c r="Z430" s="35"/>
      <c r="AA430" s="35"/>
      <c r="AB430" s="35"/>
      <c r="AC430" s="35"/>
      <c r="AD430" s="35"/>
      <c r="AE430" s="35"/>
      <c r="AF430" s="35"/>
      <c r="AG430" s="35"/>
      <c r="AH430" s="35"/>
      <c r="AI430" s="35"/>
      <c r="AJ430" s="35"/>
      <c r="AK430" s="35"/>
      <c r="AL430" s="35"/>
      <c r="AM430" s="35"/>
      <c r="AN430" s="35"/>
      <c r="AO430" s="35"/>
      <c r="AP430" s="35"/>
      <c r="AQ430" s="35"/>
      <c r="AR430" s="35"/>
      <c r="AS430" s="35"/>
      <c r="AT430" s="35"/>
      <c r="AU430" s="35"/>
      <c r="AV430" s="35"/>
      <c r="AW430" s="35"/>
      <c r="AX430" s="35"/>
      <c r="AY430" s="35"/>
      <c r="AZ430" s="35"/>
      <c r="BA430" s="35"/>
      <c r="BB430" s="35"/>
    </row>
    <row r="431" spans="1:54" s="5" customFormat="1" x14ac:dyDescent="0.25">
      <c r="A431" s="32"/>
      <c r="B431" s="32"/>
      <c r="C431" s="32"/>
      <c r="D431" s="33"/>
      <c r="E431" s="33"/>
      <c r="F431" s="33"/>
      <c r="G431" s="33"/>
      <c r="H431" s="33"/>
      <c r="I431" s="33"/>
      <c r="J431" s="33"/>
      <c r="K431" s="33"/>
      <c r="L431" s="33"/>
      <c r="M431" s="33"/>
      <c r="N431" s="33"/>
      <c r="O431" s="33"/>
      <c r="P431" s="33"/>
      <c r="Q431" s="33"/>
      <c r="R431" s="33"/>
      <c r="S431" s="33"/>
      <c r="T431" s="33"/>
      <c r="U431" s="33"/>
      <c r="V431" s="33"/>
      <c r="W431" s="33"/>
      <c r="X431" s="33"/>
      <c r="Y431" s="33"/>
      <c r="Z431" s="33"/>
      <c r="AA431" s="33"/>
      <c r="AB431" s="33"/>
      <c r="AC431" s="33"/>
      <c r="AD431" s="33"/>
      <c r="AE431" s="33"/>
      <c r="AF431" s="33"/>
      <c r="AG431" s="33"/>
      <c r="AH431" s="33"/>
      <c r="AI431" s="33"/>
      <c r="AJ431" s="33"/>
      <c r="AK431" s="33"/>
      <c r="AL431" s="33"/>
      <c r="AM431" s="33"/>
      <c r="AN431" s="33"/>
      <c r="AO431" s="33"/>
      <c r="AP431" s="33"/>
      <c r="AQ431" s="36"/>
      <c r="AR431" s="36"/>
      <c r="AS431" s="36"/>
      <c r="AT431" s="36"/>
      <c r="AU431" s="36"/>
      <c r="AV431" s="36"/>
      <c r="AW431" s="36"/>
      <c r="AX431" s="36"/>
      <c r="AY431" s="36"/>
      <c r="AZ431" s="36"/>
      <c r="BA431" s="36"/>
      <c r="BB431" s="36"/>
    </row>
    <row r="432" spans="1:54" x14ac:dyDescent="0.25">
      <c r="A432" s="34"/>
      <c r="B432" s="34"/>
      <c r="C432" s="34"/>
      <c r="D432" s="35"/>
      <c r="E432" s="35"/>
      <c r="F432" s="35"/>
      <c r="G432" s="35"/>
      <c r="H432" s="35"/>
      <c r="I432" s="35"/>
      <c r="J432" s="35"/>
      <c r="K432" s="35"/>
      <c r="L432" s="35"/>
      <c r="M432" s="35"/>
      <c r="N432" s="35"/>
      <c r="O432" s="35"/>
      <c r="P432" s="35"/>
      <c r="Q432" s="35"/>
      <c r="R432" s="35"/>
      <c r="S432" s="35"/>
      <c r="T432" s="35"/>
      <c r="U432" s="35"/>
      <c r="V432" s="35"/>
      <c r="W432" s="35"/>
      <c r="X432" s="35"/>
      <c r="Y432" s="35"/>
      <c r="Z432" s="35"/>
      <c r="AA432" s="35"/>
      <c r="AB432" s="35"/>
      <c r="AC432" s="35"/>
      <c r="AD432" s="35"/>
      <c r="AE432" s="35"/>
      <c r="AF432" s="35"/>
      <c r="AG432" s="35"/>
      <c r="AH432" s="35"/>
      <c r="AI432" s="35"/>
      <c r="AJ432" s="35"/>
      <c r="AK432" s="35"/>
      <c r="AL432" s="35"/>
      <c r="AM432" s="35"/>
      <c r="AN432" s="35"/>
      <c r="AO432" s="35"/>
      <c r="AP432" s="35"/>
      <c r="AQ432" s="35"/>
      <c r="AR432" s="35"/>
      <c r="AS432" s="35"/>
      <c r="AT432" s="35"/>
      <c r="AU432" s="35"/>
      <c r="AV432" s="35"/>
      <c r="AW432" s="35"/>
      <c r="AX432" s="35"/>
      <c r="AY432" s="35"/>
      <c r="AZ432" s="35"/>
      <c r="BA432" s="35"/>
      <c r="BB432" s="35"/>
    </row>
    <row r="433" spans="1:54" s="5" customFormat="1" x14ac:dyDescent="0.25">
      <c r="A433" s="32"/>
      <c r="B433" s="32"/>
      <c r="C433" s="32"/>
      <c r="D433" s="33"/>
      <c r="E433" s="33"/>
      <c r="F433" s="33"/>
      <c r="G433" s="33"/>
      <c r="H433" s="33"/>
      <c r="I433" s="33"/>
      <c r="J433" s="33"/>
      <c r="K433" s="33"/>
      <c r="L433" s="33"/>
      <c r="M433" s="33"/>
      <c r="N433" s="33"/>
      <c r="O433" s="33"/>
      <c r="P433" s="33"/>
      <c r="Q433" s="33"/>
      <c r="R433" s="33"/>
      <c r="S433" s="33"/>
      <c r="T433" s="33"/>
      <c r="U433" s="33"/>
      <c r="V433" s="33"/>
      <c r="W433" s="33"/>
      <c r="X433" s="33"/>
      <c r="Y433" s="33"/>
      <c r="Z433" s="33"/>
      <c r="AA433" s="33"/>
      <c r="AB433" s="33"/>
      <c r="AC433" s="33"/>
      <c r="AD433" s="33"/>
      <c r="AE433" s="33"/>
      <c r="AF433" s="33"/>
      <c r="AG433" s="33"/>
      <c r="AH433" s="33"/>
      <c r="AI433" s="33"/>
      <c r="AJ433" s="33"/>
      <c r="AK433" s="33"/>
      <c r="AL433" s="33"/>
      <c r="AM433" s="33"/>
      <c r="AN433" s="33"/>
      <c r="AO433" s="33"/>
      <c r="AP433" s="36"/>
      <c r="AQ433" s="36"/>
      <c r="AR433" s="36"/>
      <c r="AS433" s="36"/>
      <c r="AT433" s="36"/>
      <c r="AU433" s="36"/>
      <c r="AV433" s="36"/>
      <c r="AW433" s="36"/>
      <c r="AX433" s="36"/>
      <c r="AY433" s="36"/>
      <c r="AZ433" s="36"/>
      <c r="BA433" s="36"/>
      <c r="BB433" s="36"/>
    </row>
    <row r="434" spans="1:54" x14ac:dyDescent="0.25">
      <c r="A434" s="34"/>
      <c r="B434" s="34"/>
      <c r="C434" s="34"/>
      <c r="D434" s="37"/>
      <c r="E434" s="37"/>
      <c r="F434" s="37"/>
      <c r="G434" s="37"/>
      <c r="H434" s="37"/>
      <c r="I434" s="37"/>
      <c r="J434" s="37"/>
      <c r="K434" s="37"/>
      <c r="L434" s="37"/>
      <c r="M434" s="37"/>
      <c r="N434" s="37"/>
      <c r="O434" s="37"/>
      <c r="P434" s="37"/>
      <c r="Q434" s="37"/>
      <c r="R434" s="37"/>
      <c r="S434" s="37"/>
      <c r="T434" s="37"/>
      <c r="U434" s="37"/>
      <c r="V434" s="37"/>
      <c r="W434" s="37"/>
      <c r="X434" s="37"/>
      <c r="Y434" s="37"/>
      <c r="Z434" s="37"/>
      <c r="AA434" s="37"/>
      <c r="AB434" s="37"/>
      <c r="AC434" s="37"/>
      <c r="AD434" s="37"/>
      <c r="AE434" s="37"/>
      <c r="AF434" s="37"/>
      <c r="AG434" s="37"/>
      <c r="AH434" s="37"/>
      <c r="AI434" s="37"/>
      <c r="AJ434" s="37"/>
      <c r="AK434" s="37"/>
      <c r="AL434" s="37"/>
      <c r="AM434" s="37"/>
      <c r="AN434" s="37"/>
      <c r="AO434" s="37"/>
      <c r="AP434" s="37"/>
      <c r="AQ434" s="37"/>
      <c r="AR434" s="37"/>
      <c r="AS434" s="37"/>
      <c r="AT434" s="37"/>
      <c r="AU434" s="37"/>
      <c r="AV434" s="37"/>
      <c r="AW434" s="37"/>
      <c r="AX434" s="37"/>
      <c r="AY434" s="37"/>
      <c r="AZ434" s="37"/>
      <c r="BA434" s="37"/>
      <c r="BB434" s="37"/>
    </row>
    <row r="435" spans="1:54" s="5" customFormat="1" x14ac:dyDescent="0.25">
      <c r="A435" s="32"/>
      <c r="B435" s="32"/>
      <c r="C435" s="32"/>
      <c r="D435" s="33"/>
      <c r="E435" s="33"/>
      <c r="F435" s="33"/>
      <c r="G435" s="33"/>
      <c r="H435" s="33"/>
      <c r="I435" s="33"/>
      <c r="J435" s="33"/>
      <c r="K435" s="33"/>
      <c r="L435" s="33"/>
      <c r="M435" s="33"/>
      <c r="N435" s="33"/>
      <c r="O435" s="33"/>
      <c r="P435" s="33"/>
      <c r="Q435" s="33"/>
      <c r="R435" s="33"/>
      <c r="S435" s="33"/>
      <c r="T435" s="33"/>
      <c r="U435" s="33"/>
      <c r="V435" s="33"/>
      <c r="W435" s="33"/>
      <c r="X435" s="33"/>
      <c r="Y435" s="33"/>
      <c r="Z435" s="33"/>
      <c r="AA435" s="33"/>
      <c r="AB435" s="33"/>
      <c r="AC435" s="33"/>
      <c r="AD435" s="33"/>
      <c r="AE435" s="33"/>
      <c r="AF435" s="33"/>
      <c r="AG435" s="33"/>
      <c r="AH435" s="33"/>
      <c r="AI435" s="33"/>
      <c r="AJ435" s="33"/>
      <c r="AK435" s="33"/>
      <c r="AL435" s="33"/>
      <c r="AM435" s="33"/>
      <c r="AN435" s="33"/>
      <c r="AO435" s="33"/>
      <c r="AP435" s="33"/>
      <c r="AQ435" s="33"/>
      <c r="AR435" s="33"/>
      <c r="AS435" s="33"/>
      <c r="AT435" s="33"/>
      <c r="AU435" s="33"/>
      <c r="AV435" s="33"/>
      <c r="AW435" s="33"/>
      <c r="AX435" s="33"/>
      <c r="AY435" s="33"/>
      <c r="AZ435" s="33"/>
      <c r="BA435" s="33"/>
      <c r="BB435" s="33"/>
    </row>
    <row r="436" spans="1:54" x14ac:dyDescent="0.25">
      <c r="A436" s="34"/>
      <c r="B436" s="34"/>
      <c r="C436" s="34"/>
      <c r="D436" s="37"/>
      <c r="E436" s="37"/>
      <c r="F436" s="37"/>
      <c r="G436" s="37"/>
      <c r="H436" s="37"/>
      <c r="I436" s="37"/>
      <c r="J436" s="37"/>
      <c r="K436" s="37"/>
      <c r="L436" s="37"/>
      <c r="M436" s="37"/>
      <c r="N436" s="37"/>
      <c r="O436" s="37"/>
      <c r="P436" s="35"/>
      <c r="Q436" s="37"/>
      <c r="R436" s="35"/>
      <c r="S436" s="37"/>
      <c r="T436" s="37"/>
      <c r="U436" s="37"/>
      <c r="V436" s="37"/>
      <c r="W436" s="37"/>
      <c r="X436" s="37"/>
      <c r="Y436" s="37"/>
      <c r="Z436" s="37"/>
      <c r="AA436" s="37"/>
      <c r="AB436" s="37"/>
      <c r="AC436" s="37"/>
      <c r="AD436" s="37"/>
      <c r="AE436" s="37"/>
      <c r="AF436" s="37"/>
      <c r="AG436" s="37"/>
      <c r="AH436" s="37"/>
      <c r="AI436" s="37"/>
      <c r="AJ436" s="37"/>
      <c r="AK436" s="37"/>
      <c r="AL436" s="37"/>
      <c r="AM436" s="37"/>
      <c r="AN436" s="37"/>
      <c r="AO436" s="37"/>
      <c r="AP436" s="37"/>
      <c r="AQ436" s="37"/>
      <c r="AR436" s="37"/>
      <c r="AS436" s="37"/>
      <c r="AT436" s="37"/>
      <c r="AU436" s="37"/>
      <c r="AV436" s="37"/>
      <c r="AW436" s="37"/>
      <c r="AX436" s="37"/>
      <c r="AY436" s="37"/>
      <c r="AZ436" s="37"/>
      <c r="BA436" s="37"/>
      <c r="BB436" s="37"/>
    </row>
    <row r="437" spans="1:54" s="5" customFormat="1" x14ac:dyDescent="0.25">
      <c r="A437" s="32"/>
      <c r="B437" s="32"/>
      <c r="C437" s="32"/>
      <c r="D437" s="36"/>
      <c r="E437" s="36"/>
      <c r="F437" s="36"/>
      <c r="G437" s="36"/>
      <c r="H437" s="36"/>
      <c r="I437" s="36"/>
      <c r="J437" s="36"/>
      <c r="K437" s="36"/>
      <c r="L437" s="36"/>
      <c r="M437" s="36"/>
      <c r="N437" s="36"/>
      <c r="O437" s="36"/>
      <c r="P437" s="36"/>
      <c r="Q437" s="36"/>
      <c r="R437" s="36"/>
      <c r="S437" s="36"/>
      <c r="T437" s="36"/>
      <c r="U437" s="36"/>
      <c r="V437" s="36"/>
      <c r="W437" s="36"/>
      <c r="X437" s="36"/>
      <c r="Y437" s="36"/>
      <c r="Z437" s="36"/>
      <c r="AA437" s="36"/>
      <c r="AB437" s="36"/>
      <c r="AC437" s="36"/>
      <c r="AD437" s="36"/>
      <c r="AE437" s="36"/>
      <c r="AF437" s="36"/>
      <c r="AG437" s="36"/>
      <c r="AH437" s="36"/>
      <c r="AI437" s="36"/>
      <c r="AJ437" s="36"/>
      <c r="AK437" s="36"/>
      <c r="AL437" s="36"/>
      <c r="AM437" s="36"/>
      <c r="AN437" s="36"/>
      <c r="AO437" s="36"/>
      <c r="AP437" s="36"/>
      <c r="AQ437" s="36"/>
      <c r="AR437" s="36"/>
      <c r="AS437" s="36"/>
      <c r="AT437" s="36"/>
      <c r="AU437" s="36"/>
      <c r="AV437" s="36"/>
      <c r="AW437" s="36"/>
      <c r="AX437" s="36"/>
      <c r="AY437" s="36"/>
      <c r="AZ437" s="36"/>
      <c r="BA437" s="36"/>
      <c r="BB437" s="36"/>
    </row>
    <row r="438" spans="1:54" x14ac:dyDescent="0.25">
      <c r="A438" s="34"/>
      <c r="B438" s="34"/>
      <c r="C438" s="34"/>
      <c r="D438" s="35"/>
      <c r="E438" s="35"/>
      <c r="F438" s="35"/>
      <c r="G438" s="35"/>
      <c r="H438" s="35"/>
      <c r="I438" s="35"/>
      <c r="J438" s="35"/>
      <c r="K438" s="35"/>
      <c r="L438" s="35"/>
      <c r="M438" s="35"/>
      <c r="N438" s="35"/>
      <c r="O438" s="35"/>
      <c r="P438" s="35"/>
      <c r="Q438" s="35"/>
      <c r="R438" s="35"/>
      <c r="S438" s="35"/>
      <c r="T438" s="35"/>
      <c r="U438" s="35"/>
      <c r="V438" s="35"/>
      <c r="W438" s="35"/>
      <c r="X438" s="35"/>
      <c r="Y438" s="35"/>
      <c r="Z438" s="35"/>
      <c r="AA438" s="35"/>
      <c r="AB438" s="35"/>
      <c r="AC438" s="35"/>
      <c r="AD438" s="35"/>
      <c r="AE438" s="35"/>
      <c r="AF438" s="35"/>
      <c r="AG438" s="35"/>
      <c r="AH438" s="35"/>
      <c r="AI438" s="35"/>
      <c r="AJ438" s="35"/>
      <c r="AK438" s="35"/>
      <c r="AL438" s="35"/>
      <c r="AM438" s="35"/>
      <c r="AN438" s="35"/>
      <c r="AO438" s="35"/>
      <c r="AP438" s="35"/>
      <c r="AQ438" s="35"/>
      <c r="AR438" s="35"/>
      <c r="AS438" s="35"/>
      <c r="AT438" s="35"/>
      <c r="AU438" s="35"/>
      <c r="AV438" s="35"/>
      <c r="AW438" s="35"/>
      <c r="AX438" s="35"/>
      <c r="AY438" s="35"/>
      <c r="AZ438" s="35"/>
      <c r="BA438" s="35"/>
      <c r="BB438" s="35"/>
    </row>
    <row r="439" spans="1:54" s="5" customFormat="1" x14ac:dyDescent="0.25">
      <c r="A439" s="32"/>
      <c r="B439" s="32"/>
      <c r="C439" s="32"/>
      <c r="D439" s="33"/>
      <c r="E439" s="33"/>
      <c r="F439" s="33"/>
      <c r="G439" s="33"/>
      <c r="H439" s="33"/>
      <c r="I439" s="33"/>
      <c r="J439" s="33"/>
      <c r="K439" s="33"/>
      <c r="L439" s="33"/>
      <c r="M439" s="33"/>
      <c r="N439" s="33"/>
      <c r="O439" s="33"/>
      <c r="P439" s="33"/>
      <c r="Q439" s="33"/>
      <c r="R439" s="33"/>
      <c r="S439" s="33"/>
      <c r="T439" s="33"/>
      <c r="U439" s="33"/>
      <c r="V439" s="33"/>
      <c r="W439" s="33"/>
      <c r="X439" s="33"/>
      <c r="Y439" s="33"/>
      <c r="Z439" s="33"/>
      <c r="AA439" s="33"/>
      <c r="AB439" s="33"/>
      <c r="AC439" s="33"/>
      <c r="AD439" s="33"/>
      <c r="AE439" s="33"/>
      <c r="AF439" s="33"/>
      <c r="AG439" s="33"/>
      <c r="AH439" s="33"/>
      <c r="AI439" s="33"/>
      <c r="AJ439" s="33"/>
      <c r="AK439" s="33"/>
      <c r="AL439" s="33"/>
      <c r="AM439" s="33"/>
      <c r="AN439" s="33"/>
      <c r="AO439" s="33"/>
      <c r="AP439" s="33"/>
      <c r="AQ439" s="33"/>
      <c r="AR439" s="33"/>
      <c r="AS439" s="33"/>
      <c r="AT439" s="33"/>
      <c r="AU439" s="33"/>
      <c r="AV439" s="33"/>
      <c r="AW439" s="33"/>
      <c r="AX439" s="33"/>
      <c r="AY439" s="33"/>
      <c r="AZ439" s="33"/>
      <c r="BA439" s="33"/>
      <c r="BB439" s="33"/>
    </row>
    <row r="440" spans="1:54" x14ac:dyDescent="0.25">
      <c r="A440" s="34"/>
      <c r="B440" s="34"/>
      <c r="C440" s="34"/>
      <c r="D440" s="35"/>
      <c r="E440" s="35"/>
      <c r="F440" s="35"/>
      <c r="G440" s="35"/>
      <c r="H440" s="35"/>
      <c r="I440" s="35"/>
      <c r="J440" s="35"/>
      <c r="K440" s="35"/>
      <c r="L440" s="35"/>
      <c r="M440" s="35"/>
      <c r="N440" s="35"/>
      <c r="O440" s="35"/>
      <c r="P440" s="35"/>
      <c r="Q440" s="35"/>
      <c r="R440" s="35"/>
      <c r="S440" s="35"/>
      <c r="T440" s="35"/>
      <c r="U440" s="35"/>
      <c r="V440" s="35"/>
      <c r="W440" s="35"/>
      <c r="X440" s="35"/>
      <c r="Y440" s="35"/>
      <c r="Z440" s="35"/>
      <c r="AA440" s="35"/>
      <c r="AB440" s="35"/>
      <c r="AC440" s="35"/>
      <c r="AD440" s="35"/>
      <c r="AE440" s="35"/>
      <c r="AF440" s="35"/>
      <c r="AG440" s="35"/>
      <c r="AH440" s="35"/>
      <c r="AI440" s="35"/>
      <c r="AJ440" s="35"/>
      <c r="AK440" s="35"/>
      <c r="AL440" s="35"/>
      <c r="AM440" s="35"/>
      <c r="AN440" s="35"/>
      <c r="AO440" s="35"/>
      <c r="AP440" s="35"/>
      <c r="AQ440" s="35"/>
      <c r="AR440" s="35"/>
      <c r="AS440" s="35"/>
      <c r="AT440" s="35"/>
      <c r="AU440" s="35"/>
      <c r="AV440" s="35"/>
      <c r="AW440" s="35"/>
      <c r="AX440" s="35"/>
      <c r="AY440" s="35"/>
      <c r="AZ440" s="35"/>
      <c r="BA440" s="35"/>
      <c r="BB440" s="35"/>
    </row>
    <row r="441" spans="1:54" s="5" customFormat="1" x14ac:dyDescent="0.25">
      <c r="A441" s="32"/>
      <c r="B441" s="32"/>
      <c r="C441" s="32"/>
      <c r="D441" s="33"/>
      <c r="E441" s="33"/>
      <c r="F441" s="33"/>
      <c r="G441" s="33"/>
      <c r="H441" s="33"/>
      <c r="I441" s="33"/>
      <c r="J441" s="33"/>
      <c r="K441" s="33"/>
      <c r="L441" s="33"/>
      <c r="M441" s="33"/>
      <c r="N441" s="33"/>
      <c r="O441" s="33"/>
      <c r="P441" s="33"/>
      <c r="Q441" s="33"/>
      <c r="R441" s="33"/>
      <c r="S441" s="33"/>
      <c r="T441" s="33"/>
      <c r="U441" s="33"/>
      <c r="V441" s="33"/>
      <c r="W441" s="33"/>
      <c r="X441" s="33"/>
      <c r="Y441" s="33"/>
      <c r="Z441" s="33"/>
      <c r="AA441" s="33"/>
      <c r="AB441" s="33"/>
      <c r="AC441" s="33"/>
      <c r="AD441" s="33"/>
      <c r="AE441" s="33"/>
      <c r="AF441" s="33"/>
      <c r="AG441" s="33"/>
      <c r="AH441" s="33"/>
      <c r="AI441" s="33"/>
      <c r="AJ441" s="33"/>
      <c r="AK441" s="33"/>
      <c r="AL441" s="33"/>
      <c r="AM441" s="33"/>
      <c r="AN441" s="33"/>
      <c r="AO441" s="33"/>
      <c r="AP441" s="33"/>
      <c r="AQ441" s="33"/>
      <c r="AR441" s="33"/>
      <c r="AS441" s="33"/>
      <c r="AT441" s="33"/>
      <c r="AU441" s="33"/>
      <c r="AV441" s="33"/>
      <c r="AW441" s="33"/>
      <c r="AX441" s="33"/>
      <c r="AY441" s="33"/>
      <c r="AZ441" s="33"/>
      <c r="BA441" s="33"/>
      <c r="BB441" s="33"/>
    </row>
    <row r="442" spans="1:54" x14ac:dyDescent="0.25">
      <c r="A442" s="32"/>
      <c r="B442" s="32"/>
      <c r="C442" s="32"/>
      <c r="D442" s="33"/>
      <c r="E442" s="33"/>
      <c r="F442" s="33"/>
      <c r="G442" s="33"/>
      <c r="H442" s="33"/>
      <c r="I442" s="33"/>
      <c r="J442" s="33"/>
      <c r="K442" s="33"/>
      <c r="L442" s="33"/>
      <c r="M442" s="33"/>
      <c r="N442" s="33"/>
      <c r="O442" s="33"/>
      <c r="P442" s="33"/>
      <c r="Q442" s="33"/>
      <c r="R442" s="36"/>
      <c r="S442" s="36"/>
      <c r="T442" s="36"/>
      <c r="U442" s="36"/>
      <c r="V442" s="36"/>
      <c r="W442" s="36"/>
      <c r="X442" s="36"/>
      <c r="Y442" s="36"/>
      <c r="Z442" s="36"/>
      <c r="AA442" s="36"/>
      <c r="AB442" s="36"/>
      <c r="AC442" s="36"/>
      <c r="AD442" s="36"/>
      <c r="AE442" s="36"/>
      <c r="AF442" s="36"/>
      <c r="AG442" s="36"/>
      <c r="AH442" s="36"/>
      <c r="AI442" s="36"/>
      <c r="AJ442" s="36"/>
      <c r="AK442" s="36"/>
      <c r="AL442" s="36"/>
      <c r="AM442" s="36"/>
      <c r="AN442" s="36"/>
      <c r="AO442" s="36"/>
      <c r="AP442" s="36"/>
      <c r="AQ442" s="36"/>
      <c r="AR442" s="36"/>
      <c r="AS442" s="36"/>
      <c r="AT442" s="36"/>
      <c r="AU442" s="36"/>
      <c r="AV442" s="36"/>
      <c r="AW442" s="36"/>
      <c r="AX442" s="36"/>
      <c r="AY442" s="36"/>
      <c r="AZ442" s="36"/>
      <c r="BA442" s="36"/>
      <c r="BB442" s="36"/>
    </row>
    <row r="443" spans="1:54" s="5" customFormat="1" x14ac:dyDescent="0.25">
      <c r="A443" s="32"/>
      <c r="B443" s="34"/>
      <c r="C443" s="34"/>
      <c r="D443" s="35"/>
      <c r="E443" s="35"/>
      <c r="F443" s="35"/>
      <c r="G443" s="35"/>
      <c r="H443" s="35"/>
      <c r="I443" s="35"/>
      <c r="J443" s="35"/>
      <c r="K443" s="35"/>
      <c r="L443" s="35"/>
      <c r="M443" s="35"/>
      <c r="N443" s="35"/>
      <c r="O443" s="35"/>
      <c r="P443" s="35"/>
      <c r="Q443" s="35"/>
      <c r="R443" s="35"/>
      <c r="S443" s="35"/>
      <c r="T443" s="35"/>
      <c r="U443" s="35"/>
      <c r="V443" s="35"/>
      <c r="W443" s="35"/>
      <c r="X443" s="35"/>
      <c r="Y443" s="35"/>
      <c r="Z443" s="35"/>
      <c r="AA443" s="35"/>
      <c r="AB443" s="35"/>
      <c r="AC443" s="35"/>
      <c r="AD443" s="35"/>
      <c r="AE443" s="35"/>
      <c r="AF443" s="35"/>
      <c r="AG443" s="35"/>
      <c r="AH443" s="35"/>
      <c r="AI443" s="35"/>
      <c r="AJ443" s="35"/>
      <c r="AK443" s="35"/>
      <c r="AL443" s="35"/>
      <c r="AM443" s="35"/>
      <c r="AN443" s="35"/>
      <c r="AO443" s="35"/>
      <c r="AP443" s="35"/>
      <c r="AQ443" s="35"/>
      <c r="AR443" s="35"/>
      <c r="AS443" s="35"/>
      <c r="AT443" s="35"/>
      <c r="AU443" s="35"/>
      <c r="AV443" s="35"/>
      <c r="AW443" s="35"/>
      <c r="AX443" s="35"/>
      <c r="AY443" s="35"/>
      <c r="AZ443" s="35"/>
      <c r="BA443" s="35"/>
      <c r="BB443" s="35"/>
    </row>
    <row r="444" spans="1:54" x14ac:dyDescent="0.25">
      <c r="A444" s="32"/>
      <c r="B444" s="32"/>
      <c r="C444" s="32"/>
      <c r="D444" s="33"/>
      <c r="E444" s="33"/>
      <c r="F444" s="33"/>
      <c r="G444" s="33"/>
      <c r="H444" s="33"/>
      <c r="I444" s="33"/>
      <c r="J444" s="33"/>
      <c r="K444" s="33"/>
      <c r="L444" s="33"/>
      <c r="M444" s="33"/>
      <c r="N444" s="33"/>
      <c r="O444" s="33"/>
      <c r="P444" s="33"/>
      <c r="Q444" s="33"/>
      <c r="R444" s="33"/>
      <c r="S444" s="36"/>
      <c r="T444" s="36"/>
      <c r="U444" s="36"/>
      <c r="V444" s="36"/>
      <c r="W444" s="33"/>
      <c r="X444" s="36"/>
      <c r="Y444" s="36"/>
      <c r="Z444" s="36"/>
      <c r="AA444" s="36"/>
      <c r="AB444" s="36"/>
      <c r="AC444" s="36"/>
      <c r="AD444" s="36"/>
      <c r="AE444" s="36"/>
      <c r="AF444" s="36"/>
      <c r="AG444" s="36"/>
      <c r="AH444" s="36"/>
      <c r="AI444" s="36"/>
      <c r="AJ444" s="36"/>
      <c r="AK444" s="36"/>
      <c r="AL444" s="36"/>
      <c r="AM444" s="36"/>
      <c r="AN444" s="36"/>
      <c r="AO444" s="36"/>
      <c r="AP444" s="36"/>
      <c r="AQ444" s="36"/>
      <c r="AR444" s="36"/>
      <c r="AS444" s="36"/>
      <c r="AT444" s="36"/>
      <c r="AU444" s="36"/>
      <c r="AV444" s="36"/>
      <c r="AW444" s="36"/>
      <c r="AX444" s="36"/>
      <c r="AY444" s="36"/>
      <c r="AZ444" s="36"/>
      <c r="BA444" s="36"/>
      <c r="BB444" s="36"/>
    </row>
    <row r="445" spans="1:54" s="5" customFormat="1" x14ac:dyDescent="0.25">
      <c r="A445" s="32"/>
      <c r="B445" s="34"/>
      <c r="C445" s="34"/>
      <c r="D445" s="35"/>
      <c r="E445" s="35"/>
      <c r="F445" s="35"/>
      <c r="G445" s="35"/>
      <c r="H445" s="35"/>
      <c r="I445" s="35"/>
      <c r="J445" s="35"/>
      <c r="K445" s="35"/>
      <c r="L445" s="35"/>
      <c r="M445" s="35"/>
      <c r="N445" s="35"/>
      <c r="O445" s="35"/>
      <c r="P445" s="35"/>
      <c r="Q445" s="35"/>
      <c r="R445" s="35"/>
      <c r="S445" s="35"/>
      <c r="T445" s="35"/>
      <c r="U445" s="35"/>
      <c r="V445" s="35"/>
      <c r="W445" s="35"/>
      <c r="X445" s="35"/>
      <c r="Y445" s="35"/>
      <c r="Z445" s="35"/>
      <c r="AA445" s="35"/>
      <c r="AB445" s="35"/>
      <c r="AC445" s="35"/>
      <c r="AD445" s="35"/>
      <c r="AE445" s="35"/>
      <c r="AF445" s="35"/>
      <c r="AG445" s="37"/>
      <c r="AH445" s="37"/>
      <c r="AI445" s="37"/>
      <c r="AJ445" s="37"/>
      <c r="AK445" s="37"/>
      <c r="AL445" s="37"/>
      <c r="AM445" s="37"/>
      <c r="AN445" s="37"/>
      <c r="AO445" s="37"/>
      <c r="AP445" s="37"/>
      <c r="AQ445" s="37"/>
      <c r="AR445" s="37"/>
      <c r="AS445" s="37"/>
      <c r="AT445" s="37"/>
      <c r="AU445" s="37"/>
      <c r="AV445" s="37"/>
      <c r="AW445" s="37"/>
      <c r="AX445" s="37"/>
      <c r="AY445" s="37"/>
      <c r="AZ445" s="37"/>
      <c r="BA445" s="37"/>
      <c r="BB445" s="37"/>
    </row>
    <row r="446" spans="1:54" s="5" customFormat="1" x14ac:dyDescent="0.25">
      <c r="A446" s="32"/>
      <c r="B446" s="32"/>
      <c r="C446" s="32"/>
      <c r="D446" s="33"/>
      <c r="E446" s="33"/>
      <c r="F446" s="33"/>
      <c r="G446" s="33"/>
      <c r="H446" s="33"/>
      <c r="I446" s="33"/>
      <c r="J446" s="33"/>
      <c r="K446" s="33"/>
      <c r="L446" s="33"/>
      <c r="M446" s="33"/>
      <c r="N446" s="33"/>
      <c r="O446" s="33"/>
      <c r="P446" s="33"/>
      <c r="Q446" s="33"/>
      <c r="R446" s="33"/>
      <c r="S446" s="33"/>
      <c r="T446" s="33"/>
      <c r="U446" s="33"/>
      <c r="V446" s="33"/>
      <c r="W446" s="33"/>
      <c r="X446" s="33"/>
      <c r="Y446" s="33"/>
      <c r="Z446" s="33"/>
      <c r="AA446" s="33"/>
      <c r="AB446" s="33"/>
      <c r="AC446" s="33"/>
      <c r="AD446" s="33"/>
      <c r="AE446" s="33"/>
      <c r="AF446" s="33"/>
      <c r="AG446" s="33"/>
      <c r="AH446" s="33"/>
      <c r="AI446" s="33"/>
      <c r="AJ446" s="33"/>
      <c r="AK446" s="33"/>
      <c r="AL446" s="33"/>
      <c r="AM446" s="33"/>
      <c r="AN446" s="33"/>
      <c r="AO446" s="33"/>
      <c r="AP446" s="33"/>
      <c r="AQ446" s="33"/>
      <c r="AR446" s="33"/>
      <c r="AS446" s="33"/>
      <c r="AT446" s="33"/>
      <c r="AU446" s="36"/>
      <c r="AV446" s="36"/>
      <c r="AW446" s="36"/>
      <c r="AX446" s="36"/>
      <c r="AY446" s="36"/>
      <c r="AZ446" s="36"/>
      <c r="BA446" s="36"/>
      <c r="BB446" s="36"/>
    </row>
    <row r="447" spans="1:54" x14ac:dyDescent="0.25">
      <c r="A447" s="34"/>
      <c r="B447" s="34"/>
      <c r="C447" s="34"/>
      <c r="D447" s="35"/>
      <c r="E447" s="35"/>
      <c r="F447" s="35"/>
      <c r="G447" s="35"/>
      <c r="H447" s="35"/>
      <c r="I447" s="35"/>
      <c r="J447" s="35"/>
      <c r="K447" s="35"/>
      <c r="L447" s="35"/>
      <c r="M447" s="35"/>
      <c r="N447" s="35"/>
      <c r="O447" s="35"/>
      <c r="P447" s="35"/>
      <c r="Q447" s="35"/>
      <c r="R447" s="35"/>
      <c r="S447" s="35"/>
      <c r="T447" s="35"/>
      <c r="U447" s="35"/>
      <c r="V447" s="35"/>
      <c r="W447" s="35"/>
      <c r="X447" s="35"/>
      <c r="Y447" s="35"/>
      <c r="Z447" s="35"/>
      <c r="AA447" s="35"/>
      <c r="AB447" s="35"/>
      <c r="AC447" s="35"/>
      <c r="AD447" s="35"/>
      <c r="AE447" s="35"/>
      <c r="AF447" s="35"/>
      <c r="AG447" s="35"/>
      <c r="AH447" s="35"/>
      <c r="AI447" s="35"/>
      <c r="AJ447" s="35"/>
      <c r="AK447" s="35"/>
      <c r="AL447" s="35"/>
      <c r="AM447" s="35"/>
      <c r="AN447" s="35"/>
      <c r="AO447" s="35"/>
      <c r="AP447" s="35"/>
      <c r="AQ447" s="35"/>
      <c r="AR447" s="35"/>
      <c r="AS447" s="35"/>
      <c r="AT447" s="35"/>
      <c r="AU447" s="35"/>
      <c r="AV447" s="35"/>
      <c r="AW447" s="35"/>
      <c r="AX447" s="35"/>
      <c r="AY447" s="35"/>
      <c r="AZ447" s="35"/>
      <c r="BA447" s="35"/>
      <c r="BB447" s="35"/>
    </row>
    <row r="448" spans="1:54" s="5" customFormat="1" x14ac:dyDescent="0.25">
      <c r="A448" s="32"/>
      <c r="B448" s="32"/>
      <c r="C448" s="32"/>
      <c r="D448" s="33"/>
      <c r="E448" s="33"/>
      <c r="F448" s="33"/>
      <c r="G448" s="33"/>
      <c r="H448" s="33"/>
      <c r="I448" s="33"/>
      <c r="J448" s="33"/>
      <c r="K448" s="33"/>
      <c r="L448" s="33"/>
      <c r="M448" s="33"/>
      <c r="N448" s="33"/>
      <c r="O448" s="33"/>
      <c r="P448" s="33"/>
      <c r="Q448" s="33"/>
      <c r="R448" s="33"/>
      <c r="S448" s="33"/>
      <c r="T448" s="33"/>
      <c r="U448" s="33"/>
      <c r="V448" s="33"/>
      <c r="W448" s="33"/>
      <c r="X448" s="33"/>
      <c r="Y448" s="33"/>
      <c r="Z448" s="33"/>
      <c r="AA448" s="33"/>
      <c r="AB448" s="33"/>
      <c r="AC448" s="33"/>
      <c r="AD448" s="33"/>
      <c r="AE448" s="33"/>
      <c r="AF448" s="33"/>
      <c r="AG448" s="33"/>
      <c r="AH448" s="33"/>
      <c r="AI448" s="33"/>
      <c r="AJ448" s="33"/>
      <c r="AK448" s="33"/>
      <c r="AL448" s="33"/>
      <c r="AM448" s="33"/>
      <c r="AN448" s="33"/>
      <c r="AO448" s="33"/>
      <c r="AP448" s="33"/>
      <c r="AQ448" s="33"/>
      <c r="AR448" s="33"/>
      <c r="AS448" s="33"/>
      <c r="AT448" s="33"/>
      <c r="AU448" s="33"/>
      <c r="AV448" s="36"/>
      <c r="AW448" s="36"/>
      <c r="AX448" s="36"/>
      <c r="AY448" s="33"/>
      <c r="AZ448" s="36"/>
      <c r="BA448" s="36"/>
      <c r="BB448" s="36"/>
    </row>
    <row r="449" spans="1:54" x14ac:dyDescent="0.25">
      <c r="A449" s="34"/>
      <c r="B449" s="34"/>
      <c r="C449" s="34"/>
      <c r="D449" s="35"/>
      <c r="E449" s="37"/>
      <c r="F449" s="35"/>
      <c r="G449" s="35"/>
      <c r="H449" s="37"/>
      <c r="I449" s="35"/>
      <c r="J449" s="37"/>
      <c r="K449" s="37"/>
      <c r="L449" s="37"/>
      <c r="M449" s="37"/>
      <c r="N449" s="37"/>
      <c r="O449" s="37"/>
      <c r="P449" s="37"/>
      <c r="Q449" s="37"/>
      <c r="R449" s="37"/>
      <c r="S449" s="37"/>
      <c r="T449" s="37"/>
      <c r="U449" s="37"/>
      <c r="V449" s="37"/>
      <c r="W449" s="37"/>
      <c r="X449" s="37"/>
      <c r="Y449" s="37"/>
      <c r="Z449" s="37"/>
      <c r="AA449" s="37"/>
      <c r="AB449" s="37"/>
      <c r="AC449" s="37"/>
      <c r="AD449" s="37"/>
      <c r="AE449" s="37"/>
      <c r="AF449" s="37"/>
      <c r="AG449" s="37"/>
      <c r="AH449" s="37"/>
      <c r="AI449" s="37"/>
      <c r="AJ449" s="37"/>
      <c r="AK449" s="37"/>
      <c r="AL449" s="37"/>
      <c r="AM449" s="37"/>
      <c r="AN449" s="37"/>
      <c r="AO449" s="37"/>
      <c r="AP449" s="37"/>
      <c r="AQ449" s="37"/>
      <c r="AR449" s="37"/>
      <c r="AS449" s="37"/>
      <c r="AT449" s="37"/>
      <c r="AU449" s="37"/>
      <c r="AV449" s="37"/>
      <c r="AW449" s="37"/>
      <c r="AX449" s="37"/>
      <c r="AY449" s="37"/>
      <c r="AZ449" s="37"/>
      <c r="BA449" s="37"/>
      <c r="BB449" s="37"/>
    </row>
    <row r="450" spans="1:54" s="5" customFormat="1" x14ac:dyDescent="0.25">
      <c r="A450" s="32"/>
      <c r="B450" s="32"/>
      <c r="C450" s="32"/>
      <c r="D450" s="33"/>
      <c r="E450" s="33"/>
      <c r="F450" s="33"/>
      <c r="G450" s="33"/>
      <c r="H450" s="33"/>
      <c r="I450" s="33"/>
      <c r="J450" s="33"/>
      <c r="K450" s="33"/>
      <c r="L450" s="33"/>
      <c r="M450" s="33"/>
      <c r="N450" s="33"/>
      <c r="O450" s="33"/>
      <c r="P450" s="33"/>
      <c r="Q450" s="33"/>
      <c r="R450" s="33"/>
      <c r="S450" s="33"/>
      <c r="T450" s="33"/>
      <c r="U450" s="33"/>
      <c r="V450" s="33"/>
      <c r="W450" s="33"/>
      <c r="X450" s="33"/>
      <c r="Y450" s="33"/>
      <c r="Z450" s="33"/>
      <c r="AA450" s="33"/>
      <c r="AB450" s="33"/>
      <c r="AC450" s="33"/>
      <c r="AD450" s="33"/>
      <c r="AE450" s="33"/>
      <c r="AF450" s="33"/>
      <c r="AG450" s="33"/>
      <c r="AH450" s="33"/>
      <c r="AI450" s="33"/>
      <c r="AJ450" s="33"/>
      <c r="AK450" s="33"/>
      <c r="AL450" s="33"/>
      <c r="AM450" s="33"/>
      <c r="AN450" s="33"/>
      <c r="AO450" s="33"/>
      <c r="AP450" s="33"/>
      <c r="AQ450" s="36"/>
      <c r="AR450" s="33"/>
      <c r="AS450" s="36"/>
      <c r="AT450" s="36"/>
      <c r="AU450" s="36"/>
      <c r="AV450" s="33"/>
      <c r="AW450" s="33"/>
      <c r="AX450" s="36"/>
      <c r="AY450" s="36"/>
      <c r="AZ450" s="33"/>
      <c r="BA450" s="33"/>
      <c r="BB450" s="33"/>
    </row>
    <row r="451" spans="1:54" x14ac:dyDescent="0.25">
      <c r="A451" s="34"/>
      <c r="B451" s="34"/>
      <c r="C451" s="34"/>
      <c r="D451" s="35"/>
      <c r="E451" s="35"/>
      <c r="F451" s="35"/>
      <c r="G451" s="35"/>
      <c r="H451" s="35"/>
      <c r="I451" s="35"/>
      <c r="J451" s="35"/>
      <c r="K451" s="35"/>
      <c r="L451" s="35"/>
      <c r="M451" s="35"/>
      <c r="N451" s="35"/>
      <c r="O451" s="35"/>
      <c r="P451" s="35"/>
      <c r="Q451" s="35"/>
      <c r="R451" s="35"/>
      <c r="S451" s="35"/>
      <c r="T451" s="35"/>
      <c r="U451" s="35"/>
      <c r="V451" s="35"/>
      <c r="W451" s="35"/>
      <c r="X451" s="35"/>
      <c r="Y451" s="35"/>
      <c r="Z451" s="35"/>
      <c r="AA451" s="35"/>
      <c r="AB451" s="35"/>
      <c r="AC451" s="35"/>
      <c r="AD451" s="35"/>
      <c r="AE451" s="35"/>
      <c r="AF451" s="35"/>
      <c r="AG451" s="35"/>
      <c r="AH451" s="35"/>
      <c r="AI451" s="35"/>
      <c r="AJ451" s="35"/>
      <c r="AK451" s="35"/>
      <c r="AL451" s="35"/>
      <c r="AM451" s="35"/>
      <c r="AN451" s="35"/>
      <c r="AO451" s="35"/>
      <c r="AP451" s="35"/>
      <c r="AQ451" s="35"/>
      <c r="AR451" s="35"/>
      <c r="AS451" s="35"/>
      <c r="AT451" s="35"/>
      <c r="AU451" s="35"/>
      <c r="AV451" s="35"/>
      <c r="AW451" s="35"/>
      <c r="AX451" s="35"/>
      <c r="AY451" s="35"/>
      <c r="AZ451" s="35"/>
      <c r="BA451" s="35"/>
      <c r="BB451" s="35"/>
    </row>
    <row r="452" spans="1:54" s="5" customFormat="1" x14ac:dyDescent="0.25">
      <c r="A452" s="32"/>
      <c r="B452" s="32"/>
      <c r="C452" s="32"/>
      <c r="D452" s="33"/>
      <c r="E452" s="36"/>
      <c r="F452" s="33"/>
      <c r="G452" s="36"/>
      <c r="H452" s="33"/>
      <c r="I452" s="33"/>
      <c r="J452" s="36"/>
      <c r="K452" s="36"/>
      <c r="L452" s="36"/>
      <c r="M452" s="36"/>
      <c r="N452" s="36"/>
      <c r="O452" s="36"/>
      <c r="P452" s="36"/>
      <c r="Q452" s="36"/>
      <c r="R452" s="36"/>
      <c r="S452" s="36"/>
      <c r="T452" s="36"/>
      <c r="U452" s="36"/>
      <c r="V452" s="36"/>
      <c r="W452" s="36"/>
      <c r="X452" s="36"/>
      <c r="Y452" s="36"/>
      <c r="Z452" s="36"/>
      <c r="AA452" s="36"/>
      <c r="AB452" s="36"/>
      <c r="AC452" s="36"/>
      <c r="AD452" s="36"/>
      <c r="AE452" s="36"/>
      <c r="AF452" s="36"/>
      <c r="AG452" s="36"/>
      <c r="AH452" s="36"/>
      <c r="AI452" s="36"/>
      <c r="AJ452" s="36"/>
      <c r="AK452" s="36"/>
      <c r="AL452" s="36"/>
      <c r="AM452" s="36"/>
      <c r="AN452" s="36"/>
      <c r="AO452" s="36"/>
      <c r="AP452" s="36"/>
      <c r="AQ452" s="36"/>
      <c r="AR452" s="36"/>
      <c r="AS452" s="36"/>
      <c r="AT452" s="36"/>
      <c r="AU452" s="36"/>
      <c r="AV452" s="36"/>
      <c r="AW452" s="36"/>
      <c r="AX452" s="36"/>
      <c r="AY452" s="36"/>
      <c r="AZ452" s="36"/>
      <c r="BA452" s="36"/>
      <c r="BB452" s="36"/>
    </row>
    <row r="453" spans="1:54" x14ac:dyDescent="0.25">
      <c r="A453" s="34"/>
      <c r="B453" s="34"/>
      <c r="C453" s="34"/>
      <c r="D453" s="35"/>
      <c r="E453" s="35"/>
      <c r="F453" s="37"/>
      <c r="G453" s="37"/>
      <c r="H453" s="37"/>
      <c r="I453" s="37"/>
      <c r="J453" s="37"/>
      <c r="K453" s="37"/>
      <c r="L453" s="37"/>
      <c r="M453" s="37"/>
      <c r="N453" s="37"/>
      <c r="O453" s="37"/>
      <c r="P453" s="37"/>
      <c r="Q453" s="37"/>
      <c r="R453" s="37"/>
      <c r="S453" s="37"/>
      <c r="T453" s="37"/>
      <c r="U453" s="37"/>
      <c r="V453" s="37"/>
      <c r="W453" s="37"/>
      <c r="X453" s="37"/>
      <c r="Y453" s="37"/>
      <c r="Z453" s="37"/>
      <c r="AA453" s="37"/>
      <c r="AB453" s="37"/>
      <c r="AC453" s="37"/>
      <c r="AD453" s="37"/>
      <c r="AE453" s="37"/>
      <c r="AF453" s="37"/>
      <c r="AG453" s="37"/>
      <c r="AH453" s="37"/>
      <c r="AI453" s="37"/>
      <c r="AJ453" s="37"/>
      <c r="AK453" s="37"/>
      <c r="AL453" s="37"/>
      <c r="AM453" s="37"/>
      <c r="AN453" s="37"/>
      <c r="AO453" s="37"/>
      <c r="AP453" s="37"/>
      <c r="AQ453" s="37"/>
      <c r="AR453" s="37"/>
      <c r="AS453" s="37"/>
      <c r="AT453" s="37"/>
      <c r="AU453" s="37"/>
      <c r="AV453" s="37"/>
      <c r="AW453" s="37"/>
      <c r="AX453" s="37"/>
      <c r="AY453" s="37"/>
      <c r="AZ453" s="37"/>
      <c r="BA453" s="37"/>
      <c r="BB453" s="37"/>
    </row>
    <row r="454" spans="1:54" s="5" customFormat="1" x14ac:dyDescent="0.25">
      <c r="A454" s="32"/>
      <c r="B454" s="32"/>
      <c r="C454" s="32"/>
      <c r="D454" s="33"/>
      <c r="E454" s="33"/>
      <c r="F454" s="33"/>
      <c r="G454" s="33"/>
      <c r="H454" s="33"/>
      <c r="I454" s="33"/>
      <c r="J454" s="33"/>
      <c r="K454" s="33"/>
      <c r="L454" s="33"/>
      <c r="M454" s="33"/>
      <c r="N454" s="33"/>
      <c r="O454" s="33"/>
      <c r="P454" s="33"/>
      <c r="Q454" s="33"/>
      <c r="R454" s="33"/>
      <c r="S454" s="33"/>
      <c r="T454" s="33"/>
      <c r="U454" s="33"/>
      <c r="V454" s="33"/>
      <c r="W454" s="33"/>
      <c r="X454" s="33"/>
      <c r="Y454" s="33"/>
      <c r="Z454" s="33"/>
      <c r="AA454" s="33"/>
      <c r="AB454" s="33"/>
      <c r="AC454" s="33"/>
      <c r="AD454" s="33"/>
      <c r="AE454" s="33"/>
      <c r="AF454" s="33"/>
      <c r="AG454" s="33"/>
      <c r="AH454" s="33"/>
      <c r="AI454" s="33"/>
      <c r="AJ454" s="36"/>
      <c r="AK454" s="33"/>
      <c r="AL454" s="36"/>
      <c r="AM454" s="33"/>
      <c r="AN454" s="36"/>
      <c r="AO454" s="36"/>
      <c r="AP454" s="36"/>
      <c r="AQ454" s="36"/>
      <c r="AR454" s="36"/>
      <c r="AS454" s="36"/>
      <c r="AT454" s="36"/>
      <c r="AU454" s="36"/>
      <c r="AV454" s="36"/>
      <c r="AW454" s="36"/>
      <c r="AX454" s="36"/>
      <c r="AY454" s="36"/>
      <c r="AZ454" s="36"/>
      <c r="BA454" s="36"/>
      <c r="BB454" s="36"/>
    </row>
    <row r="455" spans="1:54" x14ac:dyDescent="0.25">
      <c r="A455" s="34"/>
      <c r="B455" s="34"/>
      <c r="C455" s="34"/>
      <c r="D455" s="35"/>
      <c r="E455" s="35"/>
      <c r="F455" s="35"/>
      <c r="G455" s="35"/>
      <c r="H455" s="35"/>
      <c r="I455" s="35"/>
      <c r="J455" s="37"/>
      <c r="K455" s="37"/>
      <c r="L455" s="35"/>
      <c r="M455" s="37"/>
      <c r="N455" s="37"/>
      <c r="O455" s="37"/>
      <c r="P455" s="37"/>
      <c r="Q455" s="37"/>
      <c r="R455" s="35"/>
      <c r="S455" s="37"/>
      <c r="T455" s="35"/>
      <c r="U455" s="37"/>
      <c r="V455" s="35"/>
      <c r="W455" s="35"/>
      <c r="X455" s="37"/>
      <c r="Y455" s="35"/>
      <c r="Z455" s="35"/>
      <c r="AA455" s="35"/>
      <c r="AB455" s="35"/>
      <c r="AC455" s="35"/>
      <c r="AD455" s="35"/>
      <c r="AE455" s="35"/>
      <c r="AF455" s="35"/>
      <c r="AG455" s="35"/>
      <c r="AH455" s="35"/>
      <c r="AI455" s="35"/>
      <c r="AJ455" s="35"/>
      <c r="AK455" s="35"/>
      <c r="AL455" s="35"/>
      <c r="AM455" s="35"/>
      <c r="AN455" s="35"/>
      <c r="AO455" s="35"/>
      <c r="AP455" s="35"/>
      <c r="AQ455" s="35"/>
      <c r="AR455" s="35"/>
      <c r="AS455" s="35"/>
      <c r="AT455" s="35"/>
      <c r="AU455" s="35"/>
      <c r="AV455" s="35"/>
      <c r="AW455" s="35"/>
      <c r="AX455" s="35"/>
      <c r="AY455" s="35"/>
      <c r="AZ455" s="35"/>
      <c r="BA455" s="35"/>
      <c r="BB455" s="35"/>
    </row>
    <row r="456" spans="1:54" s="5" customFormat="1" x14ac:dyDescent="0.25">
      <c r="A456" s="32"/>
      <c r="B456" s="32"/>
      <c r="C456" s="32"/>
      <c r="D456" s="33"/>
      <c r="E456" s="33"/>
      <c r="F456" s="33"/>
      <c r="G456" s="33"/>
      <c r="H456" s="33"/>
      <c r="I456" s="33"/>
      <c r="J456" s="33"/>
      <c r="K456" s="33"/>
      <c r="L456" s="33"/>
      <c r="M456" s="33"/>
      <c r="N456" s="33"/>
      <c r="O456" s="33"/>
      <c r="P456" s="33"/>
      <c r="Q456" s="36"/>
      <c r="R456" s="36"/>
      <c r="S456" s="36"/>
      <c r="T456" s="36"/>
      <c r="U456" s="36"/>
      <c r="V456" s="36"/>
      <c r="W456" s="36"/>
      <c r="X456" s="36"/>
      <c r="Y456" s="36"/>
      <c r="Z456" s="36"/>
      <c r="AA456" s="36"/>
      <c r="AB456" s="36"/>
      <c r="AC456" s="36"/>
      <c r="AD456" s="36"/>
      <c r="AE456" s="36"/>
      <c r="AF456" s="36"/>
      <c r="AG456" s="36"/>
      <c r="AH456" s="36"/>
      <c r="AI456" s="36"/>
      <c r="AJ456" s="36"/>
      <c r="AK456" s="36"/>
      <c r="AL456" s="36"/>
      <c r="AM456" s="36"/>
      <c r="AN456" s="36"/>
      <c r="AO456" s="36"/>
      <c r="AP456" s="36"/>
      <c r="AQ456" s="36"/>
      <c r="AR456" s="36"/>
      <c r="AS456" s="36"/>
      <c r="AT456" s="36"/>
      <c r="AU456" s="36"/>
      <c r="AV456" s="36"/>
      <c r="AW456" s="36"/>
      <c r="AX456" s="36"/>
      <c r="AY456" s="36"/>
      <c r="AZ456" s="36"/>
      <c r="BA456" s="36"/>
      <c r="BB456" s="36"/>
    </row>
    <row r="457" spans="1:54" x14ac:dyDescent="0.25">
      <c r="A457" s="34"/>
      <c r="B457" s="34"/>
      <c r="C457" s="34"/>
      <c r="D457" s="35"/>
      <c r="E457" s="35"/>
      <c r="F457" s="35"/>
      <c r="G457" s="35"/>
      <c r="H457" s="35"/>
      <c r="I457" s="35"/>
      <c r="J457" s="35"/>
      <c r="K457" s="35"/>
      <c r="L457" s="35"/>
      <c r="M457" s="35"/>
      <c r="N457" s="35"/>
      <c r="O457" s="35"/>
      <c r="P457" s="35"/>
      <c r="Q457" s="35"/>
      <c r="R457" s="35"/>
      <c r="S457" s="35"/>
      <c r="T457" s="35"/>
      <c r="U457" s="35"/>
      <c r="V457" s="35"/>
      <c r="W457" s="35"/>
      <c r="X457" s="35"/>
      <c r="Y457" s="35"/>
      <c r="Z457" s="35"/>
      <c r="AA457" s="35"/>
      <c r="AB457" s="35"/>
      <c r="AC457" s="35"/>
      <c r="AD457" s="35"/>
      <c r="AE457" s="35"/>
      <c r="AF457" s="35"/>
      <c r="AG457" s="35"/>
      <c r="AH457" s="35"/>
      <c r="AI457" s="35"/>
      <c r="AJ457" s="35"/>
      <c r="AK457" s="35"/>
      <c r="AL457" s="35"/>
      <c r="AM457" s="35"/>
      <c r="AN457" s="35"/>
      <c r="AO457" s="35"/>
      <c r="AP457" s="35"/>
      <c r="AQ457" s="35"/>
      <c r="AR457" s="35"/>
      <c r="AS457" s="35"/>
      <c r="AT457" s="35"/>
      <c r="AU457" s="35"/>
      <c r="AV457" s="35"/>
      <c r="AW457" s="35"/>
      <c r="AX457" s="35"/>
      <c r="AY457" s="35"/>
      <c r="AZ457" s="35"/>
      <c r="BA457" s="35"/>
      <c r="BB457" s="35"/>
    </row>
    <row r="458" spans="1:54" s="5" customFormat="1" x14ac:dyDescent="0.25">
      <c r="A458" s="32"/>
      <c r="B458" s="32"/>
      <c r="C458" s="32"/>
      <c r="D458" s="33"/>
      <c r="E458" s="33"/>
      <c r="F458" s="33"/>
      <c r="G458" s="33"/>
      <c r="H458" s="33"/>
      <c r="I458" s="33"/>
      <c r="J458" s="33"/>
      <c r="K458" s="33"/>
      <c r="L458" s="33"/>
      <c r="M458" s="33"/>
      <c r="N458" s="33"/>
      <c r="O458" s="33"/>
      <c r="P458" s="33"/>
      <c r="Q458" s="33"/>
      <c r="R458" s="33"/>
      <c r="S458" s="33"/>
      <c r="T458" s="33"/>
      <c r="U458" s="33"/>
      <c r="V458" s="33"/>
      <c r="W458" s="33"/>
      <c r="X458" s="33"/>
      <c r="Y458" s="33"/>
      <c r="Z458" s="33"/>
      <c r="AA458" s="33"/>
      <c r="AB458" s="33"/>
      <c r="AC458" s="33"/>
      <c r="AD458" s="33"/>
      <c r="AE458" s="33"/>
      <c r="AF458" s="33"/>
      <c r="AG458" s="33"/>
      <c r="AH458" s="33"/>
      <c r="AI458" s="33"/>
      <c r="AJ458" s="33"/>
      <c r="AK458" s="33"/>
      <c r="AL458" s="33"/>
      <c r="AM458" s="33"/>
      <c r="AN458" s="33"/>
      <c r="AO458" s="33"/>
      <c r="AP458" s="33"/>
      <c r="AQ458" s="33"/>
      <c r="AR458" s="33"/>
      <c r="AS458" s="33"/>
      <c r="AT458" s="33"/>
      <c r="AU458" s="33"/>
      <c r="AV458" s="33"/>
      <c r="AW458" s="36"/>
      <c r="AX458" s="36"/>
      <c r="AY458" s="36"/>
      <c r="AZ458" s="36"/>
      <c r="BA458" s="36"/>
      <c r="BB458" s="36"/>
    </row>
    <row r="459" spans="1:54" x14ac:dyDescent="0.25">
      <c r="A459" s="34"/>
      <c r="B459" s="34"/>
      <c r="C459" s="34"/>
      <c r="D459" s="35"/>
      <c r="E459" s="35"/>
      <c r="F459" s="35"/>
      <c r="G459" s="35"/>
      <c r="H459" s="35"/>
      <c r="I459" s="35"/>
      <c r="J459" s="35"/>
      <c r="K459" s="35"/>
      <c r="L459" s="35"/>
      <c r="M459" s="35"/>
      <c r="N459" s="35"/>
      <c r="O459" s="35"/>
      <c r="P459" s="35"/>
      <c r="Q459" s="35"/>
      <c r="R459" s="35"/>
      <c r="S459" s="35"/>
      <c r="T459" s="35"/>
      <c r="U459" s="35"/>
      <c r="V459" s="35"/>
      <c r="W459" s="35"/>
      <c r="X459" s="35"/>
      <c r="Y459" s="35"/>
      <c r="Z459" s="35"/>
      <c r="AA459" s="35"/>
      <c r="AB459" s="35"/>
      <c r="AC459" s="35"/>
      <c r="AD459" s="35"/>
      <c r="AE459" s="35"/>
      <c r="AF459" s="35"/>
      <c r="AG459" s="35"/>
      <c r="AH459" s="35"/>
      <c r="AI459" s="35"/>
      <c r="AJ459" s="35"/>
      <c r="AK459" s="35"/>
      <c r="AL459" s="35"/>
      <c r="AM459" s="35"/>
      <c r="AN459" s="35"/>
      <c r="AO459" s="35"/>
      <c r="AP459" s="35"/>
      <c r="AQ459" s="35"/>
      <c r="AR459" s="35"/>
      <c r="AS459" s="35"/>
      <c r="AT459" s="35"/>
      <c r="AU459" s="35"/>
      <c r="AV459" s="35"/>
      <c r="AW459" s="35"/>
      <c r="AX459" s="35"/>
      <c r="AY459" s="35"/>
      <c r="AZ459" s="35"/>
      <c r="BA459" s="35"/>
      <c r="BB459" s="35"/>
    </row>
    <row r="460" spans="1:54" s="5" customFormat="1" x14ac:dyDescent="0.25">
      <c r="A460" s="32"/>
      <c r="B460" s="32"/>
      <c r="C460" s="32"/>
      <c r="D460" s="33"/>
      <c r="E460" s="33"/>
      <c r="F460" s="33"/>
      <c r="G460" s="33"/>
      <c r="H460" s="33"/>
      <c r="I460" s="33"/>
      <c r="J460" s="33"/>
      <c r="K460" s="33"/>
      <c r="L460" s="33"/>
      <c r="M460" s="33"/>
      <c r="N460" s="33"/>
      <c r="O460" s="33"/>
      <c r="P460" s="33"/>
      <c r="Q460" s="33"/>
      <c r="R460" s="33"/>
      <c r="S460" s="33"/>
      <c r="T460" s="33"/>
      <c r="U460" s="33"/>
      <c r="V460" s="33"/>
      <c r="W460" s="33"/>
      <c r="X460" s="33"/>
      <c r="Y460" s="33"/>
      <c r="Z460" s="33"/>
      <c r="AA460" s="33"/>
      <c r="AB460" s="33"/>
      <c r="AC460" s="33"/>
      <c r="AD460" s="33"/>
      <c r="AE460" s="33"/>
      <c r="AF460" s="33"/>
      <c r="AG460" s="33"/>
      <c r="AH460" s="33"/>
      <c r="AI460" s="33"/>
      <c r="AJ460" s="33"/>
      <c r="AK460" s="33"/>
      <c r="AL460" s="33"/>
      <c r="AM460" s="33"/>
      <c r="AN460" s="33"/>
      <c r="AO460" s="33"/>
      <c r="AP460" s="33"/>
      <c r="AQ460" s="33"/>
      <c r="AR460" s="33"/>
      <c r="AS460" s="33"/>
      <c r="AT460" s="33"/>
      <c r="AU460" s="33"/>
      <c r="AV460" s="33"/>
      <c r="AW460" s="36"/>
      <c r="AX460" s="36"/>
      <c r="AY460" s="36"/>
      <c r="AZ460" s="36"/>
      <c r="BA460" s="36"/>
      <c r="BB460" s="36"/>
    </row>
    <row r="461" spans="1:54" x14ac:dyDescent="0.25">
      <c r="A461" s="34"/>
      <c r="B461" s="34"/>
      <c r="C461" s="34"/>
      <c r="D461" s="35"/>
      <c r="E461" s="35"/>
      <c r="F461" s="35"/>
      <c r="G461" s="35"/>
      <c r="H461" s="35"/>
      <c r="I461" s="35"/>
      <c r="J461" s="35"/>
      <c r="K461" s="35"/>
      <c r="L461" s="35"/>
      <c r="M461" s="35"/>
      <c r="N461" s="35"/>
      <c r="O461" s="35"/>
      <c r="P461" s="35"/>
      <c r="Q461" s="35"/>
      <c r="R461" s="35"/>
      <c r="S461" s="35"/>
      <c r="T461" s="35"/>
      <c r="U461" s="35"/>
      <c r="V461" s="35"/>
      <c r="W461" s="35"/>
      <c r="X461" s="35"/>
      <c r="Y461" s="35"/>
      <c r="Z461" s="35"/>
      <c r="AA461" s="35"/>
      <c r="AB461" s="35"/>
      <c r="AC461" s="35"/>
      <c r="AD461" s="35"/>
      <c r="AE461" s="35"/>
      <c r="AF461" s="35"/>
      <c r="AG461" s="35"/>
      <c r="AH461" s="35"/>
      <c r="AI461" s="35"/>
      <c r="AJ461" s="35"/>
      <c r="AK461" s="35"/>
      <c r="AL461" s="35"/>
      <c r="AM461" s="35"/>
      <c r="AN461" s="35"/>
      <c r="AO461" s="35"/>
      <c r="AP461" s="35"/>
      <c r="AQ461" s="35"/>
      <c r="AR461" s="35"/>
      <c r="AS461" s="35"/>
      <c r="AT461" s="35"/>
      <c r="AU461" s="35"/>
      <c r="AV461" s="35"/>
      <c r="AW461" s="35"/>
      <c r="AX461" s="35"/>
      <c r="AY461" s="35"/>
      <c r="AZ461" s="35"/>
      <c r="BA461" s="35"/>
      <c r="BB461" s="35"/>
    </row>
    <row r="462" spans="1:54" s="5" customFormat="1" x14ac:dyDescent="0.25">
      <c r="A462" s="32"/>
      <c r="B462" s="32"/>
      <c r="C462" s="32"/>
      <c r="D462" s="33"/>
      <c r="E462" s="33"/>
      <c r="F462" s="33"/>
      <c r="G462" s="33"/>
      <c r="H462" s="33"/>
      <c r="I462" s="33"/>
      <c r="J462" s="33"/>
      <c r="K462" s="33"/>
      <c r="L462" s="33"/>
      <c r="M462" s="33"/>
      <c r="N462" s="33"/>
      <c r="O462" s="33"/>
      <c r="P462" s="33"/>
      <c r="Q462" s="33"/>
      <c r="R462" s="33"/>
      <c r="S462" s="33"/>
      <c r="T462" s="33"/>
      <c r="U462" s="33"/>
      <c r="V462" s="33"/>
      <c r="W462" s="33"/>
      <c r="X462" s="33"/>
      <c r="Y462" s="33"/>
      <c r="Z462" s="33"/>
      <c r="AA462" s="33"/>
      <c r="AB462" s="33"/>
      <c r="AC462" s="33"/>
      <c r="AD462" s="33"/>
      <c r="AE462" s="33"/>
      <c r="AF462" s="33"/>
      <c r="AG462" s="33"/>
      <c r="AH462" s="33"/>
      <c r="AI462" s="33"/>
      <c r="AJ462" s="33"/>
      <c r="AK462" s="33"/>
      <c r="AL462" s="33"/>
      <c r="AM462" s="33"/>
      <c r="AN462" s="33"/>
      <c r="AO462" s="33"/>
      <c r="AP462" s="33"/>
      <c r="AQ462" s="33"/>
      <c r="AR462" s="33"/>
      <c r="AS462" s="33"/>
      <c r="AT462" s="33"/>
      <c r="AU462" s="33"/>
      <c r="AV462" s="33"/>
      <c r="AW462" s="33"/>
      <c r="AX462" s="33"/>
      <c r="AY462" s="33"/>
      <c r="AZ462" s="33"/>
      <c r="BA462" s="33"/>
      <c r="BB462" s="33"/>
    </row>
    <row r="463" spans="1:54" x14ac:dyDescent="0.25">
      <c r="A463" s="34"/>
      <c r="B463" s="34"/>
      <c r="C463" s="34"/>
      <c r="D463" s="35"/>
      <c r="E463" s="35"/>
      <c r="F463" s="35"/>
      <c r="G463" s="35"/>
      <c r="H463" s="35"/>
      <c r="I463" s="35"/>
      <c r="J463" s="35"/>
      <c r="K463" s="35"/>
      <c r="L463" s="35"/>
      <c r="M463" s="35"/>
      <c r="N463" s="35"/>
      <c r="O463" s="35"/>
      <c r="P463" s="35"/>
      <c r="Q463" s="35"/>
      <c r="R463" s="35"/>
      <c r="S463" s="35"/>
      <c r="T463" s="35"/>
      <c r="U463" s="35"/>
      <c r="V463" s="35"/>
      <c r="W463" s="35"/>
      <c r="X463" s="35"/>
      <c r="Y463" s="35"/>
      <c r="Z463" s="35"/>
      <c r="AA463" s="35"/>
      <c r="AB463" s="35"/>
      <c r="AC463" s="35"/>
      <c r="AD463" s="35"/>
      <c r="AE463" s="35"/>
      <c r="AF463" s="35"/>
      <c r="AG463" s="35"/>
      <c r="AH463" s="35"/>
      <c r="AI463" s="35"/>
      <c r="AJ463" s="35"/>
      <c r="AK463" s="35"/>
      <c r="AL463" s="35"/>
      <c r="AM463" s="35"/>
      <c r="AN463" s="35"/>
      <c r="AO463" s="35"/>
      <c r="AP463" s="35"/>
      <c r="AQ463" s="35"/>
      <c r="AR463" s="35"/>
      <c r="AS463" s="35"/>
      <c r="AT463" s="35"/>
      <c r="AU463" s="35"/>
      <c r="AV463" s="35"/>
      <c r="AW463" s="35"/>
      <c r="AX463" s="35"/>
      <c r="AY463" s="35"/>
      <c r="AZ463" s="35"/>
      <c r="BA463" s="35"/>
      <c r="BB463" s="35"/>
    </row>
    <row r="464" spans="1:54" s="5" customFormat="1" x14ac:dyDescent="0.25">
      <c r="A464" s="32"/>
      <c r="B464" s="32"/>
      <c r="C464" s="32"/>
      <c r="D464" s="33"/>
      <c r="E464" s="33"/>
      <c r="F464" s="33"/>
      <c r="G464" s="33"/>
      <c r="H464" s="33"/>
      <c r="I464" s="33"/>
      <c r="J464" s="33"/>
      <c r="K464" s="33"/>
      <c r="L464" s="33"/>
      <c r="M464" s="33"/>
      <c r="N464" s="33"/>
      <c r="O464" s="33"/>
      <c r="P464" s="33"/>
      <c r="Q464" s="33"/>
      <c r="R464" s="33"/>
      <c r="S464" s="33"/>
      <c r="T464" s="33"/>
      <c r="U464" s="33"/>
      <c r="V464" s="33"/>
      <c r="W464" s="33"/>
      <c r="X464" s="33"/>
      <c r="Y464" s="33"/>
      <c r="Z464" s="33"/>
      <c r="AA464" s="33"/>
      <c r="AB464" s="33"/>
      <c r="AC464" s="33"/>
      <c r="AD464" s="33"/>
      <c r="AE464" s="33"/>
      <c r="AF464" s="33"/>
      <c r="AG464" s="33"/>
      <c r="AH464" s="33"/>
      <c r="AI464" s="33"/>
      <c r="AJ464" s="33"/>
      <c r="AK464" s="33"/>
      <c r="AL464" s="33"/>
      <c r="AM464" s="33"/>
      <c r="AN464" s="33"/>
      <c r="AO464" s="33"/>
      <c r="AP464" s="33"/>
      <c r="AQ464" s="33"/>
      <c r="AR464" s="33"/>
      <c r="AS464" s="33"/>
      <c r="AT464" s="33"/>
      <c r="AU464" s="33"/>
      <c r="AV464" s="33"/>
      <c r="AW464" s="33"/>
      <c r="AX464" s="33"/>
      <c r="AY464" s="33"/>
      <c r="AZ464" s="33"/>
      <c r="BA464" s="33"/>
      <c r="BB464" s="33"/>
    </row>
    <row r="465" spans="1:54" x14ac:dyDescent="0.25">
      <c r="A465" s="34"/>
      <c r="B465" s="34"/>
      <c r="C465" s="34"/>
      <c r="D465" s="35"/>
      <c r="E465" s="35"/>
      <c r="F465" s="35"/>
      <c r="G465" s="35"/>
      <c r="H465" s="35"/>
      <c r="I465" s="35"/>
      <c r="J465" s="35"/>
      <c r="K465" s="35"/>
      <c r="L465" s="35"/>
      <c r="M465" s="35"/>
      <c r="N465" s="35"/>
      <c r="O465" s="35"/>
      <c r="P465" s="35"/>
      <c r="Q465" s="35"/>
      <c r="R465" s="35"/>
      <c r="S465" s="35"/>
      <c r="T465" s="35"/>
      <c r="U465" s="35"/>
      <c r="V465" s="35"/>
      <c r="W465" s="35"/>
      <c r="X465" s="35"/>
      <c r="Y465" s="35"/>
      <c r="Z465" s="35"/>
      <c r="AA465" s="35"/>
      <c r="AB465" s="35"/>
      <c r="AC465" s="35"/>
      <c r="AD465" s="35"/>
      <c r="AE465" s="35"/>
      <c r="AF465" s="35"/>
      <c r="AG465" s="35"/>
      <c r="AH465" s="35"/>
      <c r="AI465" s="35"/>
      <c r="AJ465" s="35"/>
      <c r="AK465" s="35"/>
      <c r="AL465" s="35"/>
      <c r="AM465" s="35"/>
      <c r="AN465" s="35"/>
      <c r="AO465" s="35"/>
      <c r="AP465" s="35"/>
      <c r="AQ465" s="35"/>
      <c r="AR465" s="35"/>
      <c r="AS465" s="35"/>
      <c r="AT465" s="35"/>
      <c r="AU465" s="35"/>
      <c r="AV465" s="35"/>
      <c r="AW465" s="35"/>
      <c r="AX465" s="35"/>
      <c r="AY465" s="35"/>
      <c r="AZ465" s="35"/>
      <c r="BA465" s="35"/>
      <c r="BB465" s="35"/>
    </row>
    <row r="466" spans="1:54" s="5" customFormat="1" x14ac:dyDescent="0.25">
      <c r="A466" s="32"/>
      <c r="B466" s="32"/>
      <c r="C466" s="32"/>
      <c r="D466" s="33"/>
      <c r="E466" s="33"/>
      <c r="F466" s="33"/>
      <c r="G466" s="33"/>
      <c r="H466" s="33"/>
      <c r="I466" s="33"/>
      <c r="J466" s="33"/>
      <c r="K466" s="33"/>
      <c r="L466" s="33"/>
      <c r="M466" s="33"/>
      <c r="N466" s="33"/>
      <c r="O466" s="33"/>
      <c r="P466" s="33"/>
      <c r="Q466" s="33"/>
      <c r="R466" s="33"/>
      <c r="S466" s="33"/>
      <c r="T466" s="33"/>
      <c r="U466" s="33"/>
      <c r="V466" s="33"/>
      <c r="W466" s="33"/>
      <c r="X466" s="33"/>
      <c r="Y466" s="33"/>
      <c r="Z466" s="33"/>
      <c r="AA466" s="33"/>
      <c r="AB466" s="33"/>
      <c r="AC466" s="33"/>
      <c r="AD466" s="33"/>
      <c r="AE466" s="33"/>
      <c r="AF466" s="33"/>
      <c r="AG466" s="33"/>
      <c r="AH466" s="33"/>
      <c r="AI466" s="33"/>
      <c r="AJ466" s="33"/>
      <c r="AK466" s="33"/>
      <c r="AL466" s="33"/>
      <c r="AM466" s="33"/>
      <c r="AN466" s="33"/>
      <c r="AO466" s="33"/>
      <c r="AP466" s="33"/>
      <c r="AQ466" s="33"/>
      <c r="AR466" s="33"/>
      <c r="AS466" s="33"/>
      <c r="AT466" s="33"/>
      <c r="AU466" s="33"/>
      <c r="AV466" s="33"/>
      <c r="AW466" s="33"/>
      <c r="AX466" s="33"/>
      <c r="AY466" s="33"/>
      <c r="AZ466" s="33"/>
      <c r="BA466" s="33"/>
      <c r="BB466" s="33"/>
    </row>
    <row r="467" spans="1:54" x14ac:dyDescent="0.25">
      <c r="A467" s="32"/>
      <c r="B467" s="32"/>
      <c r="C467" s="32"/>
      <c r="D467" s="33"/>
      <c r="E467" s="33"/>
      <c r="F467" s="33"/>
      <c r="G467" s="33"/>
      <c r="H467" s="33"/>
      <c r="I467" s="33"/>
      <c r="J467" s="33"/>
      <c r="K467" s="33"/>
      <c r="L467" s="33"/>
      <c r="M467" s="33"/>
      <c r="N467" s="33"/>
      <c r="O467" s="33"/>
      <c r="P467" s="33"/>
      <c r="Q467" s="33"/>
      <c r="R467" s="33"/>
      <c r="S467" s="33"/>
      <c r="T467" s="36"/>
      <c r="U467" s="36"/>
      <c r="V467" s="36"/>
      <c r="W467" s="36"/>
      <c r="X467" s="33"/>
      <c r="Y467" s="36"/>
      <c r="Z467" s="36"/>
      <c r="AA467" s="36"/>
      <c r="AB467" s="36"/>
      <c r="AC467" s="36"/>
      <c r="AD467" s="36"/>
      <c r="AE467" s="36"/>
      <c r="AF467" s="36"/>
      <c r="AG467" s="36"/>
      <c r="AH467" s="36"/>
      <c r="AI467" s="36"/>
      <c r="AJ467" s="36"/>
      <c r="AK467" s="36"/>
      <c r="AL467" s="36"/>
      <c r="AM467" s="36"/>
      <c r="AN467" s="36"/>
      <c r="AO467" s="36"/>
      <c r="AP467" s="36"/>
      <c r="AQ467" s="36"/>
      <c r="AR467" s="36"/>
      <c r="AS467" s="36"/>
      <c r="AT467" s="36"/>
      <c r="AU467" s="36"/>
      <c r="AV467" s="36"/>
      <c r="AW467" s="36"/>
      <c r="AX467" s="36"/>
      <c r="AY467" s="36"/>
      <c r="AZ467" s="36"/>
      <c r="BA467" s="36"/>
      <c r="BB467" s="36"/>
    </row>
    <row r="468" spans="1:54" s="5" customFormat="1" x14ac:dyDescent="0.25">
      <c r="A468" s="32"/>
      <c r="B468" s="34"/>
      <c r="C468" s="34"/>
      <c r="D468" s="35"/>
      <c r="E468" s="35"/>
      <c r="F468" s="35"/>
      <c r="G468" s="35"/>
      <c r="H468" s="35"/>
      <c r="I468" s="35"/>
      <c r="J468" s="35"/>
      <c r="K468" s="35"/>
      <c r="L468" s="35"/>
      <c r="M468" s="35"/>
      <c r="N468" s="35"/>
      <c r="O468" s="35"/>
      <c r="P468" s="35"/>
      <c r="Q468" s="35"/>
      <c r="R468" s="35"/>
      <c r="S468" s="35"/>
      <c r="T468" s="35"/>
      <c r="U468" s="35"/>
      <c r="V468" s="35"/>
      <c r="W468" s="35"/>
      <c r="X468" s="35"/>
      <c r="Y468" s="35"/>
      <c r="Z468" s="35"/>
      <c r="AA468" s="35"/>
      <c r="AB468" s="35"/>
      <c r="AC468" s="35"/>
      <c r="AD468" s="35"/>
      <c r="AE468" s="35"/>
      <c r="AF468" s="35"/>
      <c r="AG468" s="35"/>
      <c r="AH468" s="35"/>
      <c r="AI468" s="35"/>
      <c r="AJ468" s="35"/>
      <c r="AK468" s="35"/>
      <c r="AL468" s="35"/>
      <c r="AM468" s="35"/>
      <c r="AN468" s="35"/>
      <c r="AO468" s="35"/>
      <c r="AP468" s="35"/>
      <c r="AQ468" s="35"/>
      <c r="AR468" s="35"/>
      <c r="AS468" s="35"/>
      <c r="AT468" s="35"/>
      <c r="AU468" s="35"/>
      <c r="AV468" s="35"/>
      <c r="AW468" s="35"/>
      <c r="AX468" s="35"/>
      <c r="AY468" s="35"/>
      <c r="AZ468" s="35"/>
      <c r="BA468" s="35"/>
      <c r="BB468" s="35"/>
    </row>
    <row r="469" spans="1:54" x14ac:dyDescent="0.25">
      <c r="A469" s="32"/>
      <c r="B469" s="32"/>
      <c r="C469" s="32"/>
      <c r="D469" s="33"/>
      <c r="E469" s="33"/>
      <c r="F469" s="33"/>
      <c r="G469" s="33"/>
      <c r="H469" s="33"/>
      <c r="I469" s="33"/>
      <c r="J469" s="33"/>
      <c r="K469" s="33"/>
      <c r="L469" s="33"/>
      <c r="M469" s="33"/>
      <c r="N469" s="33"/>
      <c r="O469" s="33"/>
      <c r="P469" s="33"/>
      <c r="Q469" s="33"/>
      <c r="R469" s="33"/>
      <c r="S469" s="33"/>
      <c r="T469" s="33"/>
      <c r="U469" s="33"/>
      <c r="V469" s="33"/>
      <c r="W469" s="33"/>
      <c r="X469" s="33"/>
      <c r="Y469" s="33"/>
      <c r="Z469" s="33"/>
      <c r="AA469" s="33"/>
      <c r="AB469" s="33"/>
      <c r="AC469" s="33"/>
      <c r="AD469" s="33"/>
      <c r="AE469" s="33"/>
      <c r="AF469" s="33"/>
      <c r="AG469" s="33"/>
      <c r="AH469" s="33"/>
      <c r="AI469" s="33"/>
      <c r="AJ469" s="33"/>
      <c r="AK469" s="33"/>
      <c r="AL469" s="33"/>
      <c r="AM469" s="33"/>
      <c r="AN469" s="33"/>
      <c r="AO469" s="33"/>
      <c r="AP469" s="33"/>
      <c r="AQ469" s="33"/>
      <c r="AR469" s="33"/>
      <c r="AS469" s="33"/>
      <c r="AT469" s="33"/>
      <c r="AU469" s="33"/>
      <c r="AV469" s="33"/>
      <c r="AW469" s="33"/>
      <c r="AX469" s="33"/>
      <c r="AY469" s="33"/>
      <c r="AZ469" s="33"/>
      <c r="BA469" s="33"/>
      <c r="BB469" s="33"/>
    </row>
    <row r="470" spans="1:54" s="5" customFormat="1" x14ac:dyDescent="0.25">
      <c r="A470" s="32"/>
      <c r="B470" s="34"/>
      <c r="C470" s="34"/>
      <c r="D470" s="35"/>
      <c r="E470" s="35"/>
      <c r="F470" s="35"/>
      <c r="G470" s="35"/>
      <c r="H470" s="35"/>
      <c r="I470" s="35"/>
      <c r="J470" s="35"/>
      <c r="K470" s="35"/>
      <c r="L470" s="35"/>
      <c r="M470" s="35"/>
      <c r="N470" s="35"/>
      <c r="O470" s="35"/>
      <c r="P470" s="35"/>
      <c r="Q470" s="35"/>
      <c r="R470" s="35"/>
      <c r="S470" s="37"/>
      <c r="T470" s="37"/>
      <c r="U470" s="37"/>
      <c r="V470" s="37"/>
      <c r="W470" s="37"/>
      <c r="X470" s="37"/>
      <c r="Y470" s="37"/>
      <c r="Z470" s="37"/>
      <c r="AA470" s="37"/>
      <c r="AB470" s="37"/>
      <c r="AC470" s="37"/>
      <c r="AD470" s="37"/>
      <c r="AE470" s="37"/>
      <c r="AF470" s="37"/>
      <c r="AG470" s="37"/>
      <c r="AH470" s="37"/>
      <c r="AI470" s="37"/>
      <c r="AJ470" s="37"/>
      <c r="AK470" s="37"/>
      <c r="AL470" s="37"/>
      <c r="AM470" s="37"/>
      <c r="AN470" s="37"/>
      <c r="AO470" s="37"/>
      <c r="AP470" s="37"/>
      <c r="AQ470" s="37"/>
      <c r="AR470" s="37"/>
      <c r="AS470" s="37"/>
      <c r="AT470" s="37"/>
      <c r="AU470" s="37"/>
      <c r="AV470" s="37"/>
      <c r="AW470" s="37"/>
      <c r="AX470" s="37"/>
      <c r="AY470" s="37"/>
      <c r="AZ470" s="37"/>
      <c r="BA470" s="37"/>
      <c r="BB470" s="37"/>
    </row>
    <row r="471" spans="1:54" s="5" customFormat="1" x14ac:dyDescent="0.25">
      <c r="A471" s="32"/>
      <c r="B471" s="32"/>
      <c r="C471" s="32"/>
      <c r="D471" s="36"/>
      <c r="E471" s="36"/>
      <c r="F471" s="36"/>
      <c r="G471" s="36"/>
      <c r="H471" s="36"/>
      <c r="I471" s="36"/>
      <c r="J471" s="36"/>
      <c r="K471" s="36"/>
      <c r="L471" s="36"/>
      <c r="M471" s="36"/>
      <c r="N471" s="36"/>
      <c r="O471" s="36"/>
      <c r="P471" s="36"/>
      <c r="Q471" s="36"/>
      <c r="R471" s="36"/>
      <c r="S471" s="36"/>
      <c r="T471" s="36"/>
      <c r="U471" s="36"/>
      <c r="V471" s="36"/>
      <c r="W471" s="36"/>
      <c r="X471" s="36"/>
      <c r="Y471" s="36"/>
      <c r="Z471" s="36"/>
      <c r="AA471" s="36"/>
      <c r="AB471" s="36"/>
      <c r="AC471" s="36"/>
      <c r="AD471" s="36"/>
      <c r="AE471" s="36"/>
      <c r="AF471" s="36"/>
      <c r="AG471" s="36"/>
      <c r="AH471" s="36"/>
      <c r="AI471" s="36"/>
      <c r="AJ471" s="36"/>
      <c r="AK471" s="36"/>
      <c r="AL471" s="36"/>
      <c r="AM471" s="36"/>
      <c r="AN471" s="36"/>
      <c r="AO471" s="36"/>
      <c r="AP471" s="36"/>
      <c r="AQ471" s="36"/>
      <c r="AR471" s="36"/>
      <c r="AS471" s="36"/>
      <c r="AT471" s="36"/>
      <c r="AU471" s="36"/>
      <c r="AV471" s="36"/>
      <c r="AW471" s="36"/>
      <c r="AX471" s="36"/>
      <c r="AY471" s="36"/>
      <c r="AZ471" s="36"/>
      <c r="BA471" s="36"/>
      <c r="BB471" s="36"/>
    </row>
    <row r="472" spans="1:54" x14ac:dyDescent="0.25">
      <c r="A472" s="34"/>
      <c r="B472" s="34"/>
      <c r="C472" s="34"/>
      <c r="D472" s="35"/>
      <c r="E472" s="37"/>
      <c r="F472" s="35"/>
      <c r="G472" s="35"/>
      <c r="H472" s="35"/>
      <c r="I472" s="35"/>
      <c r="J472" s="35"/>
      <c r="K472" s="35"/>
      <c r="L472" s="35"/>
      <c r="M472" s="35"/>
      <c r="N472" s="35"/>
      <c r="O472" s="35"/>
      <c r="P472" s="35"/>
      <c r="Q472" s="35"/>
      <c r="R472" s="37"/>
      <c r="S472" s="35"/>
      <c r="T472" s="35"/>
      <c r="U472" s="35"/>
      <c r="V472" s="35"/>
      <c r="W472" s="35"/>
      <c r="X472" s="35"/>
      <c r="Y472" s="35"/>
      <c r="Z472" s="35"/>
      <c r="AA472" s="35"/>
      <c r="AB472" s="37"/>
      <c r="AC472" s="35"/>
      <c r="AD472" s="35"/>
      <c r="AE472" s="35"/>
      <c r="AF472" s="35"/>
      <c r="AG472" s="37"/>
      <c r="AH472" s="35"/>
      <c r="AI472" s="35"/>
      <c r="AJ472" s="35"/>
      <c r="AK472" s="35"/>
      <c r="AL472" s="35"/>
      <c r="AM472" s="37"/>
      <c r="AN472" s="37"/>
      <c r="AO472" s="37"/>
      <c r="AP472" s="37"/>
      <c r="AQ472" s="37"/>
      <c r="AR472" s="35"/>
      <c r="AS472" s="37"/>
      <c r="AT472" s="37"/>
      <c r="AU472" s="37"/>
      <c r="AV472" s="35"/>
      <c r="AW472" s="35"/>
      <c r="AX472" s="37"/>
      <c r="AY472" s="37"/>
      <c r="AZ472" s="37"/>
      <c r="BA472" s="37"/>
      <c r="BB472" s="37"/>
    </row>
    <row r="473" spans="1:54" s="5" customFormat="1" x14ac:dyDescent="0.25">
      <c r="A473" s="32"/>
      <c r="B473" s="32"/>
      <c r="C473" s="32"/>
      <c r="D473" s="33"/>
      <c r="E473" s="33"/>
      <c r="F473" s="33"/>
      <c r="G473" s="33"/>
      <c r="H473" s="33"/>
      <c r="I473" s="33"/>
      <c r="J473" s="33"/>
      <c r="K473" s="33"/>
      <c r="L473" s="33"/>
      <c r="M473" s="33"/>
      <c r="N473" s="33"/>
      <c r="O473" s="33"/>
      <c r="P473" s="33"/>
      <c r="Q473" s="33"/>
      <c r="R473" s="33"/>
      <c r="S473" s="33"/>
      <c r="T473" s="33"/>
      <c r="U473" s="36"/>
      <c r="V473" s="36"/>
      <c r="W473" s="33"/>
      <c r="X473" s="33"/>
      <c r="Y473" s="33"/>
      <c r="Z473" s="33"/>
      <c r="AA473" s="33"/>
      <c r="AB473" s="33"/>
      <c r="AC473" s="33"/>
      <c r="AD473" s="33"/>
      <c r="AE473" s="33"/>
      <c r="AF473" s="36"/>
      <c r="AG473" s="33"/>
      <c r="AH473" s="33"/>
      <c r="AI473" s="36"/>
      <c r="AJ473" s="36"/>
      <c r="AK473" s="36"/>
      <c r="AL473" s="36"/>
      <c r="AM473" s="36"/>
      <c r="AN473" s="33"/>
      <c r="AO473" s="36"/>
      <c r="AP473" s="36"/>
      <c r="AQ473" s="36"/>
      <c r="AR473" s="36"/>
      <c r="AS473" s="33"/>
      <c r="AT473" s="33"/>
      <c r="AU473" s="33"/>
      <c r="AV473" s="36"/>
      <c r="AW473" s="36"/>
      <c r="AX473" s="36"/>
      <c r="AY473" s="36"/>
      <c r="AZ473" s="36"/>
      <c r="BA473" s="36"/>
      <c r="BB473" s="36"/>
    </row>
    <row r="474" spans="1:54" x14ac:dyDescent="0.25">
      <c r="A474" s="34"/>
      <c r="B474" s="34"/>
      <c r="C474" s="34"/>
      <c r="D474" s="37"/>
      <c r="E474" s="37"/>
      <c r="F474" s="37"/>
      <c r="G474" s="37"/>
      <c r="H474" s="37"/>
      <c r="I474" s="37"/>
      <c r="J474" s="37"/>
      <c r="K474" s="37"/>
      <c r="L474" s="37"/>
      <c r="M474" s="37"/>
      <c r="N474" s="37"/>
      <c r="O474" s="37"/>
      <c r="P474" s="37"/>
      <c r="Q474" s="37"/>
      <c r="R474" s="37"/>
      <c r="S474" s="37"/>
      <c r="T474" s="37"/>
      <c r="U474" s="37"/>
      <c r="V474" s="37"/>
      <c r="W474" s="37"/>
      <c r="X474" s="37"/>
      <c r="Y474" s="37"/>
      <c r="Z474" s="37"/>
      <c r="AA474" s="37"/>
      <c r="AB474" s="37"/>
      <c r="AC474" s="37"/>
      <c r="AD474" s="37"/>
      <c r="AE474" s="37"/>
      <c r="AF474" s="37"/>
      <c r="AG474" s="37"/>
      <c r="AH474" s="37"/>
      <c r="AI474" s="37"/>
      <c r="AJ474" s="37"/>
      <c r="AK474" s="37"/>
      <c r="AL474" s="37"/>
      <c r="AM474" s="37"/>
      <c r="AN474" s="37"/>
      <c r="AO474" s="37"/>
      <c r="AP474" s="37"/>
      <c r="AQ474" s="37"/>
      <c r="AR474" s="37"/>
      <c r="AS474" s="37"/>
      <c r="AT474" s="37"/>
      <c r="AU474" s="37"/>
      <c r="AV474" s="37"/>
      <c r="AW474" s="37"/>
      <c r="AX474" s="37"/>
      <c r="AY474" s="37"/>
      <c r="AZ474" s="37"/>
      <c r="BA474" s="37"/>
      <c r="BB474" s="37"/>
    </row>
    <row r="475" spans="1:54" s="5" customFormat="1" x14ac:dyDescent="0.25">
      <c r="A475" s="32"/>
      <c r="B475" s="32"/>
      <c r="C475" s="32"/>
      <c r="D475" s="33"/>
      <c r="E475" s="33"/>
      <c r="F475" s="33"/>
      <c r="G475" s="33"/>
      <c r="H475" s="33"/>
      <c r="I475" s="33"/>
      <c r="J475" s="33"/>
      <c r="K475" s="33"/>
      <c r="L475" s="33"/>
      <c r="M475" s="33"/>
      <c r="N475" s="33"/>
      <c r="O475" s="33"/>
      <c r="P475" s="33"/>
      <c r="Q475" s="33"/>
      <c r="R475" s="33"/>
      <c r="S475" s="33"/>
      <c r="T475" s="33"/>
      <c r="U475" s="33"/>
      <c r="V475" s="33"/>
      <c r="W475" s="33"/>
      <c r="X475" s="33"/>
      <c r="Y475" s="33"/>
      <c r="Z475" s="33"/>
      <c r="AA475" s="33"/>
      <c r="AB475" s="33"/>
      <c r="AC475" s="33"/>
      <c r="AD475" s="33"/>
      <c r="AE475" s="33"/>
      <c r="AF475" s="33"/>
      <c r="AG475" s="33"/>
      <c r="AH475" s="33"/>
      <c r="AI475" s="33"/>
      <c r="AJ475" s="33"/>
      <c r="AK475" s="33"/>
      <c r="AL475" s="33"/>
      <c r="AM475" s="33"/>
      <c r="AN475" s="33"/>
      <c r="AO475" s="33"/>
      <c r="AP475" s="33"/>
      <c r="AQ475" s="33"/>
      <c r="AR475" s="33"/>
      <c r="AS475" s="33"/>
      <c r="AT475" s="33"/>
      <c r="AU475" s="33"/>
      <c r="AV475" s="33"/>
      <c r="AW475" s="33"/>
      <c r="AX475" s="33"/>
      <c r="AY475" s="33"/>
      <c r="AZ475" s="33"/>
      <c r="BA475" s="33"/>
      <c r="BB475" s="33"/>
    </row>
    <row r="476" spans="1:54" x14ac:dyDescent="0.25">
      <c r="A476" s="34"/>
      <c r="B476" s="34"/>
      <c r="C476" s="34"/>
      <c r="D476" s="35"/>
      <c r="E476" s="35"/>
      <c r="F476" s="35"/>
      <c r="G476" s="35"/>
      <c r="H476" s="35"/>
      <c r="I476" s="35"/>
      <c r="J476" s="35"/>
      <c r="K476" s="35"/>
      <c r="L476" s="35"/>
      <c r="M476" s="35"/>
      <c r="N476" s="35"/>
      <c r="O476" s="35"/>
      <c r="P476" s="35"/>
      <c r="Q476" s="35"/>
      <c r="R476" s="35"/>
      <c r="S476" s="35"/>
      <c r="T476" s="35"/>
      <c r="U476" s="35"/>
      <c r="V476" s="35"/>
      <c r="W476" s="35"/>
      <c r="X476" s="35"/>
      <c r="Y476" s="35"/>
      <c r="Z476" s="35"/>
      <c r="AA476" s="35"/>
      <c r="AB476" s="35"/>
      <c r="AC476" s="35"/>
      <c r="AD476" s="35"/>
      <c r="AE476" s="35"/>
      <c r="AF476" s="35"/>
      <c r="AG476" s="35"/>
      <c r="AH476" s="35"/>
      <c r="AI476" s="35"/>
      <c r="AJ476" s="35"/>
      <c r="AK476" s="35"/>
      <c r="AL476" s="35"/>
      <c r="AM476" s="35"/>
      <c r="AN476" s="35"/>
      <c r="AO476" s="35"/>
      <c r="AP476" s="35"/>
      <c r="AQ476" s="35"/>
      <c r="AR476" s="35"/>
      <c r="AS476" s="35"/>
      <c r="AT476" s="35"/>
      <c r="AU476" s="35"/>
      <c r="AV476" s="35"/>
      <c r="AW476" s="35"/>
      <c r="AX476" s="35"/>
      <c r="AY476" s="35"/>
      <c r="AZ476" s="35"/>
      <c r="BA476" s="35"/>
      <c r="BB476" s="35"/>
    </row>
    <row r="477" spans="1:54" s="5" customFormat="1" x14ac:dyDescent="0.25">
      <c r="A477" s="32"/>
      <c r="B477" s="32"/>
      <c r="C477" s="32"/>
      <c r="D477" s="33"/>
      <c r="E477" s="33"/>
      <c r="F477" s="33"/>
      <c r="G477" s="33"/>
      <c r="H477" s="33"/>
      <c r="I477" s="33"/>
      <c r="J477" s="33"/>
      <c r="K477" s="33"/>
      <c r="L477" s="33"/>
      <c r="M477" s="33"/>
      <c r="N477" s="33"/>
      <c r="O477" s="33"/>
      <c r="P477" s="33"/>
      <c r="Q477" s="33"/>
      <c r="R477" s="33"/>
      <c r="S477" s="33"/>
      <c r="T477" s="33"/>
      <c r="U477" s="33"/>
      <c r="V477" s="33"/>
      <c r="W477" s="33"/>
      <c r="X477" s="33"/>
      <c r="Y477" s="33"/>
      <c r="Z477" s="33"/>
      <c r="AA477" s="33"/>
      <c r="AB477" s="33"/>
      <c r="AC477" s="33"/>
      <c r="AD477" s="33"/>
      <c r="AE477" s="33"/>
      <c r="AF477" s="33"/>
      <c r="AG477" s="33"/>
      <c r="AH477" s="33"/>
      <c r="AI477" s="33"/>
      <c r="AJ477" s="33"/>
      <c r="AK477" s="33"/>
      <c r="AL477" s="33"/>
      <c r="AM477" s="33"/>
      <c r="AN477" s="33"/>
      <c r="AO477" s="33"/>
      <c r="AP477" s="33"/>
      <c r="AQ477" s="33"/>
      <c r="AR477" s="33"/>
      <c r="AS477" s="33"/>
      <c r="AT477" s="33"/>
      <c r="AU477" s="33"/>
      <c r="AV477" s="33"/>
      <c r="AW477" s="33"/>
      <c r="AX477" s="33"/>
      <c r="AY477" s="33"/>
      <c r="AZ477" s="33"/>
      <c r="BA477" s="33"/>
      <c r="BB477" s="33"/>
    </row>
    <row r="478" spans="1:54" x14ac:dyDescent="0.25">
      <c r="A478" s="34"/>
      <c r="B478" s="34"/>
      <c r="C478" s="34"/>
      <c r="D478" s="35"/>
      <c r="E478" s="35"/>
      <c r="F478" s="35"/>
      <c r="G478" s="35"/>
      <c r="H478" s="35"/>
      <c r="I478" s="35"/>
      <c r="J478" s="35"/>
      <c r="K478" s="35"/>
      <c r="L478" s="35"/>
      <c r="M478" s="35"/>
      <c r="N478" s="35"/>
      <c r="O478" s="35"/>
      <c r="P478" s="35"/>
      <c r="Q478" s="35"/>
      <c r="R478" s="35"/>
      <c r="S478" s="35"/>
      <c r="T478" s="35"/>
      <c r="U478" s="35"/>
      <c r="V478" s="35"/>
      <c r="W478" s="35"/>
      <c r="X478" s="35"/>
      <c r="Y478" s="35"/>
      <c r="Z478" s="35"/>
      <c r="AA478" s="35"/>
      <c r="AB478" s="35"/>
      <c r="AC478" s="35"/>
      <c r="AD478" s="35"/>
      <c r="AE478" s="37"/>
      <c r="AF478" s="37"/>
      <c r="AG478" s="37"/>
      <c r="AH478" s="37"/>
      <c r="AI478" s="35"/>
      <c r="AJ478" s="35"/>
      <c r="AK478" s="35"/>
      <c r="AL478" s="35"/>
      <c r="AM478" s="35"/>
      <c r="AN478" s="35"/>
      <c r="AO478" s="35"/>
      <c r="AP478" s="35"/>
      <c r="AQ478" s="35"/>
      <c r="AR478" s="35"/>
      <c r="AS478" s="35"/>
      <c r="AT478" s="35"/>
      <c r="AU478" s="35"/>
      <c r="AV478" s="35"/>
      <c r="AW478" s="35"/>
      <c r="AX478" s="35"/>
      <c r="AY478" s="35"/>
      <c r="AZ478" s="35"/>
      <c r="BA478" s="35"/>
      <c r="BB478" s="35"/>
    </row>
    <row r="479" spans="1:54" s="5" customFormat="1" x14ac:dyDescent="0.25">
      <c r="A479" s="32"/>
      <c r="B479" s="32"/>
      <c r="C479" s="32"/>
      <c r="D479" s="33"/>
      <c r="E479" s="33"/>
      <c r="F479" s="33"/>
      <c r="G479" s="33"/>
      <c r="H479" s="33"/>
      <c r="I479" s="33"/>
      <c r="J479" s="33"/>
      <c r="K479" s="33"/>
      <c r="L479" s="33"/>
      <c r="M479" s="33"/>
      <c r="N479" s="33"/>
      <c r="O479" s="33"/>
      <c r="P479" s="33"/>
      <c r="Q479" s="33"/>
      <c r="R479" s="33"/>
      <c r="S479" s="33"/>
      <c r="T479" s="33"/>
      <c r="U479" s="33"/>
      <c r="V479" s="33"/>
      <c r="W479" s="33"/>
      <c r="X479" s="33"/>
      <c r="Y479" s="33"/>
      <c r="Z479" s="33"/>
      <c r="AA479" s="33"/>
      <c r="AB479" s="33"/>
      <c r="AC479" s="33"/>
      <c r="AD479" s="33"/>
      <c r="AE479" s="36"/>
      <c r="AF479" s="36"/>
      <c r="AG479" s="36"/>
      <c r="AH479" s="36"/>
      <c r="AI479" s="36"/>
      <c r="AJ479" s="36"/>
      <c r="AK479" s="36"/>
      <c r="AL479" s="36"/>
      <c r="AM479" s="36"/>
      <c r="AN479" s="36"/>
      <c r="AO479" s="36"/>
      <c r="AP479" s="36"/>
      <c r="AQ479" s="36"/>
      <c r="AR479" s="36"/>
      <c r="AS479" s="36"/>
      <c r="AT479" s="36"/>
      <c r="AU479" s="36"/>
      <c r="AV479" s="36"/>
      <c r="AW479" s="36"/>
      <c r="AX479" s="36"/>
      <c r="AY479" s="36"/>
      <c r="AZ479" s="36"/>
      <c r="BA479" s="36"/>
      <c r="BB479" s="36"/>
    </row>
    <row r="480" spans="1:54" x14ac:dyDescent="0.25">
      <c r="A480" s="34"/>
      <c r="B480" s="34"/>
      <c r="C480" s="34"/>
      <c r="D480" s="35"/>
      <c r="E480" s="35"/>
      <c r="F480" s="35"/>
      <c r="G480" s="35"/>
      <c r="H480" s="35"/>
      <c r="I480" s="35"/>
      <c r="J480" s="35"/>
      <c r="K480" s="35"/>
      <c r="L480" s="35"/>
      <c r="M480" s="35"/>
      <c r="N480" s="35"/>
      <c r="O480" s="35"/>
      <c r="P480" s="35"/>
      <c r="Q480" s="35"/>
      <c r="R480" s="35"/>
      <c r="S480" s="35"/>
      <c r="T480" s="35"/>
      <c r="U480" s="35"/>
      <c r="V480" s="35"/>
      <c r="W480" s="35"/>
      <c r="X480" s="35"/>
      <c r="Y480" s="35"/>
      <c r="Z480" s="35"/>
      <c r="AA480" s="35"/>
      <c r="AB480" s="35"/>
      <c r="AC480" s="35"/>
      <c r="AD480" s="35"/>
      <c r="AE480" s="35"/>
      <c r="AF480" s="35"/>
      <c r="AG480" s="35"/>
      <c r="AH480" s="35"/>
      <c r="AI480" s="35"/>
      <c r="AJ480" s="35"/>
      <c r="AK480" s="35"/>
      <c r="AL480" s="35"/>
      <c r="AM480" s="35"/>
      <c r="AN480" s="35"/>
      <c r="AO480" s="35"/>
      <c r="AP480" s="35"/>
      <c r="AQ480" s="35"/>
      <c r="AR480" s="35"/>
      <c r="AS480" s="35"/>
      <c r="AT480" s="35"/>
      <c r="AU480" s="35"/>
      <c r="AV480" s="35"/>
      <c r="AW480" s="35"/>
      <c r="AX480" s="35"/>
      <c r="AY480" s="35"/>
      <c r="AZ480" s="35"/>
      <c r="BA480" s="35"/>
      <c r="BB480" s="35"/>
    </row>
    <row r="481" spans="1:54" s="5" customFormat="1" x14ac:dyDescent="0.25">
      <c r="A481" s="32"/>
      <c r="B481" s="32"/>
      <c r="C481" s="32"/>
      <c r="D481" s="33"/>
      <c r="E481" s="33"/>
      <c r="F481" s="33"/>
      <c r="G481" s="33"/>
      <c r="H481" s="33"/>
      <c r="I481" s="33"/>
      <c r="J481" s="33"/>
      <c r="K481" s="33"/>
      <c r="L481" s="33"/>
      <c r="M481" s="33"/>
      <c r="N481" s="33"/>
      <c r="O481" s="33"/>
      <c r="P481" s="33"/>
      <c r="Q481" s="33"/>
      <c r="R481" s="33"/>
      <c r="S481" s="33"/>
      <c r="T481" s="33"/>
      <c r="U481" s="33"/>
      <c r="V481" s="33"/>
      <c r="W481" s="33"/>
      <c r="X481" s="33"/>
      <c r="Y481" s="33"/>
      <c r="Z481" s="33"/>
      <c r="AA481" s="33"/>
      <c r="AB481" s="33"/>
      <c r="AC481" s="33"/>
      <c r="AD481" s="33"/>
      <c r="AE481" s="36"/>
      <c r="AF481" s="36"/>
      <c r="AG481" s="36"/>
      <c r="AH481" s="36"/>
      <c r="AI481" s="36"/>
      <c r="AJ481" s="36"/>
      <c r="AK481" s="36"/>
      <c r="AL481" s="36"/>
      <c r="AM481" s="36"/>
      <c r="AN481" s="36"/>
      <c r="AO481" s="36"/>
      <c r="AP481" s="36"/>
      <c r="AQ481" s="36"/>
      <c r="AR481" s="36"/>
      <c r="AS481" s="36"/>
      <c r="AT481" s="36"/>
      <c r="AU481" s="36"/>
      <c r="AV481" s="36"/>
      <c r="AW481" s="36"/>
      <c r="AX481" s="36"/>
      <c r="AY481" s="36"/>
      <c r="AZ481" s="36"/>
      <c r="BA481" s="36"/>
      <c r="BB481" s="36"/>
    </row>
    <row r="482" spans="1:54" x14ac:dyDescent="0.25">
      <c r="A482" s="34"/>
      <c r="B482" s="34"/>
      <c r="C482" s="34"/>
      <c r="D482" s="35"/>
      <c r="E482" s="35"/>
      <c r="F482" s="35"/>
      <c r="G482" s="35"/>
      <c r="H482" s="35"/>
      <c r="I482" s="35"/>
      <c r="J482" s="35"/>
      <c r="K482" s="35"/>
      <c r="L482" s="35"/>
      <c r="M482" s="35"/>
      <c r="N482" s="35"/>
      <c r="O482" s="35"/>
      <c r="P482" s="35"/>
      <c r="Q482" s="35"/>
      <c r="R482" s="35"/>
      <c r="S482" s="35"/>
      <c r="T482" s="35"/>
      <c r="U482" s="35"/>
      <c r="V482" s="35"/>
      <c r="W482" s="35"/>
      <c r="X482" s="35"/>
      <c r="Y482" s="35"/>
      <c r="Z482" s="35"/>
      <c r="AA482" s="35"/>
      <c r="AB482" s="35"/>
      <c r="AC482" s="35"/>
      <c r="AD482" s="35"/>
      <c r="AE482" s="35"/>
      <c r="AF482" s="35"/>
      <c r="AG482" s="35"/>
      <c r="AH482" s="35"/>
      <c r="AI482" s="35"/>
      <c r="AJ482" s="35"/>
      <c r="AK482" s="35"/>
      <c r="AL482" s="35"/>
      <c r="AM482" s="35"/>
      <c r="AN482" s="35"/>
      <c r="AO482" s="35"/>
      <c r="AP482" s="35"/>
      <c r="AQ482" s="35"/>
      <c r="AR482" s="37"/>
      <c r="AS482" s="37"/>
      <c r="AT482" s="37"/>
      <c r="AU482" s="37"/>
      <c r="AV482" s="35"/>
      <c r="AW482" s="35"/>
      <c r="AX482" s="35"/>
      <c r="AY482" s="37"/>
      <c r="AZ482" s="37"/>
      <c r="BA482" s="37"/>
      <c r="BB482" s="37"/>
    </row>
    <row r="483" spans="1:54" s="5" customFormat="1" x14ac:dyDescent="0.25">
      <c r="A483" s="32"/>
      <c r="B483" s="32"/>
      <c r="C483" s="32"/>
      <c r="D483" s="33"/>
      <c r="E483" s="33"/>
      <c r="F483" s="33"/>
      <c r="G483" s="33"/>
      <c r="H483" s="33"/>
      <c r="I483" s="33"/>
      <c r="J483" s="33"/>
      <c r="K483" s="33"/>
      <c r="L483" s="33"/>
      <c r="M483" s="33"/>
      <c r="N483" s="33"/>
      <c r="O483" s="33"/>
      <c r="P483" s="33"/>
      <c r="Q483" s="33"/>
      <c r="R483" s="33"/>
      <c r="S483" s="33"/>
      <c r="T483" s="33"/>
      <c r="U483" s="33"/>
      <c r="V483" s="33"/>
      <c r="W483" s="33"/>
      <c r="X483" s="33"/>
      <c r="Y483" s="33"/>
      <c r="Z483" s="33"/>
      <c r="AA483" s="33"/>
      <c r="AB483" s="33"/>
      <c r="AC483" s="33"/>
      <c r="AD483" s="33"/>
      <c r="AE483" s="33"/>
      <c r="AF483" s="33"/>
      <c r="AG483" s="33"/>
      <c r="AH483" s="33"/>
      <c r="AI483" s="33"/>
      <c r="AJ483" s="33"/>
      <c r="AK483" s="33"/>
      <c r="AL483" s="33"/>
      <c r="AM483" s="33"/>
      <c r="AN483" s="33"/>
      <c r="AO483" s="33"/>
      <c r="AP483" s="33"/>
      <c r="AQ483" s="33"/>
      <c r="AR483" s="33"/>
      <c r="AS483" s="33"/>
      <c r="AT483" s="33"/>
      <c r="AU483" s="33"/>
      <c r="AV483" s="33"/>
      <c r="AW483" s="33"/>
      <c r="AX483" s="33"/>
      <c r="AY483" s="33"/>
      <c r="AZ483" s="33"/>
      <c r="BA483" s="33"/>
      <c r="BB483" s="33"/>
    </row>
    <row r="484" spans="1:54" x14ac:dyDescent="0.25">
      <c r="A484" s="34"/>
      <c r="B484" s="34"/>
      <c r="C484" s="34"/>
      <c r="D484" s="35"/>
      <c r="E484" s="35"/>
      <c r="F484" s="35"/>
      <c r="G484" s="35"/>
      <c r="H484" s="35"/>
      <c r="I484" s="35"/>
      <c r="J484" s="35"/>
      <c r="K484" s="35"/>
      <c r="L484" s="35"/>
      <c r="M484" s="35"/>
      <c r="N484" s="35"/>
      <c r="O484" s="35"/>
      <c r="P484" s="35"/>
      <c r="Q484" s="35"/>
      <c r="R484" s="35"/>
      <c r="S484" s="35"/>
      <c r="T484" s="35"/>
      <c r="U484" s="35"/>
      <c r="V484" s="35"/>
      <c r="W484" s="35"/>
      <c r="X484" s="35"/>
      <c r="Y484" s="35"/>
      <c r="Z484" s="35"/>
      <c r="AA484" s="35"/>
      <c r="AB484" s="35"/>
      <c r="AC484" s="35"/>
      <c r="AD484" s="35"/>
      <c r="AE484" s="35"/>
      <c r="AF484" s="35"/>
      <c r="AG484" s="35"/>
      <c r="AH484" s="35"/>
      <c r="AI484" s="35"/>
      <c r="AJ484" s="35"/>
      <c r="AK484" s="35"/>
      <c r="AL484" s="35"/>
      <c r="AM484" s="35"/>
      <c r="AN484" s="35"/>
      <c r="AO484" s="35"/>
      <c r="AP484" s="35"/>
      <c r="AQ484" s="35"/>
      <c r="AR484" s="35"/>
      <c r="AS484" s="35"/>
      <c r="AT484" s="35"/>
      <c r="AU484" s="35"/>
      <c r="AV484" s="35"/>
      <c r="AW484" s="35"/>
      <c r="AX484" s="35"/>
      <c r="AY484" s="35"/>
      <c r="AZ484" s="35"/>
      <c r="BA484" s="35"/>
      <c r="BB484" s="35"/>
    </row>
    <row r="485" spans="1:54" s="5" customFormat="1" x14ac:dyDescent="0.25">
      <c r="A485" s="32"/>
      <c r="B485" s="32"/>
      <c r="C485" s="32"/>
      <c r="D485" s="33"/>
      <c r="E485" s="33"/>
      <c r="F485" s="33"/>
      <c r="G485" s="33"/>
      <c r="H485" s="33"/>
      <c r="I485" s="33"/>
      <c r="J485" s="33"/>
      <c r="K485" s="33"/>
      <c r="L485" s="33"/>
      <c r="M485" s="33"/>
      <c r="N485" s="33"/>
      <c r="O485" s="33"/>
      <c r="P485" s="33"/>
      <c r="Q485" s="33"/>
      <c r="R485" s="33"/>
      <c r="S485" s="33"/>
      <c r="T485" s="33"/>
      <c r="U485" s="33"/>
      <c r="V485" s="33"/>
      <c r="W485" s="33"/>
      <c r="X485" s="33"/>
      <c r="Y485" s="33"/>
      <c r="Z485" s="33"/>
      <c r="AA485" s="33"/>
      <c r="AB485" s="33"/>
      <c r="AC485" s="33"/>
      <c r="AD485" s="33"/>
      <c r="AE485" s="33"/>
      <c r="AF485" s="33"/>
      <c r="AG485" s="33"/>
      <c r="AH485" s="33"/>
      <c r="AI485" s="33"/>
      <c r="AJ485" s="33"/>
      <c r="AK485" s="33"/>
      <c r="AL485" s="33"/>
      <c r="AM485" s="33"/>
      <c r="AN485" s="33"/>
      <c r="AO485" s="33"/>
      <c r="AP485" s="33"/>
      <c r="AQ485" s="33"/>
      <c r="AR485" s="33"/>
      <c r="AS485" s="33"/>
      <c r="AT485" s="33"/>
      <c r="AU485" s="33"/>
      <c r="AV485" s="33"/>
      <c r="AW485" s="33"/>
      <c r="AX485" s="33"/>
      <c r="AY485" s="33"/>
      <c r="AZ485" s="33"/>
      <c r="BA485" s="33"/>
      <c r="BB485" s="33"/>
    </row>
    <row r="486" spans="1:54" x14ac:dyDescent="0.25">
      <c r="A486" s="34"/>
      <c r="B486" s="34"/>
      <c r="C486" s="34"/>
      <c r="D486" s="35"/>
      <c r="E486" s="35"/>
      <c r="F486" s="35"/>
      <c r="G486" s="35"/>
      <c r="H486" s="35"/>
      <c r="I486" s="35"/>
      <c r="J486" s="35"/>
      <c r="K486" s="35"/>
      <c r="L486" s="35"/>
      <c r="M486" s="35"/>
      <c r="N486" s="35"/>
      <c r="O486" s="35"/>
      <c r="P486" s="35"/>
      <c r="Q486" s="35"/>
      <c r="R486" s="35"/>
      <c r="S486" s="35"/>
      <c r="T486" s="35"/>
      <c r="U486" s="35"/>
      <c r="V486" s="35"/>
      <c r="W486" s="35"/>
      <c r="X486" s="35"/>
      <c r="Y486" s="35"/>
      <c r="Z486" s="35"/>
      <c r="AA486" s="35"/>
      <c r="AB486" s="35"/>
      <c r="AC486" s="35"/>
      <c r="AD486" s="35"/>
      <c r="AE486" s="35"/>
      <c r="AF486" s="35"/>
      <c r="AG486" s="35"/>
      <c r="AH486" s="35"/>
      <c r="AI486" s="35"/>
      <c r="AJ486" s="35"/>
      <c r="AK486" s="35"/>
      <c r="AL486" s="35"/>
      <c r="AM486" s="35"/>
      <c r="AN486" s="35"/>
      <c r="AO486" s="35"/>
      <c r="AP486" s="35"/>
      <c r="AQ486" s="35"/>
      <c r="AR486" s="35"/>
      <c r="AS486" s="35"/>
      <c r="AT486" s="35"/>
      <c r="AU486" s="35"/>
      <c r="AV486" s="35"/>
      <c r="AW486" s="35"/>
      <c r="AX486" s="35"/>
      <c r="AY486" s="35"/>
      <c r="AZ486" s="35"/>
      <c r="BA486" s="35"/>
      <c r="BB486" s="35"/>
    </row>
    <row r="487" spans="1:54" s="5" customFormat="1" x14ac:dyDescent="0.25">
      <c r="A487" s="32"/>
      <c r="B487" s="32"/>
      <c r="C487" s="32"/>
      <c r="D487" s="33"/>
      <c r="E487" s="33"/>
      <c r="F487" s="33"/>
      <c r="G487" s="33"/>
      <c r="H487" s="33"/>
      <c r="I487" s="33"/>
      <c r="J487" s="33"/>
      <c r="K487" s="33"/>
      <c r="L487" s="33"/>
      <c r="M487" s="33"/>
      <c r="N487" s="33"/>
      <c r="O487" s="33"/>
      <c r="P487" s="33"/>
      <c r="Q487" s="33"/>
      <c r="R487" s="33"/>
      <c r="S487" s="33"/>
      <c r="T487" s="33"/>
      <c r="U487" s="33"/>
      <c r="V487" s="33"/>
      <c r="W487" s="33"/>
      <c r="X487" s="33"/>
      <c r="Y487" s="33"/>
      <c r="Z487" s="33"/>
      <c r="AA487" s="33"/>
      <c r="AB487" s="33"/>
      <c r="AC487" s="33"/>
      <c r="AD487" s="33"/>
      <c r="AE487" s="33"/>
      <c r="AF487" s="33"/>
      <c r="AG487" s="33"/>
      <c r="AH487" s="33"/>
      <c r="AI487" s="33"/>
      <c r="AJ487" s="33"/>
      <c r="AK487" s="33"/>
      <c r="AL487" s="33"/>
      <c r="AM487" s="33"/>
      <c r="AN487" s="33"/>
      <c r="AO487" s="33"/>
      <c r="AP487" s="33"/>
      <c r="AQ487" s="33"/>
      <c r="AR487" s="33"/>
      <c r="AS487" s="33"/>
      <c r="AT487" s="33"/>
      <c r="AU487" s="33"/>
      <c r="AV487" s="33"/>
      <c r="AW487" s="33"/>
      <c r="AX487" s="33"/>
      <c r="AY487" s="33"/>
      <c r="AZ487" s="33"/>
      <c r="BA487" s="33"/>
      <c r="BB487" s="33"/>
    </row>
    <row r="488" spans="1:54" x14ac:dyDescent="0.25">
      <c r="A488" s="34"/>
      <c r="B488" s="34"/>
      <c r="C488" s="34"/>
      <c r="D488" s="35"/>
      <c r="E488" s="35"/>
      <c r="F488" s="35"/>
      <c r="G488" s="35"/>
      <c r="H488" s="35"/>
      <c r="I488" s="35"/>
      <c r="J488" s="35"/>
      <c r="K488" s="35"/>
      <c r="L488" s="35"/>
      <c r="M488" s="35"/>
      <c r="N488" s="35"/>
      <c r="O488" s="35"/>
      <c r="P488" s="35"/>
      <c r="Q488" s="35"/>
      <c r="R488" s="35"/>
      <c r="S488" s="35"/>
      <c r="T488" s="35"/>
      <c r="U488" s="35"/>
      <c r="V488" s="35"/>
      <c r="W488" s="35"/>
      <c r="X488" s="35"/>
      <c r="Y488" s="35"/>
      <c r="Z488" s="35"/>
      <c r="AA488" s="35"/>
      <c r="AB488" s="35"/>
      <c r="AC488" s="35"/>
      <c r="AD488" s="35"/>
      <c r="AE488" s="35"/>
      <c r="AF488" s="35"/>
      <c r="AG488" s="35"/>
      <c r="AH488" s="35"/>
      <c r="AI488" s="35"/>
      <c r="AJ488" s="35"/>
      <c r="AK488" s="35"/>
      <c r="AL488" s="35"/>
      <c r="AM488" s="35"/>
      <c r="AN488" s="35"/>
      <c r="AO488" s="35"/>
      <c r="AP488" s="35"/>
      <c r="AQ488" s="35"/>
      <c r="AR488" s="35"/>
      <c r="AS488" s="35"/>
      <c r="AT488" s="35"/>
      <c r="AU488" s="35"/>
      <c r="AV488" s="35"/>
      <c r="AW488" s="35"/>
      <c r="AX488" s="35"/>
      <c r="AY488" s="35"/>
      <c r="AZ488" s="35"/>
      <c r="BA488" s="35"/>
      <c r="BB488" s="35"/>
    </row>
    <row r="489" spans="1:54" s="5" customFormat="1" x14ac:dyDescent="0.25">
      <c r="A489" s="32"/>
      <c r="B489" s="32"/>
      <c r="C489" s="32"/>
      <c r="D489" s="33"/>
      <c r="E489" s="33"/>
      <c r="F489" s="33"/>
      <c r="G489" s="33"/>
      <c r="H489" s="33"/>
      <c r="I489" s="33"/>
      <c r="J489" s="33"/>
      <c r="K489" s="33"/>
      <c r="L489" s="33"/>
      <c r="M489" s="33"/>
      <c r="N489" s="33"/>
      <c r="O489" s="33"/>
      <c r="P489" s="33"/>
      <c r="Q489" s="33"/>
      <c r="R489" s="33"/>
      <c r="S489" s="33"/>
      <c r="T489" s="33"/>
      <c r="U489" s="33"/>
      <c r="V489" s="33"/>
      <c r="W489" s="33"/>
      <c r="X489" s="33"/>
      <c r="Y489" s="33"/>
      <c r="Z489" s="33"/>
      <c r="AA489" s="33"/>
      <c r="AB489" s="33"/>
      <c r="AC489" s="33"/>
      <c r="AD489" s="33"/>
      <c r="AE489" s="33"/>
      <c r="AF489" s="33"/>
      <c r="AG489" s="33"/>
      <c r="AH489" s="33"/>
      <c r="AI489" s="33"/>
      <c r="AJ489" s="33"/>
      <c r="AK489" s="33"/>
      <c r="AL489" s="33"/>
      <c r="AM489" s="33"/>
      <c r="AN489" s="33"/>
      <c r="AO489" s="33"/>
      <c r="AP489" s="33"/>
      <c r="AQ489" s="33"/>
      <c r="AR489" s="33"/>
      <c r="AS489" s="33"/>
      <c r="AT489" s="33"/>
      <c r="AU489" s="33"/>
      <c r="AV489" s="33"/>
      <c r="AW489" s="33"/>
      <c r="AX489" s="33"/>
      <c r="AY489" s="33"/>
      <c r="AZ489" s="33"/>
      <c r="BA489" s="33"/>
      <c r="BB489" s="33"/>
    </row>
    <row r="490" spans="1:54" x14ac:dyDescent="0.25">
      <c r="A490" s="32"/>
      <c r="B490" s="34"/>
      <c r="C490" s="34"/>
      <c r="D490" s="35"/>
      <c r="E490" s="35"/>
      <c r="F490" s="35"/>
      <c r="G490" s="35"/>
      <c r="H490" s="35"/>
      <c r="I490" s="35"/>
      <c r="J490" s="35"/>
      <c r="K490" s="35"/>
      <c r="L490" s="35"/>
      <c r="M490" s="35"/>
      <c r="N490" s="35"/>
      <c r="O490" s="35"/>
      <c r="P490" s="35"/>
      <c r="Q490" s="35"/>
      <c r="R490" s="35"/>
      <c r="S490" s="35"/>
      <c r="T490" s="35"/>
      <c r="U490" s="35"/>
      <c r="V490" s="35"/>
      <c r="W490" s="35"/>
      <c r="X490" s="35"/>
      <c r="Y490" s="35"/>
      <c r="Z490" s="35"/>
      <c r="AA490" s="35"/>
      <c r="AB490" s="35"/>
      <c r="AC490" s="35"/>
      <c r="AD490" s="35"/>
      <c r="AE490" s="35"/>
      <c r="AF490" s="35"/>
      <c r="AG490" s="35"/>
      <c r="AH490" s="35"/>
      <c r="AI490" s="35"/>
      <c r="AJ490" s="35"/>
      <c r="AK490" s="35"/>
      <c r="AL490" s="35"/>
      <c r="AM490" s="35"/>
      <c r="AN490" s="35"/>
      <c r="AO490" s="35"/>
      <c r="AP490" s="35"/>
      <c r="AQ490" s="35"/>
      <c r="AR490" s="35"/>
      <c r="AS490" s="35"/>
      <c r="AT490" s="35"/>
      <c r="AU490" s="35"/>
      <c r="AV490" s="35"/>
      <c r="AW490" s="35"/>
      <c r="AX490" s="35"/>
      <c r="AY490" s="35"/>
      <c r="AZ490" s="35"/>
      <c r="BA490" s="35"/>
      <c r="BB490" s="35"/>
    </row>
    <row r="491" spans="1:54" s="5" customFormat="1" x14ac:dyDescent="0.25">
      <c r="A491" s="32"/>
      <c r="B491" s="32"/>
      <c r="C491" s="32"/>
      <c r="D491" s="33"/>
      <c r="E491" s="33"/>
      <c r="F491" s="33"/>
      <c r="G491" s="33"/>
      <c r="H491" s="33"/>
      <c r="I491" s="33"/>
      <c r="J491" s="33"/>
      <c r="K491" s="33"/>
      <c r="L491" s="33"/>
      <c r="M491" s="33"/>
      <c r="N491" s="33"/>
      <c r="O491" s="33"/>
      <c r="P491" s="33"/>
      <c r="Q491" s="33"/>
      <c r="R491" s="33"/>
      <c r="S491" s="33"/>
      <c r="T491" s="33"/>
      <c r="U491" s="33"/>
      <c r="V491" s="33"/>
      <c r="W491" s="33"/>
      <c r="X491" s="33"/>
      <c r="Y491" s="33"/>
      <c r="Z491" s="33"/>
      <c r="AA491" s="33"/>
      <c r="AB491" s="33"/>
      <c r="AC491" s="33"/>
      <c r="AD491" s="33"/>
      <c r="AE491" s="33"/>
      <c r="AF491" s="33"/>
      <c r="AG491" s="33"/>
      <c r="AH491" s="33"/>
      <c r="AI491" s="33"/>
      <c r="AJ491" s="33"/>
      <c r="AK491" s="33"/>
      <c r="AL491" s="33"/>
      <c r="AM491" s="33"/>
      <c r="AN491" s="33"/>
      <c r="AO491" s="33"/>
      <c r="AP491" s="33"/>
      <c r="AQ491" s="33"/>
      <c r="AR491" s="33"/>
      <c r="AS491" s="33"/>
      <c r="AT491" s="33"/>
      <c r="AU491" s="33"/>
      <c r="AV491" s="33"/>
      <c r="AW491" s="33"/>
      <c r="AX491" s="33"/>
      <c r="AY491" s="33"/>
      <c r="AZ491" s="33"/>
      <c r="BA491" s="33"/>
      <c r="BB491" s="33"/>
    </row>
    <row r="492" spans="1:54" s="5" customFormat="1" x14ac:dyDescent="0.25">
      <c r="A492" s="32"/>
      <c r="B492" s="32"/>
      <c r="C492" s="32"/>
      <c r="D492" s="33"/>
      <c r="E492" s="33"/>
      <c r="F492" s="33"/>
      <c r="G492" s="33"/>
      <c r="H492" s="33"/>
      <c r="I492" s="33"/>
      <c r="J492" s="33"/>
      <c r="K492" s="33"/>
      <c r="L492" s="33"/>
      <c r="M492" s="33"/>
      <c r="N492" s="33"/>
      <c r="O492" s="33"/>
      <c r="P492" s="33"/>
      <c r="Q492" s="33"/>
      <c r="R492" s="33"/>
      <c r="S492" s="33"/>
      <c r="T492" s="33"/>
      <c r="U492" s="33"/>
      <c r="V492" s="33"/>
      <c r="W492" s="33"/>
      <c r="X492" s="33"/>
      <c r="Y492" s="33"/>
      <c r="Z492" s="33"/>
      <c r="AA492" s="33"/>
      <c r="AB492" s="33"/>
      <c r="AC492" s="33"/>
      <c r="AD492" s="33"/>
      <c r="AE492" s="33"/>
      <c r="AF492" s="33"/>
      <c r="AG492" s="33"/>
      <c r="AH492" s="33"/>
      <c r="AI492" s="33"/>
      <c r="AJ492" s="33"/>
      <c r="AK492" s="33"/>
      <c r="AL492" s="36"/>
      <c r="AM492" s="36"/>
      <c r="AN492" s="36"/>
      <c r="AO492" s="36"/>
      <c r="AP492" s="36"/>
      <c r="AQ492" s="36"/>
      <c r="AR492" s="36"/>
      <c r="AS492" s="36"/>
      <c r="AT492" s="36"/>
      <c r="AU492" s="36"/>
      <c r="AV492" s="36"/>
      <c r="AW492" s="36"/>
      <c r="AX492" s="36"/>
      <c r="AY492" s="36"/>
      <c r="AZ492" s="36"/>
      <c r="BA492" s="36"/>
      <c r="BB492" s="36"/>
    </row>
    <row r="493" spans="1:54" x14ac:dyDescent="0.25">
      <c r="A493" s="34"/>
      <c r="B493" s="34"/>
      <c r="C493" s="34"/>
      <c r="D493" s="35"/>
      <c r="E493" s="35"/>
      <c r="F493" s="35"/>
      <c r="G493" s="35"/>
      <c r="H493" s="35"/>
      <c r="I493" s="35"/>
      <c r="J493" s="35"/>
      <c r="K493" s="35"/>
      <c r="L493" s="35"/>
      <c r="M493" s="35"/>
      <c r="N493" s="35"/>
      <c r="O493" s="35"/>
      <c r="P493" s="35"/>
      <c r="Q493" s="35"/>
      <c r="R493" s="35"/>
      <c r="S493" s="35"/>
      <c r="T493" s="35"/>
      <c r="U493" s="35"/>
      <c r="V493" s="35"/>
      <c r="W493" s="35"/>
      <c r="X493" s="35"/>
      <c r="Y493" s="35"/>
      <c r="Z493" s="35"/>
      <c r="AA493" s="35"/>
      <c r="AB493" s="35"/>
      <c r="AC493" s="35"/>
      <c r="AD493" s="35"/>
      <c r="AE493" s="37"/>
      <c r="AF493" s="37"/>
      <c r="AG493" s="37"/>
      <c r="AH493" s="37"/>
      <c r="AI493" s="37"/>
      <c r="AJ493" s="37"/>
      <c r="AK493" s="37"/>
      <c r="AL493" s="37"/>
      <c r="AM493" s="37"/>
      <c r="AN493" s="37"/>
      <c r="AO493" s="35"/>
      <c r="AP493" s="35"/>
      <c r="AQ493" s="35"/>
      <c r="AR493" s="35"/>
      <c r="AS493" s="35"/>
      <c r="AT493" s="35"/>
      <c r="AU493" s="35"/>
      <c r="AV493" s="35"/>
      <c r="AW493" s="35"/>
      <c r="AX493" s="37"/>
      <c r="AY493" s="37"/>
      <c r="AZ493" s="37"/>
      <c r="BA493" s="37"/>
      <c r="BB493" s="37"/>
    </row>
    <row r="494" spans="1:54" s="5" customFormat="1" x14ac:dyDescent="0.25">
      <c r="A494" s="32"/>
      <c r="B494" s="32"/>
      <c r="C494" s="32"/>
      <c r="D494" s="33"/>
      <c r="E494" s="33"/>
      <c r="F494" s="33"/>
      <c r="G494" s="33"/>
      <c r="H494" s="33"/>
      <c r="I494" s="33"/>
      <c r="J494" s="33"/>
      <c r="K494" s="33"/>
      <c r="L494" s="33"/>
      <c r="M494" s="33"/>
      <c r="N494" s="33"/>
      <c r="O494" s="33"/>
      <c r="P494" s="33"/>
      <c r="Q494" s="33"/>
      <c r="R494" s="33"/>
      <c r="S494" s="33"/>
      <c r="T494" s="33"/>
      <c r="U494" s="33"/>
      <c r="V494" s="33"/>
      <c r="W494" s="33"/>
      <c r="X494" s="33"/>
      <c r="Y494" s="33"/>
      <c r="Z494" s="33"/>
      <c r="AA494" s="33"/>
      <c r="AB494" s="33"/>
      <c r="AC494" s="33"/>
      <c r="AD494" s="33"/>
      <c r="AE494" s="33"/>
      <c r="AF494" s="33"/>
      <c r="AG494" s="33"/>
      <c r="AH494" s="33"/>
      <c r="AI494" s="33"/>
      <c r="AJ494" s="33"/>
      <c r="AK494" s="33"/>
      <c r="AL494" s="33"/>
      <c r="AM494" s="33"/>
      <c r="AN494" s="33"/>
      <c r="AO494" s="33"/>
      <c r="AP494" s="33"/>
      <c r="AQ494" s="33"/>
      <c r="AR494" s="33"/>
      <c r="AS494" s="33"/>
      <c r="AT494" s="33"/>
      <c r="AU494" s="33"/>
      <c r="AV494" s="33"/>
      <c r="AW494" s="33"/>
      <c r="AX494" s="33"/>
      <c r="AY494" s="33"/>
      <c r="AZ494" s="33"/>
      <c r="BA494" s="33"/>
      <c r="BB494" s="33"/>
    </row>
    <row r="495" spans="1:54" x14ac:dyDescent="0.25">
      <c r="A495" s="34"/>
      <c r="B495" s="34"/>
      <c r="C495" s="34"/>
      <c r="D495" s="35"/>
      <c r="E495" s="35"/>
      <c r="F495" s="35"/>
      <c r="G495" s="35"/>
      <c r="H495" s="35"/>
      <c r="I495" s="35"/>
      <c r="J495" s="35"/>
      <c r="K495" s="35"/>
      <c r="L495" s="35"/>
      <c r="M495" s="35"/>
      <c r="N495" s="35"/>
      <c r="O495" s="35"/>
      <c r="P495" s="35"/>
      <c r="Q495" s="35"/>
      <c r="R495" s="35"/>
      <c r="S495" s="35"/>
      <c r="T495" s="35"/>
      <c r="U495" s="35"/>
      <c r="V495" s="35"/>
      <c r="W495" s="35"/>
      <c r="X495" s="35"/>
      <c r="Y495" s="35"/>
      <c r="Z495" s="35"/>
      <c r="AA495" s="35"/>
      <c r="AB495" s="35"/>
      <c r="AC495" s="35"/>
      <c r="AD495" s="35"/>
      <c r="AE495" s="37"/>
      <c r="AF495" s="37"/>
      <c r="AG495" s="37"/>
      <c r="AH495" s="37"/>
      <c r="AI495" s="37"/>
      <c r="AJ495" s="37"/>
      <c r="AK495" s="37"/>
      <c r="AL495" s="37"/>
      <c r="AM495" s="37"/>
      <c r="AN495" s="37"/>
      <c r="AO495" s="37"/>
      <c r="AP495" s="37"/>
      <c r="AQ495" s="37"/>
      <c r="AR495" s="37"/>
      <c r="AS495" s="37"/>
      <c r="AT495" s="37"/>
      <c r="AU495" s="37"/>
      <c r="AV495" s="37"/>
      <c r="AW495" s="37"/>
      <c r="AX495" s="37"/>
      <c r="AY495" s="37"/>
      <c r="AZ495" s="37"/>
      <c r="BA495" s="37"/>
      <c r="BB495" s="37"/>
    </row>
    <row r="496" spans="1:54" s="5" customFormat="1" x14ac:dyDescent="0.25">
      <c r="A496" s="32"/>
      <c r="B496" s="32"/>
      <c r="C496" s="32"/>
      <c r="D496" s="33"/>
      <c r="E496" s="33"/>
      <c r="F496" s="33"/>
      <c r="G496" s="33"/>
      <c r="H496" s="33"/>
      <c r="I496" s="33"/>
      <c r="J496" s="33"/>
      <c r="K496" s="33"/>
      <c r="L496" s="33"/>
      <c r="M496" s="33"/>
      <c r="N496" s="33"/>
      <c r="O496" s="33"/>
      <c r="P496" s="33"/>
      <c r="Q496" s="33"/>
      <c r="R496" s="33"/>
      <c r="S496" s="33"/>
      <c r="T496" s="33"/>
      <c r="U496" s="33"/>
      <c r="V496" s="33"/>
      <c r="W496" s="33"/>
      <c r="X496" s="33"/>
      <c r="Y496" s="33"/>
      <c r="Z496" s="33"/>
      <c r="AA496" s="33"/>
      <c r="AB496" s="33"/>
      <c r="AC496" s="33"/>
      <c r="AD496" s="33"/>
      <c r="AE496" s="33"/>
      <c r="AF496" s="33"/>
      <c r="AG496" s="33"/>
      <c r="AH496" s="33"/>
      <c r="AI496" s="33"/>
      <c r="AJ496" s="33"/>
      <c r="AK496" s="33"/>
      <c r="AL496" s="36"/>
      <c r="AM496" s="36"/>
      <c r="AN496" s="36"/>
      <c r="AO496" s="36"/>
      <c r="AP496" s="36"/>
      <c r="AQ496" s="36"/>
      <c r="AR496" s="36"/>
      <c r="AS496" s="36"/>
      <c r="AT496" s="36"/>
      <c r="AU496" s="36"/>
      <c r="AV496" s="36"/>
      <c r="AW496" s="36"/>
      <c r="AX496" s="36"/>
      <c r="AY496" s="36"/>
      <c r="AZ496" s="36"/>
      <c r="BA496" s="36"/>
      <c r="BB496" s="36"/>
    </row>
    <row r="497" spans="1:54" x14ac:dyDescent="0.25">
      <c r="A497" s="34"/>
      <c r="B497" s="34"/>
      <c r="C497" s="34"/>
      <c r="D497" s="35"/>
      <c r="E497" s="35"/>
      <c r="F497" s="35"/>
      <c r="G497" s="35"/>
      <c r="H497" s="35"/>
      <c r="I497" s="35"/>
      <c r="J497" s="35"/>
      <c r="K497" s="35"/>
      <c r="L497" s="35"/>
      <c r="M497" s="35"/>
      <c r="N497" s="35"/>
      <c r="O497" s="35"/>
      <c r="P497" s="35"/>
      <c r="Q497" s="35"/>
      <c r="R497" s="35"/>
      <c r="S497" s="35"/>
      <c r="T497" s="35"/>
      <c r="U497" s="35"/>
      <c r="V497" s="35"/>
      <c r="W497" s="35"/>
      <c r="X497" s="35"/>
      <c r="Y497" s="35"/>
      <c r="Z497" s="35"/>
      <c r="AA497" s="35"/>
      <c r="AB497" s="35"/>
      <c r="AC497" s="35"/>
      <c r="AD497" s="35"/>
      <c r="AE497" s="35"/>
      <c r="AF497" s="35"/>
      <c r="AG497" s="35"/>
      <c r="AH497" s="35"/>
      <c r="AI497" s="35"/>
      <c r="AJ497" s="35"/>
      <c r="AK497" s="35"/>
      <c r="AL497" s="35"/>
      <c r="AM497" s="35"/>
      <c r="AN497" s="35"/>
      <c r="AO497" s="35"/>
      <c r="AP497" s="35"/>
      <c r="AQ497" s="35"/>
      <c r="AR497" s="35"/>
      <c r="AS497" s="35"/>
      <c r="AT497" s="35"/>
      <c r="AU497" s="35"/>
      <c r="AV497" s="35"/>
      <c r="AW497" s="35"/>
      <c r="AX497" s="35"/>
      <c r="AY497" s="35"/>
      <c r="AZ497" s="37"/>
      <c r="BA497" s="37"/>
      <c r="BB497" s="37"/>
    </row>
    <row r="498" spans="1:54" s="5" customFormat="1" x14ac:dyDescent="0.25">
      <c r="A498" s="32"/>
      <c r="B498" s="32"/>
      <c r="C498" s="32"/>
      <c r="D498" s="33"/>
      <c r="E498" s="33"/>
      <c r="F498" s="33"/>
      <c r="G498" s="33"/>
      <c r="H498" s="33"/>
      <c r="I498" s="33"/>
      <c r="J498" s="33"/>
      <c r="K498" s="33"/>
      <c r="L498" s="33"/>
      <c r="M498" s="33"/>
      <c r="N498" s="33"/>
      <c r="O498" s="33"/>
      <c r="P498" s="33"/>
      <c r="Q498" s="33"/>
      <c r="R498" s="33"/>
      <c r="S498" s="33"/>
      <c r="T498" s="33"/>
      <c r="U498" s="33"/>
      <c r="V498" s="33"/>
      <c r="W498" s="33"/>
      <c r="X498" s="33"/>
      <c r="Y498" s="33"/>
      <c r="Z498" s="33"/>
      <c r="AA498" s="33"/>
      <c r="AB498" s="33"/>
      <c r="AC498" s="33"/>
      <c r="AD498" s="33"/>
      <c r="AE498" s="33"/>
      <c r="AF498" s="33"/>
      <c r="AG498" s="33"/>
      <c r="AH498" s="33"/>
      <c r="AI498" s="33"/>
      <c r="AJ498" s="33"/>
      <c r="AK498" s="33"/>
      <c r="AL498" s="33"/>
      <c r="AM498" s="33"/>
      <c r="AN498" s="33"/>
      <c r="AO498" s="33"/>
      <c r="AP498" s="33"/>
      <c r="AQ498" s="33"/>
      <c r="AR498" s="33"/>
      <c r="AS498" s="33"/>
      <c r="AT498" s="33"/>
      <c r="AU498" s="33"/>
      <c r="AV498" s="33"/>
      <c r="AW498" s="33"/>
      <c r="AX498" s="33"/>
      <c r="AY498" s="33"/>
      <c r="AZ498" s="33"/>
      <c r="BA498" s="33"/>
      <c r="BB498" s="33"/>
    </row>
    <row r="499" spans="1:54" x14ac:dyDescent="0.25">
      <c r="A499" s="34"/>
      <c r="B499" s="34"/>
      <c r="C499" s="34"/>
      <c r="D499" s="35"/>
      <c r="E499" s="35"/>
      <c r="F499" s="35"/>
      <c r="G499" s="35"/>
      <c r="H499" s="35"/>
      <c r="I499" s="35"/>
      <c r="J499" s="35"/>
      <c r="K499" s="35"/>
      <c r="L499" s="35"/>
      <c r="M499" s="35"/>
      <c r="N499" s="35"/>
      <c r="O499" s="35"/>
      <c r="P499" s="35"/>
      <c r="Q499" s="35"/>
      <c r="R499" s="35"/>
      <c r="S499" s="35"/>
      <c r="T499" s="35"/>
      <c r="U499" s="35"/>
      <c r="V499" s="35"/>
      <c r="W499" s="35"/>
      <c r="X499" s="35"/>
      <c r="Y499" s="35"/>
      <c r="Z499" s="35"/>
      <c r="AA499" s="35"/>
      <c r="AB499" s="35"/>
      <c r="AC499" s="35"/>
      <c r="AD499" s="35"/>
      <c r="AE499" s="35"/>
      <c r="AF499" s="35"/>
      <c r="AG499" s="35"/>
      <c r="AH499" s="35"/>
      <c r="AI499" s="35"/>
      <c r="AJ499" s="35"/>
      <c r="AK499" s="35"/>
      <c r="AL499" s="37"/>
      <c r="AM499" s="37"/>
      <c r="AN499" s="37"/>
      <c r="AO499" s="37"/>
      <c r="AP499" s="37"/>
      <c r="AQ499" s="37"/>
      <c r="AR499" s="37"/>
      <c r="AS499" s="37"/>
      <c r="AT499" s="37"/>
      <c r="AU499" s="37"/>
      <c r="AV499" s="37"/>
      <c r="AW499" s="37"/>
      <c r="AX499" s="37"/>
      <c r="AY499" s="37"/>
      <c r="AZ499" s="37"/>
      <c r="BA499" s="37"/>
      <c r="BB499" s="37"/>
    </row>
    <row r="500" spans="1:54" s="5" customFormat="1" x14ac:dyDescent="0.25">
      <c r="A500" s="32"/>
      <c r="B500" s="32"/>
      <c r="C500" s="32"/>
      <c r="D500" s="33"/>
      <c r="E500" s="33"/>
      <c r="F500" s="33"/>
      <c r="G500" s="33"/>
      <c r="H500" s="33"/>
      <c r="I500" s="33"/>
      <c r="J500" s="33"/>
      <c r="K500" s="33"/>
      <c r="L500" s="33"/>
      <c r="M500" s="33"/>
      <c r="N500" s="33"/>
      <c r="O500" s="33"/>
      <c r="P500" s="33"/>
      <c r="Q500" s="33"/>
      <c r="R500" s="33"/>
      <c r="S500" s="33"/>
      <c r="T500" s="33"/>
      <c r="U500" s="33"/>
      <c r="V500" s="33"/>
      <c r="W500" s="33"/>
      <c r="X500" s="33"/>
      <c r="Y500" s="33"/>
      <c r="Z500" s="33"/>
      <c r="AA500" s="33"/>
      <c r="AB500" s="33"/>
      <c r="AC500" s="33"/>
      <c r="AD500" s="33"/>
      <c r="AE500" s="33"/>
      <c r="AF500" s="33"/>
      <c r="AG500" s="33"/>
      <c r="AH500" s="33"/>
      <c r="AI500" s="33"/>
      <c r="AJ500" s="33"/>
      <c r="AK500" s="33"/>
      <c r="AL500" s="33"/>
      <c r="AM500" s="33"/>
      <c r="AN500" s="33"/>
      <c r="AO500" s="33"/>
      <c r="AP500" s="33"/>
      <c r="AQ500" s="33"/>
      <c r="AR500" s="33"/>
      <c r="AS500" s="33"/>
      <c r="AT500" s="33"/>
      <c r="AU500" s="33"/>
      <c r="AV500" s="33"/>
      <c r="AW500" s="33"/>
      <c r="AX500" s="33"/>
      <c r="AY500" s="33"/>
      <c r="AZ500" s="33"/>
      <c r="BA500" s="33"/>
      <c r="BB500" s="33"/>
    </row>
    <row r="501" spans="1:54" x14ac:dyDescent="0.25">
      <c r="A501" s="34"/>
      <c r="B501" s="34"/>
      <c r="C501" s="34"/>
      <c r="D501" s="35"/>
      <c r="E501" s="35"/>
      <c r="F501" s="35"/>
      <c r="G501" s="35"/>
      <c r="H501" s="35"/>
      <c r="I501" s="35"/>
      <c r="J501" s="35"/>
      <c r="K501" s="35"/>
      <c r="L501" s="35"/>
      <c r="M501" s="35"/>
      <c r="N501" s="35"/>
      <c r="O501" s="35"/>
      <c r="P501" s="35"/>
      <c r="Q501" s="35"/>
      <c r="R501" s="35"/>
      <c r="S501" s="35"/>
      <c r="T501" s="35"/>
      <c r="U501" s="35"/>
      <c r="V501" s="35"/>
      <c r="W501" s="35"/>
      <c r="X501" s="35"/>
      <c r="Y501" s="35"/>
      <c r="Z501" s="35"/>
      <c r="AA501" s="35"/>
      <c r="AB501" s="35"/>
      <c r="AC501" s="35"/>
      <c r="AD501" s="35"/>
      <c r="AE501" s="35"/>
      <c r="AF501" s="35"/>
      <c r="AG501" s="35"/>
      <c r="AH501" s="35"/>
      <c r="AI501" s="35"/>
      <c r="AJ501" s="35"/>
      <c r="AK501" s="35"/>
      <c r="AL501" s="35"/>
      <c r="AM501" s="35"/>
      <c r="AN501" s="35"/>
      <c r="AO501" s="35"/>
      <c r="AP501" s="35"/>
      <c r="AQ501" s="35"/>
      <c r="AR501" s="35"/>
      <c r="AS501" s="35"/>
      <c r="AT501" s="35"/>
      <c r="AU501" s="35"/>
      <c r="AV501" s="35"/>
      <c r="AW501" s="35"/>
      <c r="AX501" s="35"/>
      <c r="AY501" s="37"/>
      <c r="AZ501" s="37"/>
      <c r="BA501" s="37"/>
      <c r="BB501" s="37"/>
    </row>
    <row r="502" spans="1:54" s="5" customFormat="1" x14ac:dyDescent="0.25">
      <c r="A502" s="32"/>
      <c r="B502" s="32"/>
      <c r="C502" s="32"/>
      <c r="D502" s="33"/>
      <c r="E502" s="33"/>
      <c r="F502" s="33"/>
      <c r="G502" s="33"/>
      <c r="H502" s="33"/>
      <c r="I502" s="33"/>
      <c r="J502" s="33"/>
      <c r="K502" s="33"/>
      <c r="L502" s="33"/>
      <c r="M502" s="33"/>
      <c r="N502" s="33"/>
      <c r="O502" s="33"/>
      <c r="P502" s="33"/>
      <c r="Q502" s="33"/>
      <c r="R502" s="33"/>
      <c r="S502" s="33"/>
      <c r="T502" s="33"/>
      <c r="U502" s="33"/>
      <c r="V502" s="33"/>
      <c r="W502" s="33"/>
      <c r="X502" s="33"/>
      <c r="Y502" s="33"/>
      <c r="Z502" s="33"/>
      <c r="AA502" s="33"/>
      <c r="AB502" s="33"/>
      <c r="AC502" s="33"/>
      <c r="AD502" s="33"/>
      <c r="AE502" s="33"/>
      <c r="AF502" s="33"/>
      <c r="AG502" s="33"/>
      <c r="AH502" s="33"/>
      <c r="AI502" s="33"/>
      <c r="AJ502" s="33"/>
      <c r="AK502" s="33"/>
      <c r="AL502" s="33"/>
      <c r="AM502" s="33"/>
      <c r="AN502" s="33"/>
      <c r="AO502" s="33"/>
      <c r="AP502" s="33"/>
      <c r="AQ502" s="33"/>
      <c r="AR502" s="33"/>
      <c r="AS502" s="33"/>
      <c r="AT502" s="33"/>
      <c r="AU502" s="33"/>
      <c r="AV502" s="33"/>
      <c r="AW502" s="33"/>
      <c r="AX502" s="33"/>
      <c r="AY502" s="33"/>
      <c r="AZ502" s="33"/>
      <c r="BA502" s="33"/>
      <c r="BB502" s="33"/>
    </row>
    <row r="503" spans="1:54" x14ac:dyDescent="0.25">
      <c r="A503" s="34"/>
      <c r="B503" s="34"/>
      <c r="C503" s="34"/>
      <c r="D503" s="35"/>
      <c r="E503" s="35"/>
      <c r="F503" s="35"/>
      <c r="G503" s="35"/>
      <c r="H503" s="35"/>
      <c r="I503" s="35"/>
      <c r="J503" s="35"/>
      <c r="K503" s="35"/>
      <c r="L503" s="35"/>
      <c r="M503" s="35"/>
      <c r="N503" s="35"/>
      <c r="O503" s="35"/>
      <c r="P503" s="35"/>
      <c r="Q503" s="35"/>
      <c r="R503" s="35"/>
      <c r="S503" s="35"/>
      <c r="T503" s="35"/>
      <c r="U503" s="35"/>
      <c r="V503" s="35"/>
      <c r="W503" s="35"/>
      <c r="X503" s="35"/>
      <c r="Y503" s="35"/>
      <c r="Z503" s="35"/>
      <c r="AA503" s="35"/>
      <c r="AB503" s="35"/>
      <c r="AC503" s="35"/>
      <c r="AD503" s="35"/>
      <c r="AE503" s="35"/>
      <c r="AF503" s="35"/>
      <c r="AG503" s="35"/>
      <c r="AH503" s="35"/>
      <c r="AI503" s="35"/>
      <c r="AJ503" s="35"/>
      <c r="AK503" s="35"/>
      <c r="AL503" s="35"/>
      <c r="AM503" s="35"/>
      <c r="AN503" s="35"/>
      <c r="AO503" s="35"/>
      <c r="AP503" s="35"/>
      <c r="AQ503" s="35"/>
      <c r="AR503" s="35"/>
      <c r="AS503" s="35"/>
      <c r="AT503" s="35"/>
      <c r="AU503" s="35"/>
      <c r="AV503" s="35"/>
      <c r="AW503" s="35"/>
      <c r="AX503" s="35"/>
      <c r="AY503" s="37"/>
      <c r="AZ503" s="37"/>
      <c r="BA503" s="37"/>
      <c r="BB503" s="37"/>
    </row>
    <row r="504" spans="1:54" s="5" customFormat="1" x14ac:dyDescent="0.25">
      <c r="A504" s="32"/>
      <c r="B504" s="32"/>
      <c r="C504" s="32"/>
      <c r="D504" s="33"/>
      <c r="E504" s="33"/>
      <c r="F504" s="33"/>
      <c r="G504" s="33"/>
      <c r="H504" s="33"/>
      <c r="I504" s="33"/>
      <c r="J504" s="33"/>
      <c r="K504" s="33"/>
      <c r="L504" s="33"/>
      <c r="M504" s="33"/>
      <c r="N504" s="33"/>
      <c r="O504" s="33"/>
      <c r="P504" s="33"/>
      <c r="Q504" s="33"/>
      <c r="R504" s="33"/>
      <c r="S504" s="33"/>
      <c r="T504" s="33"/>
      <c r="U504" s="33"/>
      <c r="V504" s="33"/>
      <c r="W504" s="33"/>
      <c r="X504" s="33"/>
      <c r="Y504" s="33"/>
      <c r="Z504" s="33"/>
      <c r="AA504" s="33"/>
      <c r="AB504" s="33"/>
      <c r="AC504" s="33"/>
      <c r="AD504" s="33"/>
      <c r="AE504" s="33"/>
      <c r="AF504" s="33"/>
      <c r="AG504" s="33"/>
      <c r="AH504" s="33"/>
      <c r="AI504" s="33"/>
      <c r="AJ504" s="33"/>
      <c r="AK504" s="33"/>
      <c r="AL504" s="33"/>
      <c r="AM504" s="33"/>
      <c r="AN504" s="33"/>
      <c r="AO504" s="33"/>
      <c r="AP504" s="33"/>
      <c r="AQ504" s="33"/>
      <c r="AR504" s="33"/>
      <c r="AS504" s="33"/>
      <c r="AT504" s="33"/>
      <c r="AU504" s="33"/>
      <c r="AV504" s="33"/>
      <c r="AW504" s="33"/>
      <c r="AX504" s="33"/>
      <c r="AY504" s="33"/>
      <c r="AZ504" s="33"/>
      <c r="BA504" s="33"/>
      <c r="BB504" s="33"/>
    </row>
    <row r="505" spans="1:54" x14ac:dyDescent="0.25">
      <c r="A505" s="34"/>
      <c r="B505" s="34"/>
      <c r="C505" s="34"/>
      <c r="D505" s="35"/>
      <c r="E505" s="35"/>
      <c r="F505" s="35"/>
      <c r="G505" s="35"/>
      <c r="H505" s="35"/>
      <c r="I505" s="35"/>
      <c r="J505" s="35"/>
      <c r="K505" s="35"/>
      <c r="L505" s="35"/>
      <c r="M505" s="35"/>
      <c r="N505" s="35"/>
      <c r="O505" s="35"/>
      <c r="P505" s="35"/>
      <c r="Q505" s="35"/>
      <c r="R505" s="35"/>
      <c r="S505" s="35"/>
      <c r="T505" s="35"/>
      <c r="U505" s="35"/>
      <c r="V505" s="35"/>
      <c r="W505" s="35"/>
      <c r="X505" s="35"/>
      <c r="Y505" s="35"/>
      <c r="Z505" s="35"/>
      <c r="AA505" s="35"/>
      <c r="AB505" s="35"/>
      <c r="AC505" s="35"/>
      <c r="AD505" s="35"/>
      <c r="AE505" s="35"/>
      <c r="AF505" s="35"/>
      <c r="AG505" s="35"/>
      <c r="AH505" s="35"/>
      <c r="AI505" s="35"/>
      <c r="AJ505" s="35"/>
      <c r="AK505" s="35"/>
      <c r="AL505" s="35"/>
      <c r="AM505" s="35"/>
      <c r="AN505" s="35"/>
      <c r="AO505" s="35"/>
      <c r="AP505" s="35"/>
      <c r="AQ505" s="35"/>
      <c r="AR505" s="35"/>
      <c r="AS505" s="35"/>
      <c r="AT505" s="35"/>
      <c r="AU505" s="35"/>
      <c r="AV505" s="35"/>
      <c r="AW505" s="35"/>
      <c r="AX505" s="35"/>
      <c r="AY505" s="35"/>
      <c r="AZ505" s="35"/>
      <c r="BA505" s="35"/>
      <c r="BB505" s="35"/>
    </row>
    <row r="506" spans="1:54" s="5" customFormat="1" x14ac:dyDescent="0.25">
      <c r="A506" s="32"/>
      <c r="B506" s="32"/>
      <c r="C506" s="32"/>
      <c r="D506" s="33"/>
      <c r="E506" s="33"/>
      <c r="F506" s="33"/>
      <c r="G506" s="33"/>
      <c r="H506" s="33"/>
      <c r="I506" s="33"/>
      <c r="J506" s="33"/>
      <c r="K506" s="33"/>
      <c r="L506" s="33"/>
      <c r="M506" s="33"/>
      <c r="N506" s="33"/>
      <c r="O506" s="33"/>
      <c r="P506" s="33"/>
      <c r="Q506" s="33"/>
      <c r="R506" s="33"/>
      <c r="S506" s="33"/>
      <c r="T506" s="33"/>
      <c r="U506" s="33"/>
      <c r="V506" s="33"/>
      <c r="W506" s="33"/>
      <c r="X506" s="33"/>
      <c r="Y506" s="33"/>
      <c r="Z506" s="33"/>
      <c r="AA506" s="33"/>
      <c r="AB506" s="33"/>
      <c r="AC506" s="33"/>
      <c r="AD506" s="33"/>
      <c r="AE506" s="33"/>
      <c r="AF506" s="33"/>
      <c r="AG506" s="33"/>
      <c r="AH506" s="33"/>
      <c r="AI506" s="33"/>
      <c r="AJ506" s="33"/>
      <c r="AK506" s="33"/>
      <c r="AL506" s="33"/>
      <c r="AM506" s="33"/>
      <c r="AN506" s="33"/>
      <c r="AO506" s="33"/>
      <c r="AP506" s="33"/>
      <c r="AQ506" s="33"/>
      <c r="AR506" s="33"/>
      <c r="AS506" s="33"/>
      <c r="AT506" s="33"/>
      <c r="AU506" s="33"/>
      <c r="AV506" s="33"/>
      <c r="AW506" s="33"/>
      <c r="AX506" s="33"/>
      <c r="AY506" s="33"/>
      <c r="AZ506" s="33"/>
      <c r="BA506" s="33"/>
      <c r="BB506" s="33"/>
    </row>
    <row r="507" spans="1:54" x14ac:dyDescent="0.25">
      <c r="A507" s="34"/>
      <c r="B507" s="34"/>
      <c r="C507" s="34"/>
      <c r="D507" s="35"/>
      <c r="E507" s="35"/>
      <c r="F507" s="35"/>
      <c r="G507" s="35"/>
      <c r="H507" s="35"/>
      <c r="I507" s="35"/>
      <c r="J507" s="35"/>
      <c r="K507" s="35"/>
      <c r="L507" s="35"/>
      <c r="M507" s="35"/>
      <c r="N507" s="35"/>
      <c r="O507" s="35"/>
      <c r="P507" s="35"/>
      <c r="Q507" s="35"/>
      <c r="R507" s="35"/>
      <c r="S507" s="35"/>
      <c r="T507" s="35"/>
      <c r="U507" s="35"/>
      <c r="V507" s="35"/>
      <c r="W507" s="35"/>
      <c r="X507" s="35"/>
      <c r="Y507" s="35"/>
      <c r="Z507" s="35"/>
      <c r="AA507" s="35"/>
      <c r="AB507" s="35"/>
      <c r="AC507" s="35"/>
      <c r="AD507" s="35"/>
      <c r="AE507" s="35"/>
      <c r="AF507" s="35"/>
      <c r="AG507" s="35"/>
      <c r="AH507" s="35"/>
      <c r="AI507" s="35"/>
      <c r="AJ507" s="35"/>
      <c r="AK507" s="35"/>
      <c r="AL507" s="35"/>
      <c r="AM507" s="35"/>
      <c r="AN507" s="35"/>
      <c r="AO507" s="35"/>
      <c r="AP507" s="35"/>
      <c r="AQ507" s="35"/>
      <c r="AR507" s="35"/>
      <c r="AS507" s="35"/>
      <c r="AT507" s="35"/>
      <c r="AU507" s="35"/>
      <c r="AV507" s="35"/>
      <c r="AW507" s="35"/>
      <c r="AX507" s="35"/>
      <c r="AY507" s="35"/>
      <c r="AZ507" s="35"/>
      <c r="BA507" s="35"/>
      <c r="BB507" s="35"/>
    </row>
    <row r="508" spans="1:54" s="5" customFormat="1" x14ac:dyDescent="0.25">
      <c r="A508" s="32"/>
      <c r="B508" s="32"/>
      <c r="C508" s="32"/>
      <c r="D508" s="36"/>
      <c r="E508" s="36"/>
      <c r="F508" s="36"/>
      <c r="G508" s="36"/>
      <c r="H508" s="36"/>
      <c r="I508" s="36"/>
      <c r="J508" s="36"/>
      <c r="K508" s="36"/>
      <c r="L508" s="36"/>
      <c r="M508" s="36"/>
      <c r="N508" s="36"/>
      <c r="O508" s="36"/>
      <c r="P508" s="36"/>
      <c r="Q508" s="36"/>
      <c r="R508" s="36"/>
      <c r="S508" s="36"/>
      <c r="T508" s="36"/>
      <c r="U508" s="36"/>
      <c r="V508" s="36"/>
      <c r="W508" s="36"/>
      <c r="X508" s="36"/>
      <c r="Y508" s="36"/>
      <c r="Z508" s="36"/>
      <c r="AA508" s="36"/>
      <c r="AB508" s="36"/>
      <c r="AC508" s="36"/>
      <c r="AD508" s="36"/>
      <c r="AE508" s="36"/>
      <c r="AF508" s="36"/>
      <c r="AG508" s="36"/>
      <c r="AH508" s="36"/>
      <c r="AI508" s="36"/>
      <c r="AJ508" s="36"/>
      <c r="AK508" s="36"/>
      <c r="AL508" s="36"/>
      <c r="AM508" s="36"/>
      <c r="AN508" s="36"/>
      <c r="AO508" s="36"/>
      <c r="AP508" s="36"/>
      <c r="AQ508" s="36"/>
      <c r="AR508" s="36"/>
      <c r="AS508" s="36"/>
      <c r="AT508" s="36"/>
      <c r="AU508" s="36"/>
      <c r="AV508" s="36"/>
      <c r="AW508" s="36"/>
      <c r="AX508" s="36"/>
      <c r="AY508" s="36"/>
      <c r="AZ508" s="36"/>
      <c r="BA508" s="36"/>
      <c r="BB508" s="36"/>
    </row>
    <row r="509" spans="1:54" x14ac:dyDescent="0.25">
      <c r="A509" s="34"/>
      <c r="B509" s="34"/>
      <c r="C509" s="34"/>
      <c r="D509" s="35"/>
      <c r="E509" s="35"/>
      <c r="F509" s="35"/>
      <c r="G509" s="35"/>
      <c r="H509" s="35"/>
      <c r="I509" s="35"/>
      <c r="J509" s="35"/>
      <c r="K509" s="35"/>
      <c r="L509" s="35"/>
      <c r="M509" s="37"/>
      <c r="N509" s="35"/>
      <c r="O509" s="35"/>
      <c r="P509" s="35"/>
      <c r="Q509" s="35"/>
      <c r="R509" s="35"/>
      <c r="S509" s="35"/>
      <c r="T509" s="35"/>
      <c r="U509" s="35"/>
      <c r="V509" s="35"/>
      <c r="W509" s="35"/>
      <c r="X509" s="35"/>
      <c r="Y509" s="35"/>
      <c r="Z509" s="35"/>
      <c r="AA509" s="35"/>
      <c r="AB509" s="35"/>
      <c r="AC509" s="35"/>
      <c r="AD509" s="35"/>
      <c r="AE509" s="35"/>
      <c r="AF509" s="35"/>
      <c r="AG509" s="35"/>
      <c r="AH509" s="35"/>
      <c r="AI509" s="35"/>
      <c r="AJ509" s="35"/>
      <c r="AK509" s="35"/>
      <c r="AL509" s="35"/>
      <c r="AM509" s="35"/>
      <c r="AN509" s="35"/>
      <c r="AO509" s="35"/>
      <c r="AP509" s="35"/>
      <c r="AQ509" s="35"/>
      <c r="AR509" s="35"/>
      <c r="AS509" s="35"/>
      <c r="AT509" s="35"/>
      <c r="AU509" s="35"/>
      <c r="AV509" s="35"/>
      <c r="AW509" s="35"/>
      <c r="AX509" s="35"/>
      <c r="AY509" s="35"/>
      <c r="AZ509" s="35"/>
      <c r="BA509" s="35"/>
      <c r="BB509" s="35"/>
    </row>
    <row r="510" spans="1:54" s="5" customFormat="1" x14ac:dyDescent="0.25">
      <c r="A510" s="32"/>
      <c r="B510" s="32"/>
      <c r="C510" s="32"/>
      <c r="D510" s="33"/>
      <c r="E510" s="33"/>
      <c r="F510" s="33"/>
      <c r="G510" s="33"/>
      <c r="H510" s="33"/>
      <c r="I510" s="33"/>
      <c r="J510" s="33"/>
      <c r="K510" s="33"/>
      <c r="L510" s="33"/>
      <c r="M510" s="33"/>
      <c r="N510" s="33"/>
      <c r="O510" s="33"/>
      <c r="P510" s="33"/>
      <c r="Q510" s="33"/>
      <c r="R510" s="33"/>
      <c r="S510" s="33"/>
      <c r="T510" s="33"/>
      <c r="U510" s="33"/>
      <c r="V510" s="33"/>
      <c r="W510" s="33"/>
      <c r="X510" s="33"/>
      <c r="Y510" s="33"/>
      <c r="Z510" s="33"/>
      <c r="AA510" s="33"/>
      <c r="AB510" s="33"/>
      <c r="AC510" s="33"/>
      <c r="AD510" s="33"/>
      <c r="AE510" s="33"/>
      <c r="AF510" s="36"/>
      <c r="AG510" s="36"/>
      <c r="AH510" s="36"/>
      <c r="AI510" s="36"/>
      <c r="AJ510" s="36"/>
      <c r="AK510" s="36"/>
      <c r="AL510" s="36"/>
      <c r="AM510" s="36"/>
      <c r="AN510" s="36"/>
      <c r="AO510" s="36"/>
      <c r="AP510" s="36"/>
      <c r="AQ510" s="36"/>
      <c r="AR510" s="36"/>
      <c r="AS510" s="36"/>
      <c r="AT510" s="36"/>
      <c r="AU510" s="36"/>
      <c r="AV510" s="36"/>
      <c r="AW510" s="36"/>
      <c r="AX510" s="36"/>
      <c r="AY510" s="36"/>
      <c r="AZ510" s="36"/>
      <c r="BA510" s="36"/>
      <c r="BB510" s="36"/>
    </row>
    <row r="511" spans="1:54" x14ac:dyDescent="0.25">
      <c r="A511" s="34"/>
      <c r="B511" s="34"/>
      <c r="C511" s="34"/>
      <c r="D511" s="37"/>
      <c r="E511" s="37"/>
      <c r="F511" s="37"/>
      <c r="G511" s="37"/>
      <c r="H511" s="37"/>
      <c r="I511" s="37"/>
      <c r="J511" s="37"/>
      <c r="K511" s="37"/>
      <c r="L511" s="37"/>
      <c r="M511" s="37"/>
      <c r="N511" s="37"/>
      <c r="O511" s="37"/>
      <c r="P511" s="37"/>
      <c r="Q511" s="37"/>
      <c r="R511" s="37"/>
      <c r="S511" s="37"/>
      <c r="T511" s="37"/>
      <c r="U511" s="37"/>
      <c r="V511" s="37"/>
      <c r="W511" s="37"/>
      <c r="X511" s="37"/>
      <c r="Y511" s="37"/>
      <c r="Z511" s="37"/>
      <c r="AA511" s="37"/>
      <c r="AB511" s="37"/>
      <c r="AC511" s="37"/>
      <c r="AD511" s="37"/>
      <c r="AE511" s="37"/>
      <c r="AF511" s="37"/>
      <c r="AG511" s="37"/>
      <c r="AH511" s="37"/>
      <c r="AI511" s="37"/>
      <c r="AJ511" s="37"/>
      <c r="AK511" s="37"/>
      <c r="AL511" s="37"/>
      <c r="AM511" s="37"/>
      <c r="AN511" s="37"/>
      <c r="AO511" s="37"/>
      <c r="AP511" s="37"/>
      <c r="AQ511" s="37"/>
      <c r="AR511" s="37"/>
      <c r="AS511" s="37"/>
      <c r="AT511" s="37"/>
      <c r="AU511" s="37"/>
      <c r="AV511" s="37"/>
      <c r="AW511" s="37"/>
      <c r="AX511" s="37"/>
      <c r="AY511" s="37"/>
      <c r="AZ511" s="37"/>
      <c r="BA511" s="37"/>
      <c r="BB511" s="37"/>
    </row>
    <row r="512" spans="1:54" s="5" customFormat="1" x14ac:dyDescent="0.25">
      <c r="A512" s="34"/>
      <c r="B512" s="34"/>
      <c r="C512" s="34"/>
      <c r="D512" s="35"/>
      <c r="E512" s="35"/>
      <c r="F512" s="35"/>
      <c r="G512" s="35"/>
      <c r="H512" s="35"/>
      <c r="I512" s="35"/>
      <c r="J512" s="35"/>
      <c r="K512" s="35"/>
      <c r="L512" s="35"/>
      <c r="M512" s="35"/>
      <c r="N512" s="35"/>
      <c r="O512" s="35"/>
      <c r="P512" s="35"/>
      <c r="Q512" s="35"/>
      <c r="R512" s="35"/>
      <c r="S512" s="35"/>
      <c r="T512" s="35"/>
      <c r="U512" s="35"/>
      <c r="V512" s="35"/>
      <c r="W512" s="35"/>
      <c r="X512" s="35"/>
      <c r="Y512" s="35"/>
      <c r="Z512" s="35"/>
      <c r="AA512" s="35"/>
      <c r="AB512" s="35"/>
      <c r="AC512" s="35"/>
      <c r="AD512" s="35"/>
      <c r="AE512" s="35"/>
      <c r="AF512" s="35"/>
      <c r="AG512" s="35"/>
      <c r="AH512" s="35"/>
      <c r="AI512" s="35"/>
      <c r="AJ512" s="35"/>
      <c r="AK512" s="35"/>
      <c r="AL512" s="35"/>
      <c r="AM512" s="35"/>
      <c r="AN512" s="35"/>
      <c r="AO512" s="35"/>
      <c r="AP512" s="35"/>
      <c r="AQ512" s="35"/>
      <c r="AR512" s="37"/>
      <c r="AS512" s="37"/>
      <c r="AT512" s="37"/>
      <c r="AU512" s="37"/>
      <c r="AV512" s="35"/>
      <c r="AW512" s="35"/>
      <c r="AX512" s="37"/>
      <c r="AY512" s="37"/>
      <c r="AZ512" s="35"/>
      <c r="BA512" s="35"/>
      <c r="BB512" s="37"/>
    </row>
    <row r="513" spans="1:54" x14ac:dyDescent="0.25">
      <c r="A513" s="34"/>
      <c r="B513" s="32"/>
      <c r="C513" s="32"/>
      <c r="D513" s="33"/>
      <c r="E513" s="33"/>
      <c r="F513" s="33"/>
      <c r="G513" s="33"/>
      <c r="H513" s="33"/>
      <c r="I513" s="33"/>
      <c r="J513" s="33"/>
      <c r="K513" s="33"/>
      <c r="L513" s="33"/>
      <c r="M513" s="33"/>
      <c r="N513" s="33"/>
      <c r="O513" s="33"/>
      <c r="P513" s="33"/>
      <c r="Q513" s="33"/>
      <c r="R513" s="33"/>
      <c r="S513" s="33"/>
      <c r="T513" s="33"/>
      <c r="U513" s="33"/>
      <c r="V513" s="33"/>
      <c r="W513" s="33"/>
      <c r="X513" s="33"/>
      <c r="Y513" s="33"/>
      <c r="Z513" s="33"/>
      <c r="AA513" s="33"/>
      <c r="AB513" s="33"/>
      <c r="AC513" s="33"/>
      <c r="AD513" s="33"/>
      <c r="AE513" s="33"/>
      <c r="AF513" s="33"/>
      <c r="AG513" s="33"/>
      <c r="AH513" s="33"/>
      <c r="AI513" s="33"/>
      <c r="AJ513" s="33"/>
      <c r="AK513" s="33"/>
      <c r="AL513" s="33"/>
      <c r="AM513" s="33"/>
      <c r="AN513" s="33"/>
      <c r="AO513" s="33"/>
      <c r="AP513" s="33"/>
      <c r="AQ513" s="33"/>
      <c r="AR513" s="33"/>
      <c r="AS513" s="33"/>
      <c r="AT513" s="33"/>
      <c r="AU513" s="33"/>
      <c r="AV513" s="33"/>
      <c r="AW513" s="33"/>
      <c r="AX513" s="33"/>
      <c r="AY513" s="33"/>
      <c r="AZ513" s="33"/>
      <c r="BA513" s="33"/>
      <c r="BB513" s="33"/>
    </row>
    <row r="514" spans="1:54" s="5" customFormat="1" x14ac:dyDescent="0.25">
      <c r="A514" s="34"/>
      <c r="B514" s="34"/>
      <c r="C514" s="34"/>
      <c r="D514" s="35"/>
      <c r="E514" s="35"/>
      <c r="F514" s="35"/>
      <c r="G514" s="35"/>
      <c r="H514" s="35"/>
      <c r="I514" s="35"/>
      <c r="J514" s="35"/>
      <c r="K514" s="35"/>
      <c r="L514" s="35"/>
      <c r="M514" s="35"/>
      <c r="N514" s="35"/>
      <c r="O514" s="35"/>
      <c r="P514" s="35"/>
      <c r="Q514" s="35"/>
      <c r="R514" s="35"/>
      <c r="S514" s="35"/>
      <c r="T514" s="35"/>
      <c r="U514" s="35"/>
      <c r="V514" s="35"/>
      <c r="W514" s="35"/>
      <c r="X514" s="35"/>
      <c r="Y514" s="35"/>
      <c r="Z514" s="35"/>
      <c r="AA514" s="35"/>
      <c r="AB514" s="35"/>
      <c r="AC514" s="35"/>
      <c r="AD514" s="35"/>
      <c r="AE514" s="35"/>
      <c r="AF514" s="35"/>
      <c r="AG514" s="35"/>
      <c r="AH514" s="35"/>
      <c r="AI514" s="35"/>
      <c r="AJ514" s="35"/>
      <c r="AK514" s="35"/>
      <c r="AL514" s="35"/>
      <c r="AM514" s="35"/>
      <c r="AN514" s="35"/>
      <c r="AO514" s="35"/>
      <c r="AP514" s="35"/>
      <c r="AQ514" s="35"/>
      <c r="AR514" s="35"/>
      <c r="AS514" s="35"/>
      <c r="AT514" s="35"/>
      <c r="AU514" s="35"/>
      <c r="AV514" s="35"/>
      <c r="AW514" s="35"/>
      <c r="AX514" s="35"/>
      <c r="AY514" s="35"/>
      <c r="AZ514" s="35"/>
      <c r="BA514" s="35"/>
      <c r="BB514" s="35"/>
    </row>
    <row r="515" spans="1:54" x14ac:dyDescent="0.25">
      <c r="A515" s="34"/>
      <c r="B515" s="32"/>
      <c r="C515" s="32"/>
      <c r="D515" s="33"/>
      <c r="E515" s="33"/>
      <c r="F515" s="33"/>
      <c r="G515" s="33"/>
      <c r="H515" s="33"/>
      <c r="I515" s="33"/>
      <c r="J515" s="33"/>
      <c r="K515" s="33"/>
      <c r="L515" s="33"/>
      <c r="M515" s="33"/>
      <c r="N515" s="33"/>
      <c r="O515" s="33"/>
      <c r="P515" s="33"/>
      <c r="Q515" s="33"/>
      <c r="R515" s="33"/>
      <c r="S515" s="33"/>
      <c r="T515" s="33"/>
      <c r="U515" s="33"/>
      <c r="V515" s="33"/>
      <c r="W515" s="33"/>
      <c r="X515" s="33"/>
      <c r="Y515" s="33"/>
      <c r="Z515" s="33"/>
      <c r="AA515" s="33"/>
      <c r="AB515" s="33"/>
      <c r="AC515" s="33"/>
      <c r="AD515" s="33"/>
      <c r="AE515" s="33"/>
      <c r="AF515" s="33"/>
      <c r="AG515" s="33"/>
      <c r="AH515" s="33"/>
      <c r="AI515" s="33"/>
      <c r="AJ515" s="33"/>
      <c r="AK515" s="33"/>
      <c r="AL515" s="33"/>
      <c r="AM515" s="33"/>
      <c r="AN515" s="33"/>
      <c r="AO515" s="33"/>
      <c r="AP515" s="33"/>
      <c r="AQ515" s="33"/>
      <c r="AR515" s="36"/>
      <c r="AS515" s="36"/>
      <c r="AT515" s="36"/>
      <c r="AU515" s="36"/>
      <c r="AV515" s="36"/>
      <c r="AW515" s="36"/>
      <c r="AX515" s="36"/>
      <c r="AY515" s="36"/>
      <c r="AZ515" s="36"/>
      <c r="BA515" s="36"/>
      <c r="BB515" s="36"/>
    </row>
    <row r="516" spans="1:54" x14ac:dyDescent="0.25">
      <c r="A516" s="34"/>
      <c r="B516" s="34"/>
      <c r="C516" s="34"/>
      <c r="D516" s="35"/>
      <c r="E516" s="35"/>
      <c r="F516" s="35"/>
      <c r="G516" s="35"/>
      <c r="H516" s="35"/>
      <c r="I516" s="35"/>
      <c r="J516" s="35"/>
      <c r="K516" s="35"/>
      <c r="L516" s="35"/>
      <c r="M516" s="37"/>
      <c r="N516" s="35"/>
      <c r="O516" s="35"/>
      <c r="P516" s="35"/>
      <c r="Q516" s="35"/>
      <c r="R516" s="35"/>
      <c r="S516" s="35"/>
      <c r="T516" s="35"/>
      <c r="U516" s="37"/>
      <c r="V516" s="35"/>
      <c r="W516" s="35"/>
      <c r="X516" s="35"/>
      <c r="Y516" s="35"/>
      <c r="Z516" s="35"/>
      <c r="AA516" s="35"/>
      <c r="AB516" s="35"/>
      <c r="AC516" s="35"/>
      <c r="AD516" s="35"/>
      <c r="AE516" s="35"/>
      <c r="AF516" s="35"/>
      <c r="AG516" s="35"/>
      <c r="AH516" s="35"/>
      <c r="AI516" s="35"/>
      <c r="AJ516" s="35"/>
      <c r="AK516" s="35"/>
      <c r="AL516" s="35"/>
      <c r="AM516" s="35"/>
      <c r="AN516" s="35"/>
      <c r="AO516" s="35"/>
      <c r="AP516" s="35"/>
      <c r="AQ516" s="35"/>
      <c r="AR516" s="35"/>
      <c r="AS516" s="35"/>
      <c r="AT516" s="35"/>
      <c r="AU516" s="35"/>
      <c r="AV516" s="37"/>
      <c r="AW516" s="37"/>
      <c r="AX516" s="37"/>
      <c r="AY516" s="37"/>
      <c r="AZ516" s="35"/>
      <c r="BA516" s="37"/>
      <c r="BB516" s="37"/>
    </row>
    <row r="517" spans="1:54" s="5" customFormat="1" x14ac:dyDescent="0.25">
      <c r="A517" s="32"/>
      <c r="B517" s="32"/>
      <c r="C517" s="32"/>
      <c r="D517" s="33"/>
      <c r="E517" s="33"/>
      <c r="F517" s="33"/>
      <c r="G517" s="33"/>
      <c r="H517" s="33"/>
      <c r="I517" s="33"/>
      <c r="J517" s="33"/>
      <c r="K517" s="33"/>
      <c r="L517" s="33"/>
      <c r="M517" s="33"/>
      <c r="N517" s="33"/>
      <c r="O517" s="33"/>
      <c r="P517" s="33"/>
      <c r="Q517" s="33"/>
      <c r="R517" s="33"/>
      <c r="S517" s="33"/>
      <c r="T517" s="33"/>
      <c r="U517" s="33"/>
      <c r="V517" s="33"/>
      <c r="W517" s="33"/>
      <c r="X517" s="33"/>
      <c r="Y517" s="33"/>
      <c r="Z517" s="33"/>
      <c r="AA517" s="33"/>
      <c r="AB517" s="33"/>
      <c r="AC517" s="33"/>
      <c r="AD517" s="33"/>
      <c r="AE517" s="33"/>
      <c r="AF517" s="33"/>
      <c r="AG517" s="33"/>
      <c r="AH517" s="33"/>
      <c r="AI517" s="33"/>
      <c r="AJ517" s="33"/>
      <c r="AK517" s="33"/>
      <c r="AL517" s="33"/>
      <c r="AM517" s="33"/>
      <c r="AN517" s="33"/>
      <c r="AO517" s="33"/>
      <c r="AP517" s="33"/>
      <c r="AQ517" s="33"/>
      <c r="AR517" s="33"/>
      <c r="AS517" s="33"/>
      <c r="AT517" s="33"/>
      <c r="AU517" s="33"/>
      <c r="AV517" s="33"/>
      <c r="AW517" s="33"/>
      <c r="AX517" s="33"/>
      <c r="AY517" s="33"/>
      <c r="AZ517" s="33"/>
      <c r="BA517" s="33"/>
      <c r="BB517" s="33"/>
    </row>
    <row r="518" spans="1:54" x14ac:dyDescent="0.25">
      <c r="A518" s="34"/>
      <c r="B518" s="34"/>
      <c r="C518" s="34"/>
      <c r="D518" s="35"/>
      <c r="E518" s="35"/>
      <c r="F518" s="35"/>
      <c r="G518" s="35"/>
      <c r="H518" s="35"/>
      <c r="I518" s="35"/>
      <c r="J518" s="35"/>
      <c r="K518" s="35"/>
      <c r="L518" s="35"/>
      <c r="M518" s="37"/>
      <c r="N518" s="35"/>
      <c r="O518" s="35"/>
      <c r="P518" s="35"/>
      <c r="Q518" s="35"/>
      <c r="R518" s="35"/>
      <c r="S518" s="35"/>
      <c r="T518" s="35"/>
      <c r="U518" s="37"/>
      <c r="V518" s="35"/>
      <c r="W518" s="35"/>
      <c r="X518" s="35"/>
      <c r="Y518" s="35"/>
      <c r="Z518" s="35"/>
      <c r="AA518" s="35"/>
      <c r="AB518" s="35"/>
      <c r="AC518" s="35"/>
      <c r="AD518" s="35"/>
      <c r="AE518" s="35"/>
      <c r="AF518" s="35"/>
      <c r="AG518" s="35"/>
      <c r="AH518" s="35"/>
      <c r="AI518" s="35"/>
      <c r="AJ518" s="35"/>
      <c r="AK518" s="35"/>
      <c r="AL518" s="35"/>
      <c r="AM518" s="35"/>
      <c r="AN518" s="35"/>
      <c r="AO518" s="35"/>
      <c r="AP518" s="35"/>
      <c r="AQ518" s="35"/>
      <c r="AR518" s="35"/>
      <c r="AS518" s="35"/>
      <c r="AT518" s="35"/>
      <c r="AU518" s="35"/>
      <c r="AV518" s="37"/>
      <c r="AW518" s="37"/>
      <c r="AX518" s="37"/>
      <c r="AY518" s="37"/>
      <c r="AZ518" s="37"/>
      <c r="BA518" s="37"/>
      <c r="BB518" s="37"/>
    </row>
    <row r="519" spans="1:54" s="5" customFormat="1" x14ac:dyDescent="0.25">
      <c r="A519" s="34"/>
      <c r="B519" s="34"/>
      <c r="C519" s="34"/>
      <c r="D519" s="37"/>
      <c r="E519" s="37"/>
      <c r="F519" s="37"/>
      <c r="G519" s="37"/>
      <c r="H519" s="37"/>
      <c r="I519" s="37"/>
      <c r="J519" s="37"/>
      <c r="K519" s="37"/>
      <c r="L519" s="37"/>
      <c r="M519" s="37"/>
      <c r="N519" s="37"/>
      <c r="O519" s="37"/>
      <c r="P519" s="37"/>
      <c r="Q519" s="37"/>
      <c r="R519" s="37"/>
      <c r="S519" s="37"/>
      <c r="T519" s="37"/>
      <c r="U519" s="37"/>
      <c r="V519" s="37"/>
      <c r="W519" s="37"/>
      <c r="X519" s="37"/>
      <c r="Y519" s="37"/>
      <c r="Z519" s="37"/>
      <c r="AA519" s="37"/>
      <c r="AB519" s="37"/>
      <c r="AC519" s="37"/>
      <c r="AD519" s="37"/>
      <c r="AE519" s="37"/>
      <c r="AF519" s="37"/>
      <c r="AG519" s="37"/>
      <c r="AH519" s="37"/>
      <c r="AI519" s="37"/>
      <c r="AJ519" s="37"/>
      <c r="AK519" s="37"/>
      <c r="AL519" s="37"/>
      <c r="AM519" s="37"/>
      <c r="AN519" s="37"/>
      <c r="AO519" s="37"/>
      <c r="AP519" s="37"/>
      <c r="AQ519" s="37"/>
      <c r="AR519" s="37"/>
      <c r="AS519" s="37"/>
      <c r="AT519" s="37"/>
      <c r="AU519" s="37"/>
      <c r="AV519" s="37"/>
      <c r="AW519" s="37"/>
      <c r="AX519" s="37"/>
      <c r="AY519" s="37"/>
      <c r="AZ519" s="37"/>
      <c r="BA519" s="37"/>
      <c r="BB519" s="37"/>
    </row>
    <row r="520" spans="1:54" x14ac:dyDescent="0.25">
      <c r="A520" s="32"/>
      <c r="B520" s="32"/>
      <c r="C520" s="32"/>
      <c r="D520" s="33"/>
      <c r="E520" s="33"/>
      <c r="F520" s="33"/>
      <c r="G520" s="33"/>
      <c r="H520" s="33"/>
      <c r="I520" s="33"/>
      <c r="J520" s="33"/>
      <c r="K520" s="33"/>
      <c r="L520" s="33"/>
      <c r="M520" s="33"/>
      <c r="N520" s="33"/>
      <c r="O520" s="33"/>
      <c r="P520" s="33"/>
      <c r="Q520" s="33"/>
      <c r="R520" s="33"/>
      <c r="S520" s="33"/>
      <c r="T520" s="33"/>
      <c r="U520" s="33"/>
      <c r="V520" s="33"/>
      <c r="W520" s="33"/>
      <c r="X520" s="33"/>
      <c r="Y520" s="33"/>
      <c r="Z520" s="33"/>
      <c r="AA520" s="33"/>
      <c r="AB520" s="33"/>
      <c r="AC520" s="33"/>
      <c r="AD520" s="33"/>
      <c r="AE520" s="33"/>
      <c r="AF520" s="33"/>
      <c r="AG520" s="33"/>
      <c r="AH520" s="33"/>
      <c r="AI520" s="33"/>
      <c r="AJ520" s="33"/>
      <c r="AK520" s="33"/>
      <c r="AL520" s="33"/>
      <c r="AM520" s="33"/>
      <c r="AN520" s="33"/>
      <c r="AO520" s="33"/>
      <c r="AP520" s="33"/>
      <c r="AQ520" s="33"/>
      <c r="AR520" s="33"/>
      <c r="AS520" s="33"/>
      <c r="AT520" s="33"/>
      <c r="AU520" s="33"/>
      <c r="AV520" s="33"/>
      <c r="AW520" s="33"/>
      <c r="AX520" s="33"/>
      <c r="AY520" s="33"/>
      <c r="AZ520" s="33"/>
      <c r="BA520" s="33"/>
      <c r="BB520" s="33"/>
    </row>
    <row r="521" spans="1:54" s="5" customFormat="1" x14ac:dyDescent="0.25">
      <c r="A521" s="34"/>
      <c r="B521" s="34"/>
      <c r="C521" s="34"/>
      <c r="D521" s="37"/>
      <c r="E521" s="37"/>
      <c r="F521" s="37"/>
      <c r="G521" s="37"/>
      <c r="H521" s="37"/>
      <c r="I521" s="37"/>
      <c r="J521" s="37"/>
      <c r="K521" s="37"/>
      <c r="L521" s="37"/>
      <c r="M521" s="37"/>
      <c r="N521" s="37"/>
      <c r="O521" s="37"/>
      <c r="P521" s="37"/>
      <c r="Q521" s="37"/>
      <c r="R521" s="37"/>
      <c r="S521" s="37"/>
      <c r="T521" s="37"/>
      <c r="U521" s="37"/>
      <c r="V521" s="37"/>
      <c r="W521" s="37"/>
      <c r="X521" s="37"/>
      <c r="Y521" s="37"/>
      <c r="Z521" s="37"/>
      <c r="AA521" s="37"/>
      <c r="AB521" s="37"/>
      <c r="AC521" s="37"/>
      <c r="AD521" s="37"/>
      <c r="AE521" s="37"/>
      <c r="AF521" s="37"/>
      <c r="AG521" s="37"/>
      <c r="AH521" s="37"/>
      <c r="AI521" s="37"/>
      <c r="AJ521" s="37"/>
      <c r="AK521" s="37"/>
      <c r="AL521" s="37"/>
      <c r="AM521" s="37"/>
      <c r="AN521" s="37"/>
      <c r="AO521" s="37"/>
      <c r="AP521" s="37"/>
      <c r="AQ521" s="37"/>
      <c r="AR521" s="37"/>
      <c r="AS521" s="37"/>
      <c r="AT521" s="37"/>
      <c r="AU521" s="37"/>
      <c r="AV521" s="37"/>
      <c r="AW521" s="37"/>
      <c r="AX521" s="37"/>
      <c r="AY521" s="37"/>
      <c r="AZ521" s="37"/>
      <c r="BA521" s="37"/>
      <c r="BB521" s="37"/>
    </row>
    <row r="522" spans="1:54" x14ac:dyDescent="0.25">
      <c r="A522" s="32"/>
      <c r="B522" s="32"/>
      <c r="C522" s="32"/>
      <c r="D522" s="36"/>
      <c r="E522" s="36"/>
      <c r="F522" s="36"/>
      <c r="G522" s="36"/>
      <c r="H522" s="36"/>
      <c r="I522" s="36"/>
      <c r="J522" s="36"/>
      <c r="K522" s="36"/>
      <c r="L522" s="36"/>
      <c r="M522" s="36"/>
      <c r="N522" s="36"/>
      <c r="O522" s="36"/>
      <c r="P522" s="36"/>
      <c r="Q522" s="36"/>
      <c r="R522" s="36"/>
      <c r="S522" s="36"/>
      <c r="T522" s="36"/>
      <c r="U522" s="36"/>
      <c r="V522" s="36"/>
      <c r="W522" s="36"/>
      <c r="X522" s="36"/>
      <c r="Y522" s="36"/>
      <c r="Z522" s="36"/>
      <c r="AA522" s="36"/>
      <c r="AB522" s="36"/>
      <c r="AC522" s="36"/>
      <c r="AD522" s="36"/>
      <c r="AE522" s="36"/>
      <c r="AF522" s="36"/>
      <c r="AG522" s="36"/>
      <c r="AH522" s="36"/>
      <c r="AI522" s="36"/>
      <c r="AJ522" s="36"/>
      <c r="AK522" s="36"/>
      <c r="AL522" s="36"/>
      <c r="AM522" s="36"/>
      <c r="AN522" s="36"/>
      <c r="AO522" s="36"/>
      <c r="AP522" s="36"/>
      <c r="AQ522" s="36"/>
      <c r="AR522" s="36"/>
      <c r="AS522" s="36"/>
      <c r="AT522" s="36"/>
      <c r="AU522" s="36"/>
      <c r="AV522" s="36"/>
      <c r="AW522" s="36"/>
      <c r="AX522" s="36"/>
      <c r="AY522" s="36"/>
      <c r="AZ522" s="36"/>
      <c r="BA522" s="36"/>
      <c r="BB522" s="36"/>
    </row>
    <row r="523" spans="1:54" s="5" customFormat="1" x14ac:dyDescent="0.25">
      <c r="A523" s="34"/>
      <c r="B523" s="34"/>
      <c r="C523" s="34"/>
      <c r="D523" s="35"/>
      <c r="E523" s="35"/>
      <c r="F523" s="35"/>
      <c r="G523" s="35"/>
      <c r="H523" s="35"/>
      <c r="I523" s="35"/>
      <c r="J523" s="35"/>
      <c r="K523" s="35"/>
      <c r="L523" s="35"/>
      <c r="M523" s="35"/>
      <c r="N523" s="35"/>
      <c r="O523" s="35"/>
      <c r="P523" s="35"/>
      <c r="Q523" s="35"/>
      <c r="R523" s="35"/>
      <c r="S523" s="35"/>
      <c r="T523" s="35"/>
      <c r="U523" s="37"/>
      <c r="V523" s="35"/>
      <c r="W523" s="35"/>
      <c r="X523" s="35"/>
      <c r="Y523" s="35"/>
      <c r="Z523" s="35"/>
      <c r="AA523" s="35"/>
      <c r="AB523" s="35"/>
      <c r="AC523" s="35"/>
      <c r="AD523" s="35"/>
      <c r="AE523" s="37"/>
      <c r="AF523" s="35"/>
      <c r="AG523" s="37"/>
      <c r="AH523" s="37"/>
      <c r="AI523" s="37"/>
      <c r="AJ523" s="35"/>
      <c r="AK523" s="37"/>
      <c r="AL523" s="37"/>
      <c r="AM523" s="37"/>
      <c r="AN523" s="37"/>
      <c r="AO523" s="37"/>
      <c r="AP523" s="35"/>
      <c r="AQ523" s="35"/>
      <c r="AR523" s="35"/>
      <c r="AS523" s="35"/>
      <c r="AT523" s="35"/>
      <c r="AU523" s="35"/>
      <c r="AV523" s="35"/>
      <c r="AW523" s="35"/>
      <c r="AX523" s="35"/>
      <c r="AY523" s="35"/>
      <c r="AZ523" s="35"/>
      <c r="BA523" s="37"/>
      <c r="BB523" s="37"/>
    </row>
    <row r="524" spans="1:54" x14ac:dyDescent="0.25">
      <c r="A524" s="32"/>
      <c r="B524" s="32"/>
      <c r="C524" s="32"/>
      <c r="D524" s="33"/>
      <c r="E524" s="33"/>
      <c r="F524" s="33"/>
      <c r="G524" s="33"/>
      <c r="H524" s="33"/>
      <c r="I524" s="33"/>
      <c r="J524" s="33"/>
      <c r="K524" s="33"/>
      <c r="L524" s="33"/>
      <c r="M524" s="33"/>
      <c r="N524" s="33"/>
      <c r="O524" s="33"/>
      <c r="P524" s="33"/>
      <c r="Q524" s="33"/>
      <c r="R524" s="33"/>
      <c r="S524" s="33"/>
      <c r="T524" s="33"/>
      <c r="U524" s="33"/>
      <c r="V524" s="33"/>
      <c r="W524" s="33"/>
      <c r="X524" s="33"/>
      <c r="Y524" s="33"/>
      <c r="Z524" s="33"/>
      <c r="AA524" s="33"/>
      <c r="AB524" s="33"/>
      <c r="AC524" s="33"/>
      <c r="AD524" s="33"/>
      <c r="AE524" s="33"/>
      <c r="AF524" s="33"/>
      <c r="AG524" s="33"/>
      <c r="AH524" s="33"/>
      <c r="AI524" s="33"/>
      <c r="AJ524" s="33"/>
      <c r="AK524" s="33"/>
      <c r="AL524" s="33"/>
      <c r="AM524" s="33"/>
      <c r="AN524" s="33"/>
      <c r="AO524" s="33"/>
      <c r="AP524" s="33"/>
      <c r="AQ524" s="33"/>
      <c r="AR524" s="33"/>
      <c r="AS524" s="33"/>
      <c r="AT524" s="33"/>
      <c r="AU524" s="33"/>
      <c r="AV524" s="33"/>
      <c r="AW524" s="33"/>
      <c r="AX524" s="33"/>
      <c r="AY524" s="33"/>
      <c r="AZ524" s="33"/>
      <c r="BA524" s="33"/>
      <c r="BB524" s="33"/>
    </row>
    <row r="525" spans="1:54" s="5" customFormat="1" x14ac:dyDescent="0.25">
      <c r="A525" s="34"/>
      <c r="B525" s="34"/>
      <c r="C525" s="34"/>
      <c r="D525" s="35"/>
      <c r="E525" s="35"/>
      <c r="F525" s="35"/>
      <c r="G525" s="35"/>
      <c r="H525" s="35"/>
      <c r="I525" s="35"/>
      <c r="J525" s="35"/>
      <c r="K525" s="35"/>
      <c r="L525" s="35"/>
      <c r="M525" s="35"/>
      <c r="N525" s="35"/>
      <c r="O525" s="35"/>
      <c r="P525" s="35"/>
      <c r="Q525" s="35"/>
      <c r="R525" s="35"/>
      <c r="S525" s="35"/>
      <c r="T525" s="35"/>
      <c r="U525" s="35"/>
      <c r="V525" s="35"/>
      <c r="W525" s="35"/>
      <c r="X525" s="35"/>
      <c r="Y525" s="35"/>
      <c r="Z525" s="35"/>
      <c r="AA525" s="35"/>
      <c r="AB525" s="35"/>
      <c r="AC525" s="35"/>
      <c r="AD525" s="35"/>
      <c r="AE525" s="35"/>
      <c r="AF525" s="35"/>
      <c r="AG525" s="35"/>
      <c r="AH525" s="35"/>
      <c r="AI525" s="35"/>
      <c r="AJ525" s="35"/>
      <c r="AK525" s="35"/>
      <c r="AL525" s="35"/>
      <c r="AM525" s="37"/>
      <c r="AN525" s="37"/>
      <c r="AO525" s="37"/>
      <c r="AP525" s="37"/>
      <c r="AQ525" s="35"/>
      <c r="AR525" s="35"/>
      <c r="AS525" s="35"/>
      <c r="AT525" s="35"/>
      <c r="AU525" s="35"/>
      <c r="AV525" s="35"/>
      <c r="AW525" s="35"/>
      <c r="AX525" s="35"/>
      <c r="AY525" s="35"/>
      <c r="AZ525" s="35"/>
      <c r="BA525" s="35"/>
      <c r="BB525" s="35"/>
    </row>
    <row r="526" spans="1:54" x14ac:dyDescent="0.25">
      <c r="A526" s="32"/>
      <c r="B526" s="32"/>
      <c r="C526" s="32"/>
      <c r="D526" s="33"/>
      <c r="E526" s="33"/>
      <c r="F526" s="33"/>
      <c r="G526" s="33"/>
      <c r="H526" s="33"/>
      <c r="I526" s="33"/>
      <c r="J526" s="33"/>
      <c r="K526" s="33"/>
      <c r="L526" s="33"/>
      <c r="M526" s="33"/>
      <c r="N526" s="33"/>
      <c r="O526" s="33"/>
      <c r="P526" s="33"/>
      <c r="Q526" s="33"/>
      <c r="R526" s="33"/>
      <c r="S526" s="33"/>
      <c r="T526" s="33"/>
      <c r="U526" s="33"/>
      <c r="V526" s="33"/>
      <c r="W526" s="33"/>
      <c r="X526" s="33"/>
      <c r="Y526" s="33"/>
      <c r="Z526" s="33"/>
      <c r="AA526" s="33"/>
      <c r="AB526" s="33"/>
      <c r="AC526" s="33"/>
      <c r="AD526" s="33"/>
      <c r="AE526" s="33"/>
      <c r="AF526" s="33"/>
      <c r="AG526" s="33"/>
      <c r="AH526" s="33"/>
      <c r="AI526" s="33"/>
      <c r="AJ526" s="33"/>
      <c r="AK526" s="33"/>
      <c r="AL526" s="33"/>
      <c r="AM526" s="33"/>
      <c r="AN526" s="33"/>
      <c r="AO526" s="33"/>
      <c r="AP526" s="33"/>
      <c r="AQ526" s="33"/>
      <c r="AR526" s="33"/>
      <c r="AS526" s="33"/>
      <c r="AT526" s="33"/>
      <c r="AU526" s="33"/>
      <c r="AV526" s="33"/>
      <c r="AW526" s="33"/>
      <c r="AX526" s="33"/>
      <c r="AY526" s="33"/>
      <c r="AZ526" s="33"/>
      <c r="BA526" s="33"/>
      <c r="BB526" s="33"/>
    </row>
    <row r="527" spans="1:54" s="5" customFormat="1" x14ac:dyDescent="0.25">
      <c r="A527" s="34"/>
      <c r="B527" s="34"/>
      <c r="C527" s="34"/>
      <c r="D527" s="35"/>
      <c r="E527" s="35"/>
      <c r="F527" s="35"/>
      <c r="G527" s="35"/>
      <c r="H527" s="35"/>
      <c r="I527" s="35"/>
      <c r="J527" s="35"/>
      <c r="K527" s="35"/>
      <c r="L527" s="35"/>
      <c r="M527" s="35"/>
      <c r="N527" s="35"/>
      <c r="O527" s="35"/>
      <c r="P527" s="35"/>
      <c r="Q527" s="35"/>
      <c r="R527" s="35"/>
      <c r="S527" s="35"/>
      <c r="T527" s="35"/>
      <c r="U527" s="35"/>
      <c r="V527" s="35"/>
      <c r="W527" s="35"/>
      <c r="X527" s="35"/>
      <c r="Y527" s="35"/>
      <c r="Z527" s="35"/>
      <c r="AA527" s="35"/>
      <c r="AB527" s="35"/>
      <c r="AC527" s="35"/>
      <c r="AD527" s="37"/>
      <c r="AE527" s="37"/>
      <c r="AF527" s="37"/>
      <c r="AG527" s="37"/>
      <c r="AH527" s="37"/>
      <c r="AI527" s="37"/>
      <c r="AJ527" s="37"/>
      <c r="AK527" s="37"/>
      <c r="AL527" s="37"/>
      <c r="AM527" s="37"/>
      <c r="AN527" s="37"/>
      <c r="AO527" s="37"/>
      <c r="AP527" s="37"/>
      <c r="AQ527" s="37"/>
      <c r="AR527" s="37"/>
      <c r="AS527" s="37"/>
      <c r="AT527" s="37"/>
      <c r="AU527" s="37"/>
      <c r="AV527" s="37"/>
      <c r="AW527" s="37"/>
      <c r="AX527" s="37"/>
      <c r="AY527" s="37"/>
      <c r="AZ527" s="37"/>
      <c r="BA527" s="37"/>
      <c r="BB527" s="37"/>
    </row>
    <row r="528" spans="1:54" x14ac:dyDescent="0.25">
      <c r="A528" s="32"/>
      <c r="B528" s="32"/>
      <c r="C528" s="32"/>
      <c r="D528" s="33"/>
      <c r="E528" s="33"/>
      <c r="F528" s="33"/>
      <c r="G528" s="33"/>
      <c r="H528" s="33"/>
      <c r="I528" s="33"/>
      <c r="J528" s="33"/>
      <c r="K528" s="33"/>
      <c r="L528" s="33"/>
      <c r="M528" s="33"/>
      <c r="N528" s="33"/>
      <c r="O528" s="33"/>
      <c r="P528" s="33"/>
      <c r="Q528" s="33"/>
      <c r="R528" s="33"/>
      <c r="S528" s="33"/>
      <c r="T528" s="33"/>
      <c r="U528" s="33"/>
      <c r="V528" s="33"/>
      <c r="W528" s="33"/>
      <c r="X528" s="33"/>
      <c r="Y528" s="33"/>
      <c r="Z528" s="33"/>
      <c r="AA528" s="33"/>
      <c r="AB528" s="33"/>
      <c r="AC528" s="33"/>
      <c r="AD528" s="33"/>
      <c r="AE528" s="33"/>
      <c r="AF528" s="33"/>
      <c r="AG528" s="33"/>
      <c r="AH528" s="33"/>
      <c r="AI528" s="33"/>
      <c r="AJ528" s="33"/>
      <c r="AK528" s="33"/>
      <c r="AL528" s="33"/>
      <c r="AM528" s="33"/>
      <c r="AN528" s="33"/>
      <c r="AO528" s="33"/>
      <c r="AP528" s="33"/>
      <c r="AQ528" s="33"/>
      <c r="AR528" s="33"/>
      <c r="AS528" s="33"/>
      <c r="AT528" s="33"/>
      <c r="AU528" s="33"/>
      <c r="AV528" s="33"/>
      <c r="AW528" s="33"/>
      <c r="AX528" s="36"/>
      <c r="AY528" s="36"/>
      <c r="AZ528" s="36"/>
      <c r="BA528" s="33"/>
      <c r="BB528" s="33"/>
    </row>
    <row r="529" spans="1:54" s="5" customFormat="1" x14ac:dyDescent="0.25">
      <c r="A529" s="34"/>
      <c r="B529" s="34"/>
      <c r="C529" s="34"/>
      <c r="D529" s="35"/>
      <c r="E529" s="35"/>
      <c r="F529" s="35"/>
      <c r="G529" s="35"/>
      <c r="H529" s="35"/>
      <c r="I529" s="35"/>
      <c r="J529" s="35"/>
      <c r="K529" s="35"/>
      <c r="L529" s="35"/>
      <c r="M529" s="35"/>
      <c r="N529" s="35"/>
      <c r="O529" s="35"/>
      <c r="P529" s="35"/>
      <c r="Q529" s="35"/>
      <c r="R529" s="35"/>
      <c r="S529" s="35"/>
      <c r="T529" s="35"/>
      <c r="U529" s="35"/>
      <c r="V529" s="35"/>
      <c r="W529" s="35"/>
      <c r="X529" s="35"/>
      <c r="Y529" s="35"/>
      <c r="Z529" s="35"/>
      <c r="AA529" s="35"/>
      <c r="AB529" s="35"/>
      <c r="AC529" s="35"/>
      <c r="AD529" s="35"/>
      <c r="AE529" s="37"/>
      <c r="AF529" s="35"/>
      <c r="AG529" s="37"/>
      <c r="AH529" s="37"/>
      <c r="AI529" s="37"/>
      <c r="AJ529" s="37"/>
      <c r="AK529" s="37"/>
      <c r="AL529" s="37"/>
      <c r="AM529" s="37"/>
      <c r="AN529" s="35"/>
      <c r="AO529" s="37"/>
      <c r="AP529" s="37"/>
      <c r="AQ529" s="37"/>
      <c r="AR529" s="37"/>
      <c r="AS529" s="37"/>
      <c r="AT529" s="37"/>
      <c r="AU529" s="37"/>
      <c r="AV529" s="37"/>
      <c r="AW529" s="37"/>
      <c r="AX529" s="37"/>
      <c r="AY529" s="37"/>
      <c r="AZ529" s="37"/>
      <c r="BA529" s="37"/>
      <c r="BB529" s="37"/>
    </row>
    <row r="530" spans="1:54" x14ac:dyDescent="0.25">
      <c r="A530" s="32"/>
      <c r="B530" s="32"/>
      <c r="C530" s="32"/>
      <c r="D530" s="33"/>
      <c r="E530" s="33"/>
      <c r="F530" s="33"/>
      <c r="G530" s="33"/>
      <c r="H530" s="33"/>
      <c r="I530" s="33"/>
      <c r="J530" s="33"/>
      <c r="K530" s="33"/>
      <c r="L530" s="33"/>
      <c r="M530" s="33"/>
      <c r="N530" s="33"/>
      <c r="O530" s="33"/>
      <c r="P530" s="33"/>
      <c r="Q530" s="33"/>
      <c r="R530" s="33"/>
      <c r="S530" s="33"/>
      <c r="T530" s="33"/>
      <c r="U530" s="33"/>
      <c r="V530" s="33"/>
      <c r="W530" s="33"/>
      <c r="X530" s="33"/>
      <c r="Y530" s="33"/>
      <c r="Z530" s="33"/>
      <c r="AA530" s="33"/>
      <c r="AB530" s="33"/>
      <c r="AC530" s="33"/>
      <c r="AD530" s="36"/>
      <c r="AE530" s="36"/>
      <c r="AF530" s="36"/>
      <c r="AG530" s="36"/>
      <c r="AH530" s="36"/>
      <c r="AI530" s="36"/>
      <c r="AJ530" s="36"/>
      <c r="AK530" s="36"/>
      <c r="AL530" s="36"/>
      <c r="AM530" s="36"/>
      <c r="AN530" s="36"/>
      <c r="AO530" s="36"/>
      <c r="AP530" s="36"/>
      <c r="AQ530" s="36"/>
      <c r="AR530" s="36"/>
      <c r="AS530" s="36"/>
      <c r="AT530" s="36"/>
      <c r="AU530" s="36"/>
      <c r="AV530" s="36"/>
      <c r="AW530" s="36"/>
      <c r="AX530" s="36"/>
      <c r="AY530" s="36"/>
      <c r="AZ530" s="36"/>
      <c r="BA530" s="36"/>
      <c r="BB530" s="36"/>
    </row>
    <row r="531" spans="1:54" s="5" customFormat="1" x14ac:dyDescent="0.25">
      <c r="A531" s="34"/>
      <c r="B531" s="34"/>
      <c r="C531" s="34"/>
      <c r="D531" s="35"/>
      <c r="E531" s="35"/>
      <c r="F531" s="35"/>
      <c r="G531" s="35"/>
      <c r="H531" s="35"/>
      <c r="I531" s="35"/>
      <c r="J531" s="35"/>
      <c r="K531" s="35"/>
      <c r="L531" s="35"/>
      <c r="M531" s="35"/>
      <c r="N531" s="35"/>
      <c r="O531" s="35"/>
      <c r="P531" s="35"/>
      <c r="Q531" s="35"/>
      <c r="R531" s="35"/>
      <c r="S531" s="35"/>
      <c r="T531" s="35"/>
      <c r="U531" s="35"/>
      <c r="V531" s="35"/>
      <c r="W531" s="35"/>
      <c r="X531" s="35"/>
      <c r="Y531" s="35"/>
      <c r="Z531" s="35"/>
      <c r="AA531" s="35"/>
      <c r="AB531" s="35"/>
      <c r="AC531" s="35"/>
      <c r="AD531" s="35"/>
      <c r="AE531" s="35"/>
      <c r="AF531" s="35"/>
      <c r="AG531" s="35"/>
      <c r="AH531" s="35"/>
      <c r="AI531" s="35"/>
      <c r="AJ531" s="35"/>
      <c r="AK531" s="35"/>
      <c r="AL531" s="35"/>
      <c r="AM531" s="35"/>
      <c r="AN531" s="35"/>
      <c r="AO531" s="35"/>
      <c r="AP531" s="37"/>
      <c r="AQ531" s="35"/>
      <c r="AR531" s="35"/>
      <c r="AS531" s="35"/>
      <c r="AT531" s="35"/>
      <c r="AU531" s="35"/>
      <c r="AV531" s="35"/>
      <c r="AW531" s="35"/>
      <c r="AX531" s="35"/>
      <c r="AY531" s="35"/>
      <c r="AZ531" s="35"/>
      <c r="BA531" s="35"/>
      <c r="BB531" s="37"/>
    </row>
    <row r="532" spans="1:54" x14ac:dyDescent="0.25">
      <c r="A532" s="32"/>
      <c r="B532" s="32"/>
      <c r="C532" s="32"/>
      <c r="D532" s="33"/>
      <c r="E532" s="33"/>
      <c r="F532" s="33"/>
      <c r="G532" s="33"/>
      <c r="H532" s="33"/>
      <c r="I532" s="33"/>
      <c r="J532" s="33"/>
      <c r="K532" s="33"/>
      <c r="L532" s="33"/>
      <c r="M532" s="33"/>
      <c r="N532" s="33"/>
      <c r="O532" s="33"/>
      <c r="P532" s="33"/>
      <c r="Q532" s="33"/>
      <c r="R532" s="33"/>
      <c r="S532" s="33"/>
      <c r="T532" s="33"/>
      <c r="U532" s="33"/>
      <c r="V532" s="33"/>
      <c r="W532" s="33"/>
      <c r="X532" s="33"/>
      <c r="Y532" s="33"/>
      <c r="Z532" s="33"/>
      <c r="AA532" s="33"/>
      <c r="AB532" s="33"/>
      <c r="AC532" s="33"/>
      <c r="AD532" s="33"/>
      <c r="AE532" s="33"/>
      <c r="AF532" s="33"/>
      <c r="AG532" s="33"/>
      <c r="AH532" s="33"/>
      <c r="AI532" s="33"/>
      <c r="AJ532" s="33"/>
      <c r="AK532" s="33"/>
      <c r="AL532" s="33"/>
      <c r="AM532" s="33"/>
      <c r="AN532" s="33"/>
      <c r="AO532" s="33"/>
      <c r="AP532" s="33"/>
      <c r="AQ532" s="33"/>
      <c r="AR532" s="33"/>
      <c r="AS532" s="33"/>
      <c r="AT532" s="33"/>
      <c r="AU532" s="33"/>
      <c r="AV532" s="33"/>
      <c r="AW532" s="33"/>
      <c r="AX532" s="33"/>
      <c r="AY532" s="33"/>
      <c r="AZ532" s="33"/>
      <c r="BA532" s="33"/>
      <c r="BB532" s="33"/>
    </row>
    <row r="533" spans="1:54" s="5" customFormat="1" x14ac:dyDescent="0.25">
      <c r="A533" s="34"/>
      <c r="B533" s="34"/>
      <c r="C533" s="34"/>
      <c r="D533" s="35"/>
      <c r="E533" s="35"/>
      <c r="F533" s="35"/>
      <c r="G533" s="35"/>
      <c r="H533" s="35"/>
      <c r="I533" s="35"/>
      <c r="J533" s="35"/>
      <c r="K533" s="35"/>
      <c r="L533" s="35"/>
      <c r="M533" s="35"/>
      <c r="N533" s="35"/>
      <c r="O533" s="35"/>
      <c r="P533" s="35"/>
      <c r="Q533" s="35"/>
      <c r="R533" s="35"/>
      <c r="S533" s="35"/>
      <c r="T533" s="35"/>
      <c r="U533" s="35"/>
      <c r="V533" s="35"/>
      <c r="W533" s="35"/>
      <c r="X533" s="35"/>
      <c r="Y533" s="35"/>
      <c r="Z533" s="35"/>
      <c r="AA533" s="35"/>
      <c r="AB533" s="35"/>
      <c r="AC533" s="35"/>
      <c r="AD533" s="35"/>
      <c r="AE533" s="35"/>
      <c r="AF533" s="35"/>
      <c r="AG533" s="35"/>
      <c r="AH533" s="35"/>
      <c r="AI533" s="35"/>
      <c r="AJ533" s="35"/>
      <c r="AK533" s="35"/>
      <c r="AL533" s="35"/>
      <c r="AM533" s="35"/>
      <c r="AN533" s="35"/>
      <c r="AO533" s="35"/>
      <c r="AP533" s="35"/>
      <c r="AQ533" s="35"/>
      <c r="AR533" s="35"/>
      <c r="AS533" s="35"/>
      <c r="AT533" s="35"/>
      <c r="AU533" s="35"/>
      <c r="AV533" s="35"/>
      <c r="AW533" s="35"/>
      <c r="AX533" s="35"/>
      <c r="AY533" s="35"/>
      <c r="AZ533" s="35"/>
      <c r="BA533" s="35"/>
      <c r="BB533" s="35"/>
    </row>
    <row r="534" spans="1:54" x14ac:dyDescent="0.25">
      <c r="A534" s="32"/>
      <c r="B534" s="32"/>
      <c r="C534" s="32"/>
      <c r="D534" s="33"/>
      <c r="E534" s="33"/>
      <c r="F534" s="33"/>
      <c r="G534" s="33"/>
      <c r="H534" s="33"/>
      <c r="I534" s="33"/>
      <c r="J534" s="33"/>
      <c r="K534" s="33"/>
      <c r="L534" s="33"/>
      <c r="M534" s="33"/>
      <c r="N534" s="33"/>
      <c r="O534" s="33"/>
      <c r="P534" s="33"/>
      <c r="Q534" s="33"/>
      <c r="R534" s="33"/>
      <c r="S534" s="33"/>
      <c r="T534" s="33"/>
      <c r="U534" s="33"/>
      <c r="V534" s="33"/>
      <c r="W534" s="33"/>
      <c r="X534" s="33"/>
      <c r="Y534" s="33"/>
      <c r="Z534" s="33"/>
      <c r="AA534" s="33"/>
      <c r="AB534" s="33"/>
      <c r="AC534" s="33"/>
      <c r="AD534" s="33"/>
      <c r="AE534" s="33"/>
      <c r="AF534" s="33"/>
      <c r="AG534" s="33"/>
      <c r="AH534" s="33"/>
      <c r="AI534" s="33"/>
      <c r="AJ534" s="33"/>
      <c r="AK534" s="33"/>
      <c r="AL534" s="33"/>
      <c r="AM534" s="33"/>
      <c r="AN534" s="33"/>
      <c r="AO534" s="33"/>
      <c r="AP534" s="33"/>
      <c r="AQ534" s="33"/>
      <c r="AR534" s="33"/>
      <c r="AS534" s="33"/>
      <c r="AT534" s="33"/>
      <c r="AU534" s="33"/>
      <c r="AV534" s="33"/>
      <c r="AW534" s="33"/>
      <c r="AX534" s="33"/>
      <c r="AY534" s="33"/>
      <c r="AZ534" s="33"/>
      <c r="BA534" s="33"/>
      <c r="BB534" s="33"/>
    </row>
    <row r="535" spans="1:54" s="5" customFormat="1" x14ac:dyDescent="0.25">
      <c r="A535" s="34"/>
      <c r="B535" s="34"/>
      <c r="C535" s="34"/>
      <c r="D535" s="37"/>
      <c r="E535" s="37"/>
      <c r="F535" s="35"/>
      <c r="G535" s="37"/>
      <c r="H535" s="35"/>
      <c r="I535" s="37"/>
      <c r="J535" s="37"/>
      <c r="K535" s="37"/>
      <c r="L535" s="37"/>
      <c r="M535" s="37"/>
      <c r="N535" s="37"/>
      <c r="O535" s="37"/>
      <c r="P535" s="37"/>
      <c r="Q535" s="37"/>
      <c r="R535" s="37"/>
      <c r="S535" s="37"/>
      <c r="T535" s="37"/>
      <c r="U535" s="37"/>
      <c r="V535" s="37"/>
      <c r="W535" s="37"/>
      <c r="X535" s="37"/>
      <c r="Y535" s="37"/>
      <c r="Z535" s="37"/>
      <c r="AA535" s="37"/>
      <c r="AB535" s="37"/>
      <c r="AC535" s="37"/>
      <c r="AD535" s="37"/>
      <c r="AE535" s="37"/>
      <c r="AF535" s="37"/>
      <c r="AG535" s="37"/>
      <c r="AH535" s="37"/>
      <c r="AI535" s="37"/>
      <c r="AJ535" s="37"/>
      <c r="AK535" s="37"/>
      <c r="AL535" s="37"/>
      <c r="AM535" s="37"/>
      <c r="AN535" s="37"/>
      <c r="AO535" s="37"/>
      <c r="AP535" s="37"/>
      <c r="AQ535" s="37"/>
      <c r="AR535" s="37"/>
      <c r="AS535" s="37"/>
      <c r="AT535" s="37"/>
      <c r="AU535" s="37"/>
      <c r="AV535" s="37"/>
      <c r="AW535" s="37"/>
      <c r="AX535" s="37"/>
      <c r="AY535" s="37"/>
      <c r="AZ535" s="37"/>
      <c r="BA535" s="37"/>
      <c r="BB535" s="37"/>
    </row>
    <row r="536" spans="1:54" x14ac:dyDescent="0.25">
      <c r="A536" s="32"/>
      <c r="B536" s="32"/>
      <c r="C536" s="32"/>
      <c r="D536" s="33"/>
      <c r="E536" s="33"/>
      <c r="F536" s="33"/>
      <c r="G536" s="33"/>
      <c r="H536" s="33"/>
      <c r="I536" s="33"/>
      <c r="J536" s="33"/>
      <c r="K536" s="33"/>
      <c r="L536" s="33"/>
      <c r="M536" s="33"/>
      <c r="N536" s="33"/>
      <c r="O536" s="33"/>
      <c r="P536" s="33"/>
      <c r="Q536" s="33"/>
      <c r="R536" s="33"/>
      <c r="S536" s="33"/>
      <c r="T536" s="33"/>
      <c r="U536" s="33"/>
      <c r="V536" s="33"/>
      <c r="W536" s="33"/>
      <c r="X536" s="33"/>
      <c r="Y536" s="33"/>
      <c r="Z536" s="33"/>
      <c r="AA536" s="33"/>
      <c r="AB536" s="33"/>
      <c r="AC536" s="33"/>
      <c r="AD536" s="33"/>
      <c r="AE536" s="33"/>
      <c r="AF536" s="33"/>
      <c r="AG536" s="33"/>
      <c r="AH536" s="33"/>
      <c r="AI536" s="33"/>
      <c r="AJ536" s="33"/>
      <c r="AK536" s="33"/>
      <c r="AL536" s="33"/>
      <c r="AM536" s="33"/>
      <c r="AN536" s="33"/>
      <c r="AO536" s="33"/>
      <c r="AP536" s="33"/>
      <c r="AQ536" s="33"/>
      <c r="AR536" s="33"/>
      <c r="AS536" s="33"/>
      <c r="AT536" s="33"/>
      <c r="AU536" s="33"/>
      <c r="AV536" s="33"/>
      <c r="AW536" s="33"/>
      <c r="AX536" s="33"/>
      <c r="AY536" s="33"/>
      <c r="AZ536" s="33"/>
      <c r="BA536" s="33"/>
      <c r="BB536" s="33"/>
    </row>
    <row r="537" spans="1:54" s="5" customFormat="1" x14ac:dyDescent="0.25">
      <c r="A537" s="34"/>
      <c r="B537" s="34"/>
      <c r="C537" s="34"/>
      <c r="D537" s="35"/>
      <c r="E537" s="35"/>
      <c r="F537" s="35"/>
      <c r="G537" s="35"/>
      <c r="H537" s="35"/>
      <c r="I537" s="37"/>
      <c r="J537" s="35"/>
      <c r="K537" s="35"/>
      <c r="L537" s="37"/>
      <c r="M537" s="37"/>
      <c r="N537" s="37"/>
      <c r="O537" s="35"/>
      <c r="P537" s="37"/>
      <c r="Q537" s="37"/>
      <c r="R537" s="37"/>
      <c r="S537" s="37"/>
      <c r="T537" s="37"/>
      <c r="U537" s="37"/>
      <c r="V537" s="37"/>
      <c r="W537" s="37"/>
      <c r="X537" s="37"/>
      <c r="Y537" s="37"/>
      <c r="Z537" s="37"/>
      <c r="AA537" s="37"/>
      <c r="AB537" s="37"/>
      <c r="AC537" s="37"/>
      <c r="AD537" s="35"/>
      <c r="AE537" s="37"/>
      <c r="AF537" s="35"/>
      <c r="AG537" s="37"/>
      <c r="AH537" s="37"/>
      <c r="AI537" s="37"/>
      <c r="AJ537" s="37"/>
      <c r="AK537" s="35"/>
      <c r="AL537" s="35"/>
      <c r="AM537" s="35"/>
      <c r="AN537" s="35"/>
      <c r="AO537" s="37"/>
      <c r="AP537" s="35"/>
      <c r="AQ537" s="35"/>
      <c r="AR537" s="35"/>
      <c r="AS537" s="35"/>
      <c r="AT537" s="35"/>
      <c r="AU537" s="35"/>
      <c r="AV537" s="35"/>
      <c r="AW537" s="35"/>
      <c r="AX537" s="37"/>
      <c r="AY537" s="37"/>
      <c r="AZ537" s="37"/>
      <c r="BA537" s="37"/>
      <c r="BB537" s="37"/>
    </row>
    <row r="538" spans="1:54" x14ac:dyDescent="0.25">
      <c r="A538" s="32"/>
      <c r="B538" s="32"/>
      <c r="C538" s="32"/>
      <c r="D538" s="33"/>
      <c r="E538" s="33"/>
      <c r="F538" s="33"/>
      <c r="G538" s="33"/>
      <c r="H538" s="33"/>
      <c r="I538" s="36"/>
      <c r="J538" s="33"/>
      <c r="K538" s="36"/>
      <c r="L538" s="36"/>
      <c r="M538" s="36"/>
      <c r="N538" s="36"/>
      <c r="O538" s="36"/>
      <c r="P538" s="36"/>
      <c r="Q538" s="36"/>
      <c r="R538" s="36"/>
      <c r="S538" s="36"/>
      <c r="T538" s="36"/>
      <c r="U538" s="36"/>
      <c r="V538" s="36"/>
      <c r="W538" s="36"/>
      <c r="X538" s="36"/>
      <c r="Y538" s="36"/>
      <c r="Z538" s="36"/>
      <c r="AA538" s="36"/>
      <c r="AB538" s="36"/>
      <c r="AC538" s="36"/>
      <c r="AD538" s="36"/>
      <c r="AE538" s="36"/>
      <c r="AF538" s="33"/>
      <c r="AG538" s="33"/>
      <c r="AH538" s="36"/>
      <c r="AI538" s="36"/>
      <c r="AJ538" s="36"/>
      <c r="AK538" s="36"/>
      <c r="AL538" s="36"/>
      <c r="AM538" s="36"/>
      <c r="AN538" s="36"/>
      <c r="AO538" s="36"/>
      <c r="AP538" s="36"/>
      <c r="AQ538" s="36"/>
      <c r="AR538" s="36"/>
      <c r="AS538" s="36"/>
      <c r="AT538" s="36"/>
      <c r="AU538" s="36"/>
      <c r="AV538" s="36"/>
      <c r="AW538" s="36"/>
      <c r="AX538" s="36"/>
      <c r="AY538" s="36"/>
      <c r="AZ538" s="36"/>
      <c r="BA538" s="36"/>
      <c r="BB538" s="36"/>
    </row>
    <row r="539" spans="1:54" s="5" customFormat="1" x14ac:dyDescent="0.25">
      <c r="A539" s="34"/>
      <c r="B539" s="34"/>
      <c r="C539" s="34"/>
      <c r="D539" s="35"/>
      <c r="E539" s="35"/>
      <c r="F539" s="35"/>
      <c r="G539" s="37"/>
      <c r="H539" s="35"/>
      <c r="I539" s="37"/>
      <c r="J539" s="37"/>
      <c r="K539" s="35"/>
      <c r="L539" s="35"/>
      <c r="M539" s="35"/>
      <c r="N539" s="35"/>
      <c r="O539" s="35"/>
      <c r="P539" s="37"/>
      <c r="Q539" s="37"/>
      <c r="R539" s="37"/>
      <c r="S539" s="37"/>
      <c r="T539" s="37"/>
      <c r="U539" s="37"/>
      <c r="V539" s="37"/>
      <c r="W539" s="37"/>
      <c r="X539" s="37"/>
      <c r="Y539" s="37"/>
      <c r="Z539" s="37"/>
      <c r="AA539" s="37"/>
      <c r="AB539" s="37"/>
      <c r="AC539" s="37"/>
      <c r="AD539" s="37"/>
      <c r="AE539" s="37"/>
      <c r="AF539" s="37"/>
      <c r="AG539" s="35"/>
      <c r="AH539" s="37"/>
      <c r="AI539" s="37"/>
      <c r="AJ539" s="37"/>
      <c r="AK539" s="37"/>
      <c r="AL539" s="37"/>
      <c r="AM539" s="37"/>
      <c r="AN539" s="37"/>
      <c r="AO539" s="37"/>
      <c r="AP539" s="37"/>
      <c r="AQ539" s="37"/>
      <c r="AR539" s="37"/>
      <c r="AS539" s="37"/>
      <c r="AT539" s="37"/>
      <c r="AU539" s="37"/>
      <c r="AV539" s="37"/>
      <c r="AW539" s="37"/>
      <c r="AX539" s="37"/>
      <c r="AY539" s="37"/>
      <c r="AZ539" s="37"/>
      <c r="BA539" s="37"/>
      <c r="BB539" s="37"/>
    </row>
    <row r="540" spans="1:54" x14ac:dyDescent="0.25">
      <c r="A540" s="34"/>
      <c r="B540" s="32"/>
      <c r="C540" s="32"/>
      <c r="D540" s="33"/>
      <c r="E540" s="33"/>
      <c r="F540" s="33"/>
      <c r="G540" s="33"/>
      <c r="H540" s="33"/>
      <c r="I540" s="33"/>
      <c r="J540" s="33"/>
      <c r="K540" s="33"/>
      <c r="L540" s="33"/>
      <c r="M540" s="33"/>
      <c r="N540" s="33"/>
      <c r="O540" s="33"/>
      <c r="P540" s="33"/>
      <c r="Q540" s="33"/>
      <c r="R540" s="33"/>
      <c r="S540" s="33"/>
      <c r="T540" s="33"/>
      <c r="U540" s="33"/>
      <c r="V540" s="33"/>
      <c r="W540" s="33"/>
      <c r="X540" s="33"/>
      <c r="Y540" s="33"/>
      <c r="Z540" s="33"/>
      <c r="AA540" s="33"/>
      <c r="AB540" s="33"/>
      <c r="AC540" s="33"/>
      <c r="AD540" s="33"/>
      <c r="AE540" s="33"/>
      <c r="AF540" s="33"/>
      <c r="AG540" s="33"/>
      <c r="AH540" s="33"/>
      <c r="AI540" s="33"/>
      <c r="AJ540" s="33"/>
      <c r="AK540" s="33"/>
      <c r="AL540" s="33"/>
      <c r="AM540" s="33"/>
      <c r="AN540" s="33"/>
      <c r="AO540" s="33"/>
      <c r="AP540" s="33"/>
      <c r="AQ540" s="33"/>
      <c r="AR540" s="33"/>
      <c r="AS540" s="33"/>
      <c r="AT540" s="33"/>
      <c r="AU540" s="33"/>
      <c r="AV540" s="33"/>
      <c r="AW540" s="33"/>
      <c r="AX540" s="33"/>
      <c r="AY540" s="33"/>
      <c r="AZ540" s="33"/>
      <c r="BA540" s="33"/>
      <c r="BB540" s="33"/>
    </row>
    <row r="541" spans="1:54" s="5" customFormat="1" x14ac:dyDescent="0.25">
      <c r="A541" s="34"/>
      <c r="B541" s="34"/>
      <c r="C541" s="34"/>
      <c r="D541" s="35"/>
      <c r="E541" s="35"/>
      <c r="F541" s="35"/>
      <c r="G541" s="35"/>
      <c r="H541" s="35"/>
      <c r="I541" s="35"/>
      <c r="J541" s="35"/>
      <c r="K541" s="35"/>
      <c r="L541" s="35"/>
      <c r="M541" s="35"/>
      <c r="N541" s="35"/>
      <c r="O541" s="35"/>
      <c r="P541" s="35"/>
      <c r="Q541" s="35"/>
      <c r="R541" s="35"/>
      <c r="S541" s="35"/>
      <c r="T541" s="35"/>
      <c r="U541" s="35"/>
      <c r="V541" s="35"/>
      <c r="W541" s="35"/>
      <c r="X541" s="35"/>
      <c r="Y541" s="35"/>
      <c r="Z541" s="35"/>
      <c r="AA541" s="35"/>
      <c r="AB541" s="35"/>
      <c r="AC541" s="35"/>
      <c r="AD541" s="35"/>
      <c r="AE541" s="35"/>
      <c r="AF541" s="35"/>
      <c r="AG541" s="35"/>
      <c r="AH541" s="35"/>
      <c r="AI541" s="35"/>
      <c r="AJ541" s="35"/>
      <c r="AK541" s="35"/>
      <c r="AL541" s="35"/>
      <c r="AM541" s="35"/>
      <c r="AN541" s="35"/>
      <c r="AO541" s="35"/>
      <c r="AP541" s="35"/>
      <c r="AQ541" s="35"/>
      <c r="AR541" s="35"/>
      <c r="AS541" s="35"/>
      <c r="AT541" s="35"/>
      <c r="AU541" s="35"/>
      <c r="AV541" s="35"/>
      <c r="AW541" s="35"/>
      <c r="AX541" s="35"/>
      <c r="AY541" s="35"/>
      <c r="AZ541" s="35"/>
      <c r="BA541" s="35"/>
      <c r="BB541" s="35"/>
    </row>
    <row r="542" spans="1:54" x14ac:dyDescent="0.25">
      <c r="A542" s="34"/>
      <c r="B542" s="38"/>
      <c r="C542" s="32"/>
      <c r="D542" s="33"/>
      <c r="E542" s="33"/>
      <c r="F542" s="33"/>
      <c r="G542" s="33"/>
      <c r="H542" s="33"/>
      <c r="I542" s="33"/>
      <c r="J542" s="33"/>
      <c r="K542" s="33"/>
      <c r="L542" s="33"/>
      <c r="M542" s="33"/>
      <c r="N542" s="33"/>
      <c r="O542" s="33"/>
      <c r="P542" s="36"/>
      <c r="Q542" s="36"/>
      <c r="R542" s="33"/>
      <c r="S542" s="36"/>
      <c r="T542" s="33"/>
      <c r="U542" s="33"/>
      <c r="V542" s="36"/>
      <c r="W542" s="36"/>
      <c r="X542" s="36"/>
      <c r="Y542" s="33"/>
      <c r="Z542" s="33"/>
      <c r="AA542" s="36"/>
      <c r="AB542" s="36"/>
      <c r="AC542" s="36"/>
      <c r="AD542" s="36"/>
      <c r="AE542" s="36"/>
      <c r="AF542" s="33"/>
      <c r="AG542" s="33"/>
      <c r="AH542" s="33"/>
      <c r="AI542" s="36"/>
      <c r="AJ542" s="36"/>
      <c r="AK542" s="36"/>
      <c r="AL542" s="36"/>
      <c r="AM542" s="36"/>
      <c r="AN542" s="36"/>
      <c r="AO542" s="36"/>
      <c r="AP542" s="36"/>
      <c r="AQ542" s="36"/>
      <c r="AR542" s="36"/>
      <c r="AS542" s="36"/>
      <c r="AT542" s="36"/>
      <c r="AU542" s="36"/>
      <c r="AV542" s="36"/>
      <c r="AW542" s="36"/>
      <c r="AX542" s="36"/>
      <c r="AY542" s="36"/>
      <c r="AZ542" s="36"/>
      <c r="BA542" s="36"/>
      <c r="BB542" s="36"/>
    </row>
    <row r="543" spans="1:54" x14ac:dyDescent="0.25">
      <c r="A543" s="32"/>
      <c r="B543" s="32"/>
      <c r="C543" s="32"/>
      <c r="D543" s="36"/>
      <c r="E543" s="36"/>
      <c r="F543" s="36"/>
      <c r="G543" s="36"/>
      <c r="H543" s="36"/>
      <c r="I543" s="36"/>
      <c r="J543" s="36"/>
      <c r="K543" s="36"/>
      <c r="L543" s="36"/>
      <c r="M543" s="36"/>
      <c r="N543" s="36"/>
      <c r="O543" s="36"/>
      <c r="P543" s="36"/>
      <c r="Q543" s="36"/>
      <c r="R543" s="36"/>
      <c r="S543" s="36"/>
      <c r="T543" s="36"/>
      <c r="U543" s="36"/>
      <c r="V543" s="36"/>
      <c r="W543" s="36"/>
      <c r="X543" s="36"/>
      <c r="Y543" s="36"/>
      <c r="Z543" s="36"/>
      <c r="AA543" s="36"/>
      <c r="AB543" s="36"/>
      <c r="AC543" s="36"/>
      <c r="AD543" s="36"/>
      <c r="AE543" s="36"/>
      <c r="AF543" s="36"/>
      <c r="AG543" s="36"/>
      <c r="AH543" s="36"/>
      <c r="AI543" s="36"/>
      <c r="AJ543" s="36"/>
      <c r="AK543" s="36"/>
      <c r="AL543" s="36"/>
      <c r="AM543" s="36"/>
      <c r="AN543" s="36"/>
      <c r="AO543" s="36"/>
      <c r="AP543" s="36"/>
      <c r="AQ543" s="36"/>
      <c r="AR543" s="36"/>
      <c r="AS543" s="36"/>
      <c r="AT543" s="36"/>
      <c r="AU543" s="36"/>
      <c r="AV543" s="36"/>
      <c r="AW543" s="36"/>
      <c r="AX543" s="36"/>
      <c r="AY543" s="36"/>
      <c r="AZ543" s="36"/>
      <c r="BA543" s="36"/>
      <c r="BB543" s="36"/>
    </row>
    <row r="544" spans="1:54" s="5" customFormat="1" x14ac:dyDescent="0.25">
      <c r="A544" s="34"/>
      <c r="B544" s="34"/>
      <c r="C544" s="34"/>
      <c r="D544" s="35"/>
      <c r="E544" s="35"/>
      <c r="F544" s="35"/>
      <c r="G544" s="35"/>
      <c r="H544" s="35"/>
      <c r="I544" s="35"/>
      <c r="J544" s="35"/>
      <c r="K544" s="35"/>
      <c r="L544" s="35"/>
      <c r="M544" s="35"/>
      <c r="N544" s="35"/>
      <c r="O544" s="35"/>
      <c r="P544" s="35"/>
      <c r="Q544" s="35"/>
      <c r="R544" s="35"/>
      <c r="S544" s="35"/>
      <c r="T544" s="35"/>
      <c r="U544" s="35"/>
      <c r="V544" s="35"/>
      <c r="W544" s="35"/>
      <c r="X544" s="35"/>
      <c r="Y544" s="35"/>
      <c r="Z544" s="35"/>
      <c r="AA544" s="35"/>
      <c r="AB544" s="35"/>
      <c r="AC544" s="35"/>
      <c r="AD544" s="35"/>
      <c r="AE544" s="35"/>
      <c r="AF544" s="35"/>
      <c r="AG544" s="35"/>
      <c r="AH544" s="35"/>
      <c r="AI544" s="35"/>
      <c r="AJ544" s="35"/>
      <c r="AK544" s="35"/>
      <c r="AL544" s="35"/>
      <c r="AM544" s="35"/>
      <c r="AN544" s="35"/>
      <c r="AO544" s="35"/>
      <c r="AP544" s="35"/>
      <c r="AQ544" s="35"/>
      <c r="AR544" s="35"/>
      <c r="AS544" s="35"/>
      <c r="AT544" s="35"/>
      <c r="AU544" s="35"/>
      <c r="AV544" s="35"/>
      <c r="AW544" s="35"/>
      <c r="AX544" s="35"/>
      <c r="AY544" s="35"/>
      <c r="AZ544" s="35"/>
      <c r="BA544" s="35"/>
      <c r="BB544" s="35"/>
    </row>
    <row r="545" spans="1:54" x14ac:dyDescent="0.25">
      <c r="A545" s="32"/>
      <c r="B545" s="32"/>
      <c r="C545" s="32"/>
      <c r="D545" s="36"/>
      <c r="E545" s="36"/>
      <c r="F545" s="36"/>
      <c r="G545" s="36"/>
      <c r="H545" s="36"/>
      <c r="I545" s="36"/>
      <c r="J545" s="36"/>
      <c r="K545" s="36"/>
      <c r="L545" s="36"/>
      <c r="M545" s="36"/>
      <c r="N545" s="33"/>
      <c r="O545" s="36"/>
      <c r="P545" s="36"/>
      <c r="Q545" s="36"/>
      <c r="R545" s="36"/>
      <c r="S545" s="36"/>
      <c r="T545" s="36"/>
      <c r="U545" s="36"/>
      <c r="V545" s="36"/>
      <c r="W545" s="36"/>
      <c r="X545" s="36"/>
      <c r="Y545" s="36"/>
      <c r="Z545" s="36"/>
      <c r="AA545" s="36"/>
      <c r="AB545" s="36"/>
      <c r="AC545" s="36"/>
      <c r="AD545" s="36"/>
      <c r="AE545" s="36"/>
      <c r="AF545" s="36"/>
      <c r="AG545" s="36"/>
      <c r="AH545" s="36"/>
      <c r="AI545" s="36"/>
      <c r="AJ545" s="36"/>
      <c r="AK545" s="36"/>
      <c r="AL545" s="36"/>
      <c r="AM545" s="36"/>
      <c r="AN545" s="36"/>
      <c r="AO545" s="36"/>
      <c r="AP545" s="36"/>
      <c r="AQ545" s="36"/>
      <c r="AR545" s="36"/>
      <c r="AS545" s="36"/>
      <c r="AT545" s="36"/>
      <c r="AU545" s="36"/>
      <c r="AV545" s="36"/>
      <c r="AW545" s="36"/>
      <c r="AX545" s="36"/>
      <c r="AY545" s="36"/>
      <c r="AZ545" s="36"/>
      <c r="BA545" s="36"/>
      <c r="BB545" s="36"/>
    </row>
    <row r="546" spans="1:54" s="5" customFormat="1" x14ac:dyDescent="0.25">
      <c r="A546" s="34"/>
      <c r="B546" s="34"/>
      <c r="C546" s="34"/>
      <c r="D546" s="37"/>
      <c r="E546" s="37"/>
      <c r="F546" s="37"/>
      <c r="G546" s="37"/>
      <c r="H546" s="37"/>
      <c r="I546" s="37"/>
      <c r="J546" s="37"/>
      <c r="K546" s="37"/>
      <c r="L546" s="37"/>
      <c r="M546" s="37"/>
      <c r="N546" s="37"/>
      <c r="O546" s="37"/>
      <c r="P546" s="37"/>
      <c r="Q546" s="37"/>
      <c r="R546" s="37"/>
      <c r="S546" s="37"/>
      <c r="T546" s="37"/>
      <c r="U546" s="37"/>
      <c r="V546" s="37"/>
      <c r="W546" s="37"/>
      <c r="X546" s="37"/>
      <c r="Y546" s="37"/>
      <c r="Z546" s="37"/>
      <c r="AA546" s="37"/>
      <c r="AB546" s="37"/>
      <c r="AC546" s="37"/>
      <c r="AD546" s="37"/>
      <c r="AE546" s="37"/>
      <c r="AF546" s="37"/>
      <c r="AG546" s="37"/>
      <c r="AH546" s="37"/>
      <c r="AI546" s="37"/>
      <c r="AJ546" s="37"/>
      <c r="AK546" s="37"/>
      <c r="AL546" s="37"/>
      <c r="AM546" s="37"/>
      <c r="AN546" s="37"/>
      <c r="AO546" s="37"/>
      <c r="AP546" s="37"/>
      <c r="AQ546" s="37"/>
      <c r="AR546" s="37"/>
      <c r="AS546" s="37"/>
      <c r="AT546" s="37"/>
      <c r="AU546" s="37"/>
      <c r="AV546" s="37"/>
      <c r="AW546" s="37"/>
      <c r="AX546" s="37"/>
      <c r="AY546" s="37"/>
      <c r="AZ546" s="37"/>
      <c r="BA546" s="37"/>
      <c r="BB546" s="37"/>
    </row>
    <row r="547" spans="1:54" x14ac:dyDescent="0.25">
      <c r="A547" s="32"/>
      <c r="B547" s="32"/>
      <c r="C547" s="32"/>
      <c r="D547" s="36"/>
      <c r="E547" s="36"/>
      <c r="F547" s="36"/>
      <c r="G547" s="36"/>
      <c r="H547" s="36"/>
      <c r="I547" s="36"/>
      <c r="J547" s="36"/>
      <c r="K547" s="36"/>
      <c r="L547" s="36"/>
      <c r="M547" s="36"/>
      <c r="N547" s="36"/>
      <c r="O547" s="36"/>
      <c r="P547" s="36"/>
      <c r="Q547" s="36"/>
      <c r="R547" s="36"/>
      <c r="S547" s="36"/>
      <c r="T547" s="36"/>
      <c r="U547" s="36"/>
      <c r="V547" s="36"/>
      <c r="W547" s="36"/>
      <c r="X547" s="36"/>
      <c r="Y547" s="36"/>
      <c r="Z547" s="36"/>
      <c r="AA547" s="36"/>
      <c r="AB547" s="36"/>
      <c r="AC547" s="36"/>
      <c r="AD547" s="36"/>
      <c r="AE547" s="36"/>
      <c r="AF547" s="36"/>
      <c r="AG547" s="36"/>
      <c r="AH547" s="36"/>
      <c r="AI547" s="36"/>
      <c r="AJ547" s="36"/>
      <c r="AK547" s="36"/>
      <c r="AL547" s="36"/>
      <c r="AM547" s="36"/>
      <c r="AN547" s="36"/>
      <c r="AO547" s="36"/>
      <c r="AP547" s="36"/>
      <c r="AQ547" s="36"/>
      <c r="AR547" s="36"/>
      <c r="AS547" s="36"/>
      <c r="AT547" s="36"/>
      <c r="AU547" s="36"/>
      <c r="AV547" s="36"/>
      <c r="AW547" s="36"/>
      <c r="AX547" s="36"/>
      <c r="AY547" s="36"/>
      <c r="AZ547" s="36"/>
      <c r="BA547" s="36"/>
      <c r="BB547" s="36"/>
    </row>
    <row r="548" spans="1:54" x14ac:dyDescent="0.25">
      <c r="A548" s="34"/>
      <c r="B548" s="34"/>
      <c r="C548" s="34"/>
      <c r="D548" s="37"/>
      <c r="E548" s="37"/>
      <c r="F548" s="37"/>
      <c r="G548" s="37"/>
      <c r="H548" s="37"/>
      <c r="I548" s="37"/>
      <c r="J548" s="37"/>
      <c r="K548" s="37"/>
      <c r="L548" s="37"/>
      <c r="M548" s="37"/>
      <c r="N548" s="37"/>
      <c r="O548" s="37"/>
      <c r="P548" s="37"/>
      <c r="Q548" s="37"/>
      <c r="R548" s="37"/>
      <c r="S548" s="37"/>
      <c r="T548" s="37"/>
      <c r="U548" s="37"/>
      <c r="V548" s="37"/>
      <c r="W548" s="37"/>
      <c r="X548" s="37"/>
      <c r="Y548" s="37"/>
      <c r="Z548" s="37"/>
      <c r="AA548" s="37"/>
      <c r="AB548" s="37"/>
      <c r="AC548" s="37"/>
      <c r="AD548" s="37"/>
      <c r="AE548" s="37"/>
      <c r="AF548" s="37"/>
      <c r="AG548" s="37"/>
      <c r="AH548" s="37"/>
      <c r="AI548" s="37"/>
      <c r="AJ548" s="37"/>
      <c r="AK548" s="37"/>
      <c r="AL548" s="37"/>
      <c r="AM548" s="37"/>
      <c r="AN548" s="37"/>
      <c r="AO548" s="37"/>
      <c r="AP548" s="37"/>
      <c r="AQ548" s="37"/>
      <c r="AR548" s="37"/>
      <c r="AS548" s="37"/>
      <c r="AT548" s="37"/>
      <c r="AU548" s="37"/>
      <c r="AV548" s="37"/>
      <c r="AW548" s="37"/>
      <c r="AX548" s="37"/>
      <c r="AY548" s="37"/>
      <c r="AZ548" s="37"/>
      <c r="BA548" s="37"/>
      <c r="BB548" s="37"/>
    </row>
    <row r="549" spans="1:54" x14ac:dyDescent="0.25">
      <c r="A549" s="32"/>
      <c r="B549" s="32"/>
      <c r="C549" s="32"/>
      <c r="D549" s="36"/>
      <c r="E549" s="36"/>
      <c r="F549" s="36"/>
      <c r="G549" s="36"/>
      <c r="H549" s="36"/>
      <c r="I549" s="36"/>
      <c r="J549" s="36"/>
      <c r="K549" s="36"/>
      <c r="L549" s="36"/>
      <c r="M549" s="36"/>
      <c r="N549" s="36"/>
      <c r="O549" s="36"/>
      <c r="P549" s="36"/>
      <c r="Q549" s="36"/>
      <c r="R549" s="36"/>
      <c r="S549" s="36"/>
      <c r="T549" s="36"/>
      <c r="U549" s="36"/>
      <c r="V549" s="36"/>
      <c r="W549" s="36"/>
      <c r="X549" s="36"/>
      <c r="Y549" s="36"/>
      <c r="Z549" s="36"/>
      <c r="AA549" s="36"/>
      <c r="AB549" s="36"/>
      <c r="AC549" s="36"/>
      <c r="AD549" s="36"/>
      <c r="AE549" s="36"/>
      <c r="AF549" s="36"/>
      <c r="AG549" s="36"/>
      <c r="AH549" s="36"/>
      <c r="AI549" s="36"/>
      <c r="AJ549" s="36"/>
      <c r="AK549" s="36"/>
      <c r="AL549" s="36"/>
      <c r="AM549" s="36"/>
      <c r="AN549" s="36"/>
      <c r="AO549" s="36"/>
      <c r="AP549" s="36"/>
      <c r="AQ549" s="36"/>
      <c r="AR549" s="36"/>
      <c r="AS549" s="36"/>
      <c r="AT549" s="36"/>
      <c r="AU549" s="36"/>
      <c r="AV549" s="36"/>
      <c r="AW549" s="36"/>
      <c r="AX549" s="36"/>
      <c r="AY549" s="36"/>
      <c r="AZ549" s="36"/>
      <c r="BA549" s="36"/>
      <c r="BB549" s="36"/>
    </row>
    <row r="550" spans="1:54" x14ac:dyDescent="0.25">
      <c r="A550" s="34"/>
      <c r="B550" s="34"/>
      <c r="C550" s="34"/>
      <c r="D550" s="37"/>
      <c r="E550" s="37"/>
      <c r="F550" s="37"/>
      <c r="G550" s="37"/>
      <c r="H550" s="37"/>
      <c r="I550" s="37"/>
      <c r="J550" s="37"/>
      <c r="K550" s="37"/>
      <c r="L550" s="37"/>
      <c r="M550" s="37"/>
      <c r="N550" s="37"/>
      <c r="O550" s="37"/>
      <c r="P550" s="37"/>
      <c r="Q550" s="37"/>
      <c r="R550" s="37"/>
      <c r="S550" s="37"/>
      <c r="T550" s="37"/>
      <c r="U550" s="37"/>
      <c r="V550" s="37"/>
      <c r="W550" s="37"/>
      <c r="X550" s="37"/>
      <c r="Y550" s="37"/>
      <c r="Z550" s="37"/>
      <c r="AA550" s="37"/>
      <c r="AB550" s="37"/>
      <c r="AC550" s="37"/>
      <c r="AD550" s="37"/>
      <c r="AE550" s="37"/>
      <c r="AF550" s="37"/>
      <c r="AG550" s="37"/>
      <c r="AH550" s="37"/>
      <c r="AI550" s="37"/>
      <c r="AJ550" s="37"/>
      <c r="AK550" s="37"/>
      <c r="AL550" s="37"/>
      <c r="AM550" s="37"/>
      <c r="AN550" s="37"/>
      <c r="AO550" s="37"/>
      <c r="AP550" s="37"/>
      <c r="AQ550" s="37"/>
      <c r="AR550" s="37"/>
      <c r="AS550" s="37"/>
      <c r="AT550" s="37"/>
      <c r="AU550" s="37"/>
      <c r="AV550" s="37"/>
      <c r="AW550" s="37"/>
      <c r="AX550" s="37"/>
      <c r="AY550" s="37"/>
      <c r="AZ550" s="37"/>
      <c r="BA550" s="37"/>
      <c r="BB550" s="37"/>
    </row>
    <row r="551" spans="1:54" x14ac:dyDescent="0.25">
      <c r="A551" s="32"/>
      <c r="B551" s="32"/>
      <c r="C551" s="32"/>
      <c r="D551" s="36"/>
      <c r="E551" s="36"/>
      <c r="F551" s="36"/>
      <c r="G551" s="36"/>
      <c r="H551" s="36"/>
      <c r="I551" s="36"/>
      <c r="J551" s="36"/>
      <c r="K551" s="36"/>
      <c r="L551" s="36"/>
      <c r="M551" s="36"/>
      <c r="N551" s="36"/>
      <c r="O551" s="36"/>
      <c r="P551" s="36"/>
      <c r="Q551" s="36"/>
      <c r="R551" s="36"/>
      <c r="S551" s="36"/>
      <c r="T551" s="36"/>
      <c r="U551" s="36"/>
      <c r="V551" s="36"/>
      <c r="W551" s="36"/>
      <c r="X551" s="36"/>
      <c r="Y551" s="36"/>
      <c r="Z551" s="36"/>
      <c r="AA551" s="36"/>
      <c r="AB551" s="36"/>
      <c r="AC551" s="36"/>
      <c r="AD551" s="36"/>
      <c r="AE551" s="36"/>
      <c r="AF551" s="36"/>
      <c r="AG551" s="36"/>
      <c r="AH551" s="36"/>
      <c r="AI551" s="36"/>
      <c r="AJ551" s="36"/>
      <c r="AK551" s="36"/>
      <c r="AL551" s="36"/>
      <c r="AM551" s="36"/>
      <c r="AN551" s="36"/>
      <c r="AO551" s="36"/>
      <c r="AP551" s="36"/>
      <c r="AQ551" s="36"/>
      <c r="AR551" s="36"/>
      <c r="AS551" s="36"/>
      <c r="AT551" s="36"/>
      <c r="AU551" s="36"/>
      <c r="AV551" s="36"/>
      <c r="AW551" s="36"/>
      <c r="AX551" s="36"/>
      <c r="AY551" s="36"/>
      <c r="AZ551" s="36"/>
      <c r="BA551" s="36"/>
      <c r="BB551" s="36"/>
    </row>
    <row r="552" spans="1:54" x14ac:dyDescent="0.25">
      <c r="A552" s="34"/>
      <c r="B552" s="34"/>
      <c r="C552" s="34"/>
      <c r="D552" s="37"/>
      <c r="E552" s="37"/>
      <c r="F552" s="37"/>
      <c r="G552" s="37"/>
      <c r="H552" s="37"/>
      <c r="I552" s="37"/>
      <c r="J552" s="37"/>
      <c r="K552" s="37"/>
      <c r="L552" s="37"/>
      <c r="M552" s="37"/>
      <c r="N552" s="37"/>
      <c r="O552" s="37"/>
      <c r="P552" s="37"/>
      <c r="Q552" s="37"/>
      <c r="R552" s="37"/>
      <c r="S552" s="37"/>
      <c r="T552" s="37"/>
      <c r="U552" s="37"/>
      <c r="V552" s="37"/>
      <c r="W552" s="37"/>
      <c r="X552" s="37"/>
      <c r="Y552" s="37"/>
      <c r="Z552" s="37"/>
      <c r="AA552" s="37"/>
      <c r="AB552" s="37"/>
      <c r="AC552" s="37"/>
      <c r="AD552" s="37"/>
      <c r="AE552" s="37"/>
      <c r="AF552" s="37"/>
      <c r="AG552" s="37"/>
      <c r="AH552" s="37"/>
      <c r="AI552" s="37"/>
      <c r="AJ552" s="37"/>
      <c r="AK552" s="37"/>
      <c r="AL552" s="37"/>
      <c r="AM552" s="37"/>
      <c r="AN552" s="37"/>
      <c r="AO552" s="37"/>
      <c r="AP552" s="37"/>
      <c r="AQ552" s="37"/>
      <c r="AR552" s="37"/>
      <c r="AS552" s="37"/>
      <c r="AT552" s="37"/>
      <c r="AU552" s="37"/>
      <c r="AV552" s="37"/>
      <c r="AW552" s="37"/>
      <c r="AX552" s="37"/>
      <c r="AY552" s="37"/>
      <c r="AZ552" s="37"/>
      <c r="BA552" s="37"/>
      <c r="BB552" s="37"/>
    </row>
    <row r="553" spans="1:54" x14ac:dyDescent="0.25">
      <c r="A553" s="32"/>
      <c r="B553" s="32"/>
      <c r="C553" s="32"/>
      <c r="D553" s="36"/>
      <c r="E553" s="36"/>
      <c r="F553" s="36"/>
      <c r="G553" s="36"/>
      <c r="H553" s="36"/>
      <c r="I553" s="36"/>
      <c r="J553" s="36"/>
      <c r="K553" s="36"/>
      <c r="L553" s="36"/>
      <c r="M553" s="36"/>
      <c r="N553" s="36"/>
      <c r="O553" s="36"/>
      <c r="P553" s="36"/>
      <c r="Q553" s="36"/>
      <c r="R553" s="36"/>
      <c r="S553" s="36"/>
      <c r="T553" s="36"/>
      <c r="U553" s="36"/>
      <c r="V553" s="36"/>
      <c r="W553" s="36"/>
      <c r="X553" s="36"/>
      <c r="Y553" s="36"/>
      <c r="Z553" s="36"/>
      <c r="AA553" s="36"/>
      <c r="AB553" s="36"/>
      <c r="AC553" s="36"/>
      <c r="AD553" s="36"/>
      <c r="AE553" s="36"/>
      <c r="AF553" s="36"/>
      <c r="AG553" s="36"/>
      <c r="AH553" s="36"/>
      <c r="AI553" s="36"/>
      <c r="AJ553" s="36"/>
      <c r="AK553" s="36"/>
      <c r="AL553" s="36"/>
      <c r="AM553" s="36"/>
      <c r="AN553" s="36"/>
      <c r="AO553" s="36"/>
      <c r="AP553" s="36"/>
      <c r="AQ553" s="36"/>
      <c r="AR553" s="36"/>
      <c r="AS553" s="36"/>
      <c r="AT553" s="36"/>
      <c r="AU553" s="36"/>
      <c r="AV553" s="36"/>
      <c r="AW553" s="36"/>
      <c r="AX553" s="36"/>
      <c r="AY553" s="36"/>
      <c r="AZ553" s="36"/>
      <c r="BA553" s="36"/>
      <c r="BB553" s="36"/>
    </row>
    <row r="554" spans="1:54" x14ac:dyDescent="0.25">
      <c r="A554" s="34"/>
      <c r="B554" s="34"/>
      <c r="C554" s="34"/>
      <c r="D554" s="37"/>
      <c r="E554" s="37"/>
      <c r="F554" s="37"/>
      <c r="G554" s="37"/>
      <c r="H554" s="37"/>
      <c r="I554" s="37"/>
      <c r="J554" s="37"/>
      <c r="K554" s="37"/>
      <c r="L554" s="37"/>
      <c r="M554" s="37"/>
      <c r="N554" s="37"/>
      <c r="O554" s="37"/>
      <c r="P554" s="37"/>
      <c r="Q554" s="37"/>
      <c r="R554" s="37"/>
      <c r="S554" s="37"/>
      <c r="T554" s="37"/>
      <c r="U554" s="37"/>
      <c r="V554" s="37"/>
      <c r="W554" s="37"/>
      <c r="X554" s="37"/>
      <c r="Y554" s="37"/>
      <c r="Z554" s="37"/>
      <c r="AA554" s="37"/>
      <c r="AB554" s="37"/>
      <c r="AC554" s="37"/>
      <c r="AD554" s="37"/>
      <c r="AE554" s="37"/>
      <c r="AF554" s="37"/>
      <c r="AG554" s="37"/>
      <c r="AH554" s="37"/>
      <c r="AI554" s="37"/>
      <c r="AJ554" s="37"/>
      <c r="AK554" s="37"/>
      <c r="AL554" s="37"/>
      <c r="AM554" s="37"/>
      <c r="AN554" s="37"/>
      <c r="AO554" s="37"/>
      <c r="AP554" s="37"/>
      <c r="AQ554" s="37"/>
      <c r="AR554" s="37"/>
      <c r="AS554" s="37"/>
      <c r="AT554" s="37"/>
      <c r="AU554" s="37"/>
      <c r="AV554" s="37"/>
      <c r="AW554" s="37"/>
      <c r="AX554" s="37"/>
      <c r="AY554" s="37"/>
      <c r="AZ554" s="37"/>
      <c r="BA554" s="37"/>
      <c r="BB554" s="37"/>
    </row>
    <row r="555" spans="1:54" x14ac:dyDescent="0.25">
      <c r="A555" s="32"/>
      <c r="B555" s="32"/>
      <c r="C555" s="32"/>
      <c r="D555" s="33"/>
      <c r="E555" s="33"/>
      <c r="F555" s="33"/>
      <c r="G555" s="33"/>
      <c r="H555" s="36"/>
      <c r="I555" s="36"/>
      <c r="J555" s="36"/>
      <c r="K555" s="36"/>
      <c r="L555" s="36"/>
      <c r="M555" s="36"/>
      <c r="N555" s="36"/>
      <c r="O555" s="36"/>
      <c r="P555" s="36"/>
      <c r="Q555" s="36"/>
      <c r="R555" s="36"/>
      <c r="S555" s="36"/>
      <c r="T555" s="36"/>
      <c r="U555" s="36"/>
      <c r="V555" s="36"/>
      <c r="W555" s="36"/>
      <c r="X555" s="36"/>
      <c r="Y555" s="36"/>
      <c r="Z555" s="36"/>
      <c r="AA555" s="36"/>
      <c r="AB555" s="36"/>
      <c r="AC555" s="36"/>
      <c r="AD555" s="36"/>
      <c r="AE555" s="36"/>
      <c r="AF555" s="36"/>
      <c r="AG555" s="36"/>
      <c r="AH555" s="36"/>
      <c r="AI555" s="36"/>
      <c r="AJ555" s="36"/>
      <c r="AK555" s="36"/>
      <c r="AL555" s="36"/>
      <c r="AM555" s="36"/>
      <c r="AN555" s="36"/>
      <c r="AO555" s="36"/>
      <c r="AP555" s="36"/>
      <c r="AQ555" s="36"/>
      <c r="AR555" s="36"/>
      <c r="AS555" s="36"/>
      <c r="AT555" s="36"/>
      <c r="AU555" s="36"/>
      <c r="AV555" s="36"/>
      <c r="AW555" s="36"/>
      <c r="AX555" s="36"/>
      <c r="AY555" s="36"/>
      <c r="AZ555" s="36"/>
      <c r="BA555" s="36"/>
      <c r="BB555" s="36"/>
    </row>
    <row r="556" spans="1:54" x14ac:dyDescent="0.25">
      <c r="A556" s="34"/>
      <c r="B556" s="34"/>
      <c r="C556" s="34"/>
      <c r="D556" s="35"/>
      <c r="E556" s="35"/>
      <c r="F556" s="35"/>
      <c r="G556" s="35"/>
      <c r="H556" s="37"/>
      <c r="I556" s="37"/>
      <c r="J556" s="37"/>
      <c r="K556" s="37"/>
      <c r="L556" s="37"/>
      <c r="M556" s="37"/>
      <c r="N556" s="37"/>
      <c r="O556" s="37"/>
      <c r="P556" s="37"/>
      <c r="Q556" s="37"/>
      <c r="R556" s="37"/>
      <c r="S556" s="37"/>
      <c r="T556" s="37"/>
      <c r="U556" s="37"/>
      <c r="V556" s="37"/>
      <c r="W556" s="37"/>
      <c r="X556" s="37"/>
      <c r="Y556" s="37"/>
      <c r="Z556" s="37"/>
      <c r="AA556" s="37"/>
      <c r="AB556" s="37"/>
      <c r="AC556" s="37"/>
      <c r="AD556" s="37"/>
      <c r="AE556" s="37"/>
      <c r="AF556" s="37"/>
      <c r="AG556" s="37"/>
      <c r="AH556" s="37"/>
      <c r="AI556" s="37"/>
      <c r="AJ556" s="37"/>
      <c r="AK556" s="37"/>
      <c r="AL556" s="37"/>
      <c r="AM556" s="37"/>
      <c r="AN556" s="37"/>
      <c r="AO556" s="37"/>
      <c r="AP556" s="37"/>
      <c r="AQ556" s="37"/>
      <c r="AR556" s="37"/>
      <c r="AS556" s="37"/>
      <c r="AT556" s="37"/>
      <c r="AU556" s="37"/>
      <c r="AV556" s="37"/>
      <c r="AW556" s="37"/>
      <c r="AX556" s="37"/>
      <c r="AY556" s="37"/>
      <c r="AZ556" s="37"/>
      <c r="BA556" s="37"/>
      <c r="BB556" s="37"/>
    </row>
    <row r="557" spans="1:54" x14ac:dyDescent="0.25">
      <c r="A557" s="32"/>
      <c r="B557" s="32"/>
      <c r="C557" s="32"/>
      <c r="D557" s="33"/>
      <c r="E557" s="33"/>
      <c r="F557" s="33"/>
      <c r="G557" s="33"/>
      <c r="H557" s="36"/>
      <c r="I557" s="36"/>
      <c r="J557" s="36"/>
      <c r="K557" s="36"/>
      <c r="L557" s="36"/>
      <c r="M557" s="36"/>
      <c r="N557" s="36"/>
      <c r="O557" s="36"/>
      <c r="P557" s="36"/>
      <c r="Q557" s="36"/>
      <c r="R557" s="36"/>
      <c r="S557" s="36"/>
      <c r="T557" s="36"/>
      <c r="U557" s="36"/>
      <c r="V557" s="36"/>
      <c r="W557" s="36"/>
      <c r="X557" s="36"/>
      <c r="Y557" s="36"/>
      <c r="Z557" s="36"/>
      <c r="AA557" s="36"/>
      <c r="AB557" s="36"/>
      <c r="AC557" s="36"/>
      <c r="AD557" s="36"/>
      <c r="AE557" s="36"/>
      <c r="AF557" s="36"/>
      <c r="AG557" s="36"/>
      <c r="AH557" s="36"/>
      <c r="AI557" s="36"/>
      <c r="AJ557" s="36"/>
      <c r="AK557" s="36"/>
      <c r="AL557" s="36"/>
      <c r="AM557" s="36"/>
      <c r="AN557" s="36"/>
      <c r="AO557" s="36"/>
      <c r="AP557" s="36"/>
      <c r="AQ557" s="36"/>
      <c r="AR557" s="36"/>
      <c r="AS557" s="36"/>
      <c r="AT557" s="36"/>
      <c r="AU557" s="36"/>
      <c r="AV557" s="36"/>
      <c r="AW557" s="36"/>
      <c r="AX557" s="36"/>
      <c r="AY557" s="36"/>
      <c r="AZ557" s="36"/>
      <c r="BA557" s="36"/>
      <c r="BB557" s="36"/>
    </row>
    <row r="558" spans="1:54" x14ac:dyDescent="0.25">
      <c r="A558" s="34"/>
      <c r="B558" s="34"/>
      <c r="C558" s="34"/>
      <c r="D558" s="35"/>
      <c r="E558" s="35"/>
      <c r="F558" s="35"/>
      <c r="G558" s="35"/>
      <c r="H558" s="37"/>
      <c r="I558" s="37"/>
      <c r="J558" s="37"/>
      <c r="K558" s="37"/>
      <c r="L558" s="37"/>
      <c r="M558" s="37"/>
      <c r="N558" s="37"/>
      <c r="O558" s="37"/>
      <c r="P558" s="37"/>
      <c r="Q558" s="37"/>
      <c r="R558" s="37"/>
      <c r="S558" s="37"/>
      <c r="T558" s="37"/>
      <c r="U558" s="37"/>
      <c r="V558" s="37"/>
      <c r="W558" s="37"/>
      <c r="X558" s="37"/>
      <c r="Y558" s="37"/>
      <c r="Z558" s="37"/>
      <c r="AA558" s="37"/>
      <c r="AB558" s="37"/>
      <c r="AC558" s="37"/>
      <c r="AD558" s="37"/>
      <c r="AE558" s="37"/>
      <c r="AF558" s="37"/>
      <c r="AG558" s="37"/>
      <c r="AH558" s="37"/>
      <c r="AI558" s="37"/>
      <c r="AJ558" s="37"/>
      <c r="AK558" s="37"/>
      <c r="AL558" s="37"/>
      <c r="AM558" s="37"/>
      <c r="AN558" s="37"/>
      <c r="AO558" s="37"/>
      <c r="AP558" s="37"/>
      <c r="AQ558" s="37"/>
      <c r="AR558" s="37"/>
      <c r="AS558" s="37"/>
      <c r="AT558" s="37"/>
      <c r="AU558" s="37"/>
      <c r="AV558" s="37"/>
      <c r="AW558" s="37"/>
      <c r="AX558" s="37"/>
      <c r="AY558" s="37"/>
      <c r="AZ558" s="37"/>
      <c r="BA558" s="37"/>
      <c r="BB558" s="37"/>
    </row>
    <row r="559" spans="1:54" x14ac:dyDescent="0.25">
      <c r="A559" s="32"/>
      <c r="B559" s="32"/>
      <c r="C559" s="32"/>
      <c r="D559" s="36"/>
      <c r="E559" s="36"/>
      <c r="F559" s="36"/>
      <c r="G559" s="36"/>
      <c r="H559" s="36"/>
      <c r="I559" s="36"/>
      <c r="J559" s="36"/>
      <c r="K559" s="36"/>
      <c r="L559" s="36"/>
      <c r="M559" s="36"/>
      <c r="N559" s="36"/>
      <c r="O559" s="36"/>
      <c r="P559" s="36"/>
      <c r="Q559" s="36"/>
      <c r="R559" s="36"/>
      <c r="S559" s="36"/>
      <c r="T559" s="36"/>
      <c r="U559" s="36"/>
      <c r="V559" s="36"/>
      <c r="W559" s="36"/>
      <c r="X559" s="36"/>
      <c r="Y559" s="36"/>
      <c r="Z559" s="36"/>
      <c r="AA559" s="36"/>
      <c r="AB559" s="36"/>
      <c r="AC559" s="36"/>
      <c r="AD559" s="36"/>
      <c r="AE559" s="36"/>
      <c r="AF559" s="36"/>
      <c r="AG559" s="36"/>
      <c r="AH559" s="36"/>
      <c r="AI559" s="36"/>
      <c r="AJ559" s="36"/>
      <c r="AK559" s="36"/>
      <c r="AL559" s="36"/>
      <c r="AM559" s="36"/>
      <c r="AN559" s="36"/>
      <c r="AO559" s="36"/>
      <c r="AP559" s="36"/>
      <c r="AQ559" s="36"/>
      <c r="AR559" s="36"/>
      <c r="AS559" s="36"/>
      <c r="AT559" s="36"/>
      <c r="AU559" s="36"/>
      <c r="AV559" s="36"/>
      <c r="AW559" s="36"/>
      <c r="AX559" s="36"/>
      <c r="AY559" s="36"/>
      <c r="AZ559" s="36"/>
      <c r="BA559" s="36"/>
      <c r="BB559" s="36"/>
    </row>
    <row r="560" spans="1:54" x14ac:dyDescent="0.25">
      <c r="A560" s="34"/>
      <c r="B560" s="34"/>
      <c r="C560" s="34"/>
      <c r="D560" s="37"/>
      <c r="E560" s="37"/>
      <c r="F560" s="37"/>
      <c r="G560" s="37"/>
      <c r="H560" s="37"/>
      <c r="I560" s="37"/>
      <c r="J560" s="37"/>
      <c r="K560" s="37"/>
      <c r="L560" s="37"/>
      <c r="M560" s="37"/>
      <c r="N560" s="37"/>
      <c r="O560" s="37"/>
      <c r="P560" s="37"/>
      <c r="Q560" s="37"/>
      <c r="R560" s="37"/>
      <c r="S560" s="37"/>
      <c r="T560" s="37"/>
      <c r="U560" s="37"/>
      <c r="V560" s="37"/>
      <c r="W560" s="37"/>
      <c r="X560" s="37"/>
      <c r="Y560" s="37"/>
      <c r="Z560" s="37"/>
      <c r="AA560" s="37"/>
      <c r="AB560" s="37"/>
      <c r="AC560" s="37"/>
      <c r="AD560" s="37"/>
      <c r="AE560" s="37"/>
      <c r="AF560" s="37"/>
      <c r="AG560" s="37"/>
      <c r="AH560" s="37"/>
      <c r="AI560" s="37"/>
      <c r="AJ560" s="37"/>
      <c r="AK560" s="37"/>
      <c r="AL560" s="37"/>
      <c r="AM560" s="37"/>
      <c r="AN560" s="37"/>
      <c r="AO560" s="37"/>
      <c r="AP560" s="37"/>
      <c r="AQ560" s="37"/>
      <c r="AR560" s="37"/>
      <c r="AS560" s="37"/>
      <c r="AT560" s="37"/>
      <c r="AU560" s="37"/>
      <c r="AV560" s="37"/>
      <c r="AW560" s="37"/>
      <c r="AX560" s="37"/>
      <c r="AY560" s="37"/>
      <c r="AZ560" s="37"/>
      <c r="BA560" s="37"/>
      <c r="BB560" s="37"/>
    </row>
    <row r="561" spans="1:54" x14ac:dyDescent="0.25">
      <c r="A561" s="32"/>
      <c r="B561" s="32"/>
      <c r="C561" s="32"/>
      <c r="D561" s="36"/>
      <c r="E561" s="36"/>
      <c r="F561" s="36"/>
      <c r="G561" s="36"/>
      <c r="H561" s="36"/>
      <c r="I561" s="36"/>
      <c r="J561" s="36"/>
      <c r="K561" s="36"/>
      <c r="L561" s="36"/>
      <c r="M561" s="36"/>
      <c r="N561" s="36"/>
      <c r="O561" s="36"/>
      <c r="P561" s="36"/>
      <c r="Q561" s="36"/>
      <c r="R561" s="36"/>
      <c r="S561" s="36"/>
      <c r="T561" s="36"/>
      <c r="U561" s="36"/>
      <c r="V561" s="36"/>
      <c r="W561" s="36"/>
      <c r="X561" s="36"/>
      <c r="Y561" s="36"/>
      <c r="Z561" s="36"/>
      <c r="AA561" s="36"/>
      <c r="AB561" s="36"/>
      <c r="AC561" s="36"/>
      <c r="AD561" s="36"/>
      <c r="AE561" s="36"/>
      <c r="AF561" s="36"/>
      <c r="AG561" s="36"/>
      <c r="AH561" s="36"/>
      <c r="AI561" s="36"/>
      <c r="AJ561" s="36"/>
      <c r="AK561" s="36"/>
      <c r="AL561" s="36"/>
      <c r="AM561" s="36"/>
      <c r="AN561" s="36"/>
      <c r="AO561" s="36"/>
      <c r="AP561" s="36"/>
      <c r="AQ561" s="36"/>
      <c r="AR561" s="36"/>
      <c r="AS561" s="36"/>
      <c r="AT561" s="36"/>
      <c r="AU561" s="36"/>
      <c r="AV561" s="36"/>
      <c r="AW561" s="36"/>
      <c r="AX561" s="36"/>
      <c r="AY561" s="36"/>
      <c r="AZ561" s="36"/>
      <c r="BA561" s="36"/>
      <c r="BB561" s="36"/>
    </row>
    <row r="562" spans="1:54" x14ac:dyDescent="0.25">
      <c r="A562" s="34"/>
      <c r="B562" s="34"/>
      <c r="C562" s="34"/>
      <c r="D562" s="37"/>
      <c r="E562" s="37"/>
      <c r="F562" s="37"/>
      <c r="G562" s="37"/>
      <c r="H562" s="37"/>
      <c r="I562" s="37"/>
      <c r="J562" s="37"/>
      <c r="K562" s="37"/>
      <c r="L562" s="37"/>
      <c r="M562" s="37"/>
      <c r="N562" s="37"/>
      <c r="O562" s="37"/>
      <c r="P562" s="37"/>
      <c r="Q562" s="37"/>
      <c r="R562" s="37"/>
      <c r="S562" s="37"/>
      <c r="T562" s="37"/>
      <c r="U562" s="37"/>
      <c r="V562" s="37"/>
      <c r="W562" s="37"/>
      <c r="X562" s="37"/>
      <c r="Y562" s="37"/>
      <c r="Z562" s="37"/>
      <c r="AA562" s="37"/>
      <c r="AB562" s="37"/>
      <c r="AC562" s="37"/>
      <c r="AD562" s="37"/>
      <c r="AE562" s="37"/>
      <c r="AF562" s="37"/>
      <c r="AG562" s="37"/>
      <c r="AH562" s="37"/>
      <c r="AI562" s="37"/>
      <c r="AJ562" s="37"/>
      <c r="AK562" s="37"/>
      <c r="AL562" s="37"/>
      <c r="AM562" s="37"/>
      <c r="AN562" s="37"/>
      <c r="AO562" s="37"/>
      <c r="AP562" s="37"/>
      <c r="AQ562" s="37"/>
      <c r="AR562" s="37"/>
      <c r="AS562" s="37"/>
      <c r="AT562" s="37"/>
      <c r="AU562" s="37"/>
      <c r="AV562" s="37"/>
      <c r="AW562" s="37"/>
      <c r="AX562" s="37"/>
      <c r="AY562" s="37"/>
      <c r="AZ562" s="37"/>
      <c r="BA562" s="37"/>
      <c r="BB562" s="37"/>
    </row>
    <row r="563" spans="1:54" x14ac:dyDescent="0.25">
      <c r="A563" s="32"/>
      <c r="B563" s="32"/>
      <c r="C563" s="32"/>
      <c r="D563" s="36"/>
      <c r="E563" s="36"/>
      <c r="F563" s="36"/>
      <c r="G563" s="36"/>
      <c r="H563" s="36"/>
      <c r="I563" s="36"/>
      <c r="J563" s="36"/>
      <c r="K563" s="36"/>
      <c r="L563" s="36"/>
      <c r="M563" s="36"/>
      <c r="N563" s="36"/>
      <c r="O563" s="36"/>
      <c r="P563" s="36"/>
      <c r="Q563" s="36"/>
      <c r="R563" s="36"/>
      <c r="S563" s="36"/>
      <c r="T563" s="36"/>
      <c r="U563" s="36"/>
      <c r="V563" s="36"/>
      <c r="W563" s="36"/>
      <c r="X563" s="36"/>
      <c r="Y563" s="36"/>
      <c r="Z563" s="36"/>
      <c r="AA563" s="36"/>
      <c r="AB563" s="36"/>
      <c r="AC563" s="36"/>
      <c r="AD563" s="36"/>
      <c r="AE563" s="36"/>
      <c r="AF563" s="36"/>
      <c r="AG563" s="36"/>
      <c r="AH563" s="36"/>
      <c r="AI563" s="36"/>
      <c r="AJ563" s="36"/>
      <c r="AK563" s="36"/>
      <c r="AL563" s="36"/>
      <c r="AM563" s="36"/>
      <c r="AN563" s="36"/>
      <c r="AO563" s="36"/>
      <c r="AP563" s="36"/>
      <c r="AQ563" s="36"/>
      <c r="AR563" s="36"/>
      <c r="AS563" s="36"/>
      <c r="AT563" s="36"/>
      <c r="AU563" s="36"/>
      <c r="AV563" s="36"/>
      <c r="AW563" s="36"/>
      <c r="AX563" s="36"/>
      <c r="AY563" s="36"/>
      <c r="AZ563" s="36"/>
      <c r="BA563" s="36"/>
      <c r="BB563" s="36"/>
    </row>
    <row r="564" spans="1:54" x14ac:dyDescent="0.25">
      <c r="A564" s="34"/>
      <c r="B564" s="34"/>
      <c r="C564" s="34"/>
      <c r="D564" s="37"/>
      <c r="E564" s="37"/>
      <c r="F564" s="37"/>
      <c r="G564" s="37"/>
      <c r="H564" s="37"/>
      <c r="I564" s="37"/>
      <c r="J564" s="37"/>
      <c r="K564" s="37"/>
      <c r="L564" s="37"/>
      <c r="M564" s="37"/>
      <c r="N564" s="37"/>
      <c r="O564" s="37"/>
      <c r="P564" s="37"/>
      <c r="Q564" s="37"/>
      <c r="R564" s="37"/>
      <c r="S564" s="37"/>
      <c r="T564" s="37"/>
      <c r="U564" s="37"/>
      <c r="V564" s="37"/>
      <c r="W564" s="37"/>
      <c r="X564" s="37"/>
      <c r="Y564" s="37"/>
      <c r="Z564" s="37"/>
      <c r="AA564" s="37"/>
      <c r="AB564" s="37"/>
      <c r="AC564" s="37"/>
      <c r="AD564" s="37"/>
      <c r="AE564" s="37"/>
      <c r="AF564" s="37"/>
      <c r="AG564" s="37"/>
      <c r="AH564" s="37"/>
      <c r="AI564" s="37"/>
      <c r="AJ564" s="37"/>
      <c r="AK564" s="37"/>
      <c r="AL564" s="37"/>
      <c r="AM564" s="37"/>
      <c r="AN564" s="37"/>
      <c r="AO564" s="37"/>
      <c r="AP564" s="37"/>
      <c r="AQ564" s="37"/>
      <c r="AR564" s="37"/>
      <c r="AS564" s="37"/>
      <c r="AT564" s="37"/>
      <c r="AU564" s="37"/>
      <c r="AV564" s="37"/>
      <c r="AW564" s="37"/>
      <c r="AX564" s="37"/>
      <c r="AY564" s="37"/>
      <c r="AZ564" s="37"/>
      <c r="BA564" s="37"/>
      <c r="BB564" s="37"/>
    </row>
    <row r="565" spans="1:54" x14ac:dyDescent="0.25">
      <c r="A565" s="32"/>
      <c r="B565" s="32"/>
      <c r="C565" s="32"/>
      <c r="D565" s="36"/>
      <c r="E565" s="36"/>
      <c r="F565" s="36"/>
      <c r="G565" s="36"/>
      <c r="H565" s="36"/>
      <c r="I565" s="36"/>
      <c r="J565" s="36"/>
      <c r="K565" s="36"/>
      <c r="L565" s="36"/>
      <c r="M565" s="36"/>
      <c r="N565" s="36"/>
      <c r="O565" s="36"/>
      <c r="P565" s="36"/>
      <c r="Q565" s="36"/>
      <c r="R565" s="36"/>
      <c r="S565" s="36"/>
      <c r="T565" s="36"/>
      <c r="U565" s="36"/>
      <c r="V565" s="36"/>
      <c r="W565" s="36"/>
      <c r="X565" s="36"/>
      <c r="Y565" s="36"/>
      <c r="Z565" s="36"/>
      <c r="AA565" s="36"/>
      <c r="AB565" s="36"/>
      <c r="AC565" s="36"/>
      <c r="AD565" s="36"/>
      <c r="AE565" s="36"/>
      <c r="AF565" s="36"/>
      <c r="AG565" s="36"/>
      <c r="AH565" s="36"/>
      <c r="AI565" s="36"/>
      <c r="AJ565" s="36"/>
      <c r="AK565" s="36"/>
      <c r="AL565" s="36"/>
      <c r="AM565" s="36"/>
      <c r="AN565" s="36"/>
      <c r="AO565" s="36"/>
      <c r="AP565" s="36"/>
      <c r="AQ565" s="36"/>
      <c r="AR565" s="36"/>
      <c r="AS565" s="36"/>
      <c r="AT565" s="36"/>
      <c r="AU565" s="36"/>
      <c r="AV565" s="36"/>
      <c r="AW565" s="36"/>
      <c r="AX565" s="36"/>
      <c r="AY565" s="36"/>
      <c r="AZ565" s="36"/>
      <c r="BA565" s="36"/>
      <c r="BB565" s="36"/>
    </row>
    <row r="566" spans="1:54" x14ac:dyDescent="0.25">
      <c r="A566" s="34"/>
      <c r="B566" s="34"/>
      <c r="C566" s="34"/>
      <c r="D566" s="37"/>
      <c r="E566" s="37"/>
      <c r="F566" s="37"/>
      <c r="G566" s="37"/>
      <c r="H566" s="37"/>
      <c r="I566" s="37"/>
      <c r="J566" s="37"/>
      <c r="K566" s="37"/>
      <c r="L566" s="37"/>
      <c r="M566" s="37"/>
      <c r="N566" s="37"/>
      <c r="O566" s="37"/>
      <c r="P566" s="37"/>
      <c r="Q566" s="37"/>
      <c r="R566" s="37"/>
      <c r="S566" s="37"/>
      <c r="T566" s="37"/>
      <c r="U566" s="37"/>
      <c r="V566" s="37"/>
      <c r="W566" s="37"/>
      <c r="X566" s="37"/>
      <c r="Y566" s="37"/>
      <c r="Z566" s="37"/>
      <c r="AA566" s="37"/>
      <c r="AB566" s="37"/>
      <c r="AC566" s="37"/>
      <c r="AD566" s="37"/>
      <c r="AE566" s="37"/>
      <c r="AF566" s="37"/>
      <c r="AG566" s="37"/>
      <c r="AH566" s="37"/>
      <c r="AI566" s="37"/>
      <c r="AJ566" s="37"/>
      <c r="AK566" s="37"/>
      <c r="AL566" s="37"/>
      <c r="AM566" s="37"/>
      <c r="AN566" s="37"/>
      <c r="AO566" s="37"/>
      <c r="AP566" s="37"/>
      <c r="AQ566" s="37"/>
      <c r="AR566" s="37"/>
      <c r="AS566" s="37"/>
      <c r="AT566" s="37"/>
      <c r="AU566" s="37"/>
      <c r="AV566" s="37"/>
      <c r="AW566" s="37"/>
      <c r="AX566" s="37"/>
      <c r="AY566" s="37"/>
      <c r="AZ566" s="37"/>
      <c r="BA566" s="37"/>
      <c r="BB566" s="37"/>
    </row>
    <row r="567" spans="1:54" x14ac:dyDescent="0.25">
      <c r="A567" s="34"/>
      <c r="B567" s="34"/>
      <c r="C567" s="34"/>
      <c r="D567" s="37"/>
      <c r="E567" s="37"/>
      <c r="F567" s="37"/>
      <c r="G567" s="37"/>
      <c r="H567" s="37"/>
      <c r="I567" s="37"/>
      <c r="J567" s="37"/>
      <c r="K567" s="37"/>
      <c r="L567" s="37"/>
      <c r="M567" s="37"/>
      <c r="N567" s="37"/>
      <c r="O567" s="37"/>
      <c r="P567" s="37"/>
      <c r="Q567" s="37"/>
      <c r="R567" s="37"/>
      <c r="S567" s="37"/>
      <c r="T567" s="37"/>
      <c r="U567" s="37"/>
      <c r="V567" s="37"/>
      <c r="W567" s="37"/>
      <c r="X567" s="37"/>
      <c r="Y567" s="37"/>
      <c r="Z567" s="37"/>
      <c r="AA567" s="37"/>
      <c r="AB567" s="37"/>
      <c r="AC567" s="37"/>
      <c r="AD567" s="37"/>
      <c r="AE567" s="37"/>
      <c r="AF567" s="37"/>
      <c r="AG567" s="37"/>
      <c r="AH567" s="37"/>
      <c r="AI567" s="37"/>
      <c r="AJ567" s="37"/>
      <c r="AK567" s="37"/>
      <c r="AL567" s="37"/>
      <c r="AM567" s="37"/>
      <c r="AN567" s="37"/>
      <c r="AO567" s="37"/>
      <c r="AP567" s="37"/>
      <c r="AQ567" s="37"/>
      <c r="AR567" s="37"/>
      <c r="AS567" s="37"/>
      <c r="AT567" s="37"/>
      <c r="AU567" s="37"/>
      <c r="AV567" s="37"/>
      <c r="AW567" s="37"/>
      <c r="AX567" s="37"/>
      <c r="AY567" s="37"/>
      <c r="AZ567" s="37"/>
      <c r="BA567" s="37"/>
      <c r="BB567" s="37"/>
    </row>
    <row r="568" spans="1:54" x14ac:dyDescent="0.25">
      <c r="A568" s="34"/>
      <c r="B568" s="32"/>
      <c r="C568" s="32"/>
      <c r="D568" s="36"/>
      <c r="E568" s="36"/>
      <c r="F568" s="36"/>
      <c r="G568" s="36"/>
      <c r="H568" s="36"/>
      <c r="I568" s="36"/>
      <c r="J568" s="36"/>
      <c r="K568" s="36"/>
      <c r="L568" s="36"/>
      <c r="M568" s="36"/>
      <c r="N568" s="36"/>
      <c r="O568" s="36"/>
      <c r="P568" s="36"/>
      <c r="Q568" s="36"/>
      <c r="R568" s="36"/>
      <c r="S568" s="36"/>
      <c r="T568" s="36"/>
      <c r="U568" s="36"/>
      <c r="V568" s="36"/>
      <c r="W568" s="36"/>
      <c r="X568" s="36"/>
      <c r="Y568" s="36"/>
      <c r="Z568" s="36"/>
      <c r="AA568" s="36"/>
      <c r="AB568" s="36"/>
      <c r="AC568" s="36"/>
      <c r="AD568" s="36"/>
      <c r="AE568" s="36"/>
      <c r="AF568" s="36"/>
      <c r="AG568" s="36"/>
      <c r="AH568" s="36"/>
      <c r="AI568" s="36"/>
      <c r="AJ568" s="36"/>
      <c r="AK568" s="36"/>
      <c r="AL568" s="36"/>
      <c r="AM568" s="36"/>
      <c r="AN568" s="36"/>
      <c r="AO568" s="36"/>
      <c r="AP568" s="36"/>
      <c r="AQ568" s="36"/>
      <c r="AR568" s="36"/>
      <c r="AS568" s="36"/>
      <c r="AT568" s="36"/>
      <c r="AU568" s="36"/>
      <c r="AV568" s="36"/>
      <c r="AW568" s="36"/>
      <c r="AX568" s="36"/>
      <c r="AY568" s="36"/>
      <c r="AZ568" s="36"/>
      <c r="BA568" s="36"/>
      <c r="BB568" s="36"/>
    </row>
    <row r="569" spans="1:54" x14ac:dyDescent="0.25">
      <c r="A569" s="34"/>
      <c r="B569" s="34"/>
      <c r="C569" s="34"/>
      <c r="D569" s="37"/>
      <c r="E569" s="37"/>
      <c r="F569" s="37"/>
      <c r="G569" s="37"/>
      <c r="H569" s="37"/>
      <c r="I569" s="37"/>
      <c r="J569" s="37"/>
      <c r="K569" s="37"/>
      <c r="L569" s="37"/>
      <c r="M569" s="37"/>
      <c r="N569" s="37"/>
      <c r="O569" s="37"/>
      <c r="P569" s="37"/>
      <c r="Q569" s="37"/>
      <c r="R569" s="37"/>
      <c r="S569" s="37"/>
      <c r="T569" s="37"/>
      <c r="U569" s="37"/>
      <c r="V569" s="37"/>
      <c r="W569" s="37"/>
      <c r="X569" s="37"/>
      <c r="Y569" s="37"/>
      <c r="Z569" s="37"/>
      <c r="AA569" s="37"/>
      <c r="AB569" s="37"/>
      <c r="AC569" s="37"/>
      <c r="AD569" s="37"/>
      <c r="AE569" s="37"/>
      <c r="AF569" s="37"/>
      <c r="AG569" s="37"/>
      <c r="AH569" s="37"/>
      <c r="AI569" s="37"/>
      <c r="AJ569" s="37"/>
      <c r="AK569" s="37"/>
      <c r="AL569" s="37"/>
      <c r="AM569" s="37"/>
      <c r="AN569" s="37"/>
      <c r="AO569" s="37"/>
      <c r="AP569" s="37"/>
      <c r="AQ569" s="37"/>
      <c r="AR569" s="37"/>
      <c r="AS569" s="37"/>
      <c r="AT569" s="37"/>
      <c r="AU569" s="37"/>
      <c r="AV569" s="37"/>
      <c r="AW569" s="37"/>
      <c r="AX569" s="37"/>
      <c r="AY569" s="37"/>
      <c r="AZ569" s="37"/>
      <c r="BA569" s="37"/>
      <c r="BB569" s="37"/>
    </row>
    <row r="570" spans="1:54" x14ac:dyDescent="0.25">
      <c r="A570" s="34"/>
      <c r="B570" s="32"/>
      <c r="C570" s="32"/>
      <c r="D570" s="36"/>
      <c r="E570" s="36"/>
      <c r="F570" s="36"/>
      <c r="G570" s="36"/>
      <c r="H570" s="36"/>
      <c r="I570" s="36"/>
      <c r="J570" s="36"/>
      <c r="K570" s="36"/>
      <c r="L570" s="36"/>
      <c r="M570" s="36"/>
      <c r="N570" s="36"/>
      <c r="O570" s="36"/>
      <c r="P570" s="36"/>
      <c r="Q570" s="36"/>
      <c r="R570" s="36"/>
      <c r="S570" s="36"/>
      <c r="T570" s="36"/>
      <c r="U570" s="36"/>
      <c r="V570" s="36"/>
      <c r="W570" s="36"/>
      <c r="X570" s="36"/>
      <c r="Y570" s="36"/>
      <c r="Z570" s="36"/>
      <c r="AA570" s="36"/>
      <c r="AB570" s="36"/>
      <c r="AC570" s="36"/>
      <c r="AD570" s="36"/>
      <c r="AE570" s="36"/>
      <c r="AF570" s="36"/>
      <c r="AG570" s="36"/>
      <c r="AH570" s="36"/>
      <c r="AI570" s="36"/>
      <c r="AJ570" s="36"/>
      <c r="AK570" s="36"/>
      <c r="AL570" s="36"/>
      <c r="AM570" s="36"/>
      <c r="AN570" s="36"/>
      <c r="AO570" s="36"/>
      <c r="AP570" s="36"/>
      <c r="AQ570" s="36"/>
      <c r="AR570" s="36"/>
      <c r="AS570" s="36"/>
      <c r="AT570" s="36"/>
      <c r="AU570" s="36"/>
      <c r="AV570" s="36"/>
      <c r="AW570" s="36"/>
      <c r="AX570" s="36"/>
      <c r="AY570" s="36"/>
      <c r="AZ570" s="36"/>
      <c r="BA570" s="36"/>
      <c r="BB570" s="36"/>
    </row>
    <row r="571" spans="1:54" x14ac:dyDescent="0.25">
      <c r="A571" s="34"/>
      <c r="B571" s="34"/>
      <c r="C571" s="34"/>
      <c r="D571" s="37"/>
      <c r="E571" s="37"/>
      <c r="F571" s="37"/>
      <c r="G571" s="37"/>
      <c r="H571" s="37"/>
      <c r="I571" s="37"/>
      <c r="J571" s="37"/>
      <c r="K571" s="37"/>
      <c r="L571" s="37"/>
      <c r="M571" s="37"/>
      <c r="N571" s="37"/>
      <c r="O571" s="37"/>
      <c r="P571" s="37"/>
      <c r="Q571" s="37"/>
      <c r="R571" s="37"/>
      <c r="S571" s="37"/>
      <c r="T571" s="37"/>
      <c r="U571" s="37"/>
      <c r="V571" s="37"/>
      <c r="W571" s="37"/>
      <c r="X571" s="37"/>
      <c r="Y571" s="37"/>
      <c r="Z571" s="37"/>
      <c r="AA571" s="37"/>
      <c r="AB571" s="37"/>
      <c r="AC571" s="37"/>
      <c r="AD571" s="37"/>
      <c r="AE571" s="37"/>
      <c r="AF571" s="37"/>
      <c r="AG571" s="37"/>
      <c r="AH571" s="37"/>
      <c r="AI571" s="37"/>
      <c r="AJ571" s="37"/>
      <c r="AK571" s="37"/>
      <c r="AL571" s="37"/>
      <c r="AM571" s="37"/>
      <c r="AN571" s="37"/>
      <c r="AO571" s="37"/>
      <c r="AP571" s="37"/>
      <c r="AQ571" s="37"/>
      <c r="AR571" s="37"/>
      <c r="AS571" s="37"/>
      <c r="AT571" s="37"/>
      <c r="AU571" s="37"/>
      <c r="AV571" s="37"/>
      <c r="AW571" s="37"/>
      <c r="AX571" s="37"/>
      <c r="AY571" s="37"/>
      <c r="AZ571" s="37"/>
      <c r="BA571" s="37"/>
      <c r="BB571" s="37"/>
    </row>
    <row r="572" spans="1:54" x14ac:dyDescent="0.25">
      <c r="A572" s="32"/>
      <c r="B572" s="32"/>
      <c r="C572" s="32"/>
      <c r="D572" s="36"/>
      <c r="E572" s="36"/>
      <c r="F572" s="36"/>
      <c r="G572" s="36"/>
      <c r="H572" s="36"/>
      <c r="I572" s="36"/>
      <c r="J572" s="36"/>
      <c r="K572" s="36"/>
      <c r="L572" s="36"/>
      <c r="M572" s="36"/>
      <c r="N572" s="36"/>
      <c r="O572" s="36"/>
      <c r="P572" s="36"/>
      <c r="Q572" s="36"/>
      <c r="R572" s="36"/>
      <c r="S572" s="36"/>
      <c r="T572" s="36"/>
      <c r="U572" s="36"/>
      <c r="V572" s="36"/>
      <c r="W572" s="36"/>
      <c r="X572" s="36"/>
      <c r="Y572" s="36"/>
      <c r="Z572" s="36"/>
      <c r="AA572" s="36"/>
      <c r="AB572" s="36"/>
      <c r="AC572" s="36"/>
      <c r="AD572" s="36"/>
      <c r="AE572" s="36"/>
      <c r="AF572" s="36"/>
      <c r="AG572" s="36"/>
      <c r="AH572" s="36"/>
      <c r="AI572" s="36"/>
      <c r="AJ572" s="36"/>
      <c r="AK572" s="36"/>
      <c r="AL572" s="36"/>
      <c r="AM572" s="36"/>
      <c r="AN572" s="36"/>
      <c r="AO572" s="36"/>
      <c r="AP572" s="36"/>
      <c r="AQ572" s="36"/>
      <c r="AR572" s="36"/>
      <c r="AS572" s="36"/>
      <c r="AT572" s="36"/>
      <c r="AU572" s="36"/>
      <c r="AV572" s="36"/>
      <c r="AW572" s="36"/>
      <c r="AX572" s="36"/>
      <c r="AY572" s="36"/>
      <c r="AZ572" s="36"/>
      <c r="BA572" s="36"/>
      <c r="BB572" s="36"/>
    </row>
    <row r="573" spans="1:54" x14ac:dyDescent="0.25">
      <c r="A573" s="34"/>
      <c r="B573" s="34"/>
      <c r="C573" s="34"/>
      <c r="D573" s="37"/>
      <c r="E573" s="37"/>
      <c r="F573" s="37"/>
      <c r="G573" s="37"/>
      <c r="H573" s="37"/>
      <c r="I573" s="37"/>
      <c r="J573" s="37"/>
      <c r="K573" s="37"/>
      <c r="L573" s="37"/>
      <c r="M573" s="37"/>
      <c r="N573" s="37"/>
      <c r="O573" s="37"/>
      <c r="P573" s="37"/>
      <c r="Q573" s="37"/>
      <c r="R573" s="37"/>
      <c r="S573" s="37"/>
      <c r="T573" s="37"/>
      <c r="U573" s="37"/>
      <c r="V573" s="37"/>
      <c r="W573" s="37"/>
      <c r="X573" s="37"/>
      <c r="Y573" s="37"/>
      <c r="Z573" s="37"/>
      <c r="AA573" s="37"/>
      <c r="AB573" s="37"/>
      <c r="AC573" s="37"/>
      <c r="AD573" s="37"/>
      <c r="AE573" s="37"/>
      <c r="AF573" s="37"/>
      <c r="AG573" s="37"/>
      <c r="AH573" s="37"/>
      <c r="AI573" s="37"/>
      <c r="AJ573" s="37"/>
      <c r="AK573" s="37"/>
      <c r="AL573" s="37"/>
      <c r="AM573" s="37"/>
      <c r="AN573" s="37"/>
      <c r="AO573" s="37"/>
      <c r="AP573" s="37"/>
      <c r="AQ573" s="37"/>
      <c r="AR573" s="37"/>
      <c r="AS573" s="37"/>
      <c r="AT573" s="37"/>
      <c r="AU573" s="37"/>
      <c r="AV573" s="37"/>
      <c r="AW573" s="37"/>
      <c r="AX573" s="37"/>
      <c r="AY573" s="37"/>
      <c r="AZ573" s="37"/>
      <c r="BA573" s="37"/>
      <c r="BB573" s="37"/>
    </row>
    <row r="574" spans="1:54" x14ac:dyDescent="0.25">
      <c r="A574" s="32"/>
      <c r="B574" s="32"/>
      <c r="C574" s="32"/>
      <c r="D574" s="36"/>
      <c r="E574" s="36"/>
      <c r="F574" s="36"/>
      <c r="G574" s="36"/>
      <c r="H574" s="36"/>
      <c r="I574" s="36"/>
      <c r="J574" s="36"/>
      <c r="K574" s="36"/>
      <c r="L574" s="36"/>
      <c r="M574" s="36"/>
      <c r="N574" s="36"/>
      <c r="O574" s="36"/>
      <c r="P574" s="36"/>
      <c r="Q574" s="36"/>
      <c r="R574" s="36"/>
      <c r="S574" s="36"/>
      <c r="T574" s="36"/>
      <c r="U574" s="36"/>
      <c r="V574" s="36"/>
      <c r="W574" s="36"/>
      <c r="X574" s="36"/>
      <c r="Y574" s="36"/>
      <c r="Z574" s="36"/>
      <c r="AA574" s="36"/>
      <c r="AB574" s="36"/>
      <c r="AC574" s="36"/>
      <c r="AD574" s="36"/>
      <c r="AE574" s="36"/>
      <c r="AF574" s="36"/>
      <c r="AG574" s="36"/>
      <c r="AH574" s="36"/>
      <c r="AI574" s="36"/>
      <c r="AJ574" s="36"/>
      <c r="AK574" s="36"/>
      <c r="AL574" s="36"/>
      <c r="AM574" s="36"/>
      <c r="AN574" s="36"/>
      <c r="AO574" s="36"/>
      <c r="AP574" s="36"/>
      <c r="AQ574" s="36"/>
      <c r="AR574" s="36"/>
      <c r="AS574" s="36"/>
      <c r="AT574" s="36"/>
      <c r="AU574" s="36"/>
      <c r="AV574" s="36"/>
      <c r="AW574" s="36"/>
      <c r="AX574" s="36"/>
      <c r="AY574" s="36"/>
      <c r="AZ574" s="36"/>
      <c r="BA574" s="36"/>
      <c r="BB574" s="36"/>
    </row>
    <row r="575" spans="1:54" x14ac:dyDescent="0.25">
      <c r="A575" s="29"/>
    </row>
  </sheetData>
  <pageMargins left="0.75" right="0.75" top="1" bottom="1" header="0.5" footer="0.5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9"/>
  <sheetViews>
    <sheetView zoomScaleNormal="100" workbookViewId="0">
      <pane xSplit="9" ySplit="19" topLeftCell="AZ20" activePane="bottomRight" state="frozen"/>
      <selection pane="topRight" activeCell="J1" sqref="J1"/>
      <selection pane="bottomLeft" activeCell="A20" sqref="A20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s="5" customFormat="1" x14ac:dyDescent="0.25">
      <c r="A2" s="14" t="s">
        <v>16</v>
      </c>
      <c r="B2" s="6" t="s">
        <v>5</v>
      </c>
      <c r="C2" s="6" t="s">
        <v>6</v>
      </c>
      <c r="D2" s="7">
        <v>159</v>
      </c>
      <c r="E2" s="7">
        <v>186</v>
      </c>
      <c r="F2" s="7">
        <v>189</v>
      </c>
      <c r="G2" s="7">
        <v>171</v>
      </c>
      <c r="H2" s="7">
        <v>175</v>
      </c>
      <c r="I2" s="7">
        <v>125</v>
      </c>
      <c r="J2" s="7">
        <v>190</v>
      </c>
      <c r="K2" s="7">
        <v>181</v>
      </c>
      <c r="L2" s="7">
        <v>149</v>
      </c>
      <c r="M2" s="7">
        <v>192</v>
      </c>
      <c r="N2" s="7">
        <v>212</v>
      </c>
      <c r="O2" s="7">
        <v>214</v>
      </c>
      <c r="P2" s="7">
        <v>139</v>
      </c>
      <c r="Q2" s="7">
        <v>106</v>
      </c>
      <c r="R2" s="7">
        <v>133</v>
      </c>
      <c r="S2" s="7">
        <v>131</v>
      </c>
      <c r="T2" s="7">
        <v>144</v>
      </c>
      <c r="U2" s="7">
        <v>130</v>
      </c>
      <c r="V2" s="7">
        <v>169</v>
      </c>
      <c r="W2" s="7">
        <v>151</v>
      </c>
      <c r="X2" s="7">
        <v>173</v>
      </c>
      <c r="Y2" s="7">
        <v>212</v>
      </c>
      <c r="Z2" s="7">
        <v>139</v>
      </c>
      <c r="AA2" s="7">
        <v>238</v>
      </c>
      <c r="AB2" s="7">
        <v>291</v>
      </c>
      <c r="AC2" s="7">
        <v>228</v>
      </c>
      <c r="AD2" s="7">
        <v>158</v>
      </c>
      <c r="AE2" s="7">
        <v>221</v>
      </c>
      <c r="AF2" s="7">
        <v>226</v>
      </c>
      <c r="AG2" s="7">
        <v>227</v>
      </c>
      <c r="AH2" s="7">
        <v>205</v>
      </c>
      <c r="AI2" s="7">
        <v>280</v>
      </c>
      <c r="AJ2" s="7">
        <v>208</v>
      </c>
      <c r="AK2" s="7">
        <v>202</v>
      </c>
      <c r="AL2" s="7">
        <v>242</v>
      </c>
      <c r="AM2" s="7">
        <v>325</v>
      </c>
      <c r="AN2" s="7">
        <v>398</v>
      </c>
      <c r="AO2" s="7">
        <v>271</v>
      </c>
      <c r="AP2" s="7">
        <v>338</v>
      </c>
      <c r="AQ2" s="7">
        <v>406</v>
      </c>
      <c r="AR2" s="7">
        <v>345</v>
      </c>
      <c r="AS2" s="7">
        <v>457</v>
      </c>
      <c r="AT2" s="7">
        <v>316</v>
      </c>
      <c r="AU2" s="7">
        <v>392</v>
      </c>
      <c r="AV2" s="7">
        <v>312</v>
      </c>
      <c r="AW2" s="7">
        <v>380</v>
      </c>
      <c r="AX2" s="7">
        <v>240</v>
      </c>
      <c r="AY2" s="7">
        <v>387</v>
      </c>
      <c r="AZ2" s="7">
        <v>368</v>
      </c>
      <c r="BA2" s="7">
        <v>350</v>
      </c>
      <c r="BB2" s="47">
        <f>356943/1000</f>
        <v>356.94299999999998</v>
      </c>
      <c r="BC2" s="43">
        <f>450535/1000</f>
        <v>450.53500000000003</v>
      </c>
      <c r="BD2" s="43">
        <f>506725/1000</f>
        <v>506.72500000000002</v>
      </c>
    </row>
    <row r="3" spans="1:56" x14ac:dyDescent="0.25">
      <c r="A3" s="12"/>
      <c r="B3" s="2"/>
      <c r="C3" s="2" t="s">
        <v>7</v>
      </c>
      <c r="D3" s="4">
        <v>0</v>
      </c>
      <c r="E3" s="4">
        <v>0</v>
      </c>
      <c r="F3" s="4">
        <v>0</v>
      </c>
      <c r="G3" s="4">
        <v>0</v>
      </c>
      <c r="H3" s="4">
        <v>2</v>
      </c>
      <c r="I3" s="4">
        <v>1</v>
      </c>
      <c r="J3" s="4">
        <v>6</v>
      </c>
      <c r="K3" s="4">
        <v>1</v>
      </c>
      <c r="L3" s="4">
        <v>1</v>
      </c>
      <c r="M3" s="4">
        <v>0</v>
      </c>
      <c r="N3" s="4">
        <v>1</v>
      </c>
      <c r="O3" s="4">
        <v>1</v>
      </c>
      <c r="P3" s="4">
        <v>1</v>
      </c>
      <c r="Q3" s="4">
        <v>1</v>
      </c>
      <c r="R3" s="4">
        <v>1</v>
      </c>
      <c r="S3" s="4">
        <v>2</v>
      </c>
      <c r="T3" s="4">
        <v>2</v>
      </c>
      <c r="U3" s="4">
        <v>2</v>
      </c>
      <c r="V3" s="4">
        <v>4</v>
      </c>
      <c r="W3" s="4">
        <v>3</v>
      </c>
      <c r="X3" s="4">
        <v>7</v>
      </c>
      <c r="Y3" s="4">
        <v>14</v>
      </c>
      <c r="Z3" s="4">
        <v>12</v>
      </c>
      <c r="AA3" s="4">
        <v>12</v>
      </c>
      <c r="AB3" s="4">
        <v>7</v>
      </c>
      <c r="AC3" s="4">
        <v>10</v>
      </c>
      <c r="AD3" s="4">
        <v>12</v>
      </c>
      <c r="AE3" s="4">
        <v>9</v>
      </c>
      <c r="AF3" s="4">
        <v>5</v>
      </c>
      <c r="AG3" s="4">
        <v>0</v>
      </c>
      <c r="AH3" s="4">
        <v>3</v>
      </c>
      <c r="AI3" s="4">
        <v>0</v>
      </c>
      <c r="AJ3" s="4">
        <v>0</v>
      </c>
      <c r="AK3" s="4">
        <v>22</v>
      </c>
      <c r="AL3" s="4">
        <v>75</v>
      </c>
      <c r="AM3" s="4">
        <v>0</v>
      </c>
      <c r="AN3" s="4">
        <v>0</v>
      </c>
      <c r="AO3" s="4">
        <v>1</v>
      </c>
      <c r="AP3" s="4">
        <v>0</v>
      </c>
      <c r="AQ3" s="4">
        <v>1</v>
      </c>
      <c r="AR3" s="4">
        <v>0</v>
      </c>
      <c r="AS3" s="4">
        <v>48</v>
      </c>
      <c r="AT3" s="4">
        <v>0</v>
      </c>
      <c r="AU3" s="4">
        <v>0</v>
      </c>
      <c r="AV3" s="4">
        <v>22</v>
      </c>
      <c r="AW3" s="4">
        <v>0</v>
      </c>
      <c r="AX3" s="4">
        <v>24</v>
      </c>
      <c r="AY3" s="4">
        <v>26</v>
      </c>
      <c r="AZ3" s="4">
        <v>0</v>
      </c>
      <c r="BA3" s="4">
        <v>0</v>
      </c>
      <c r="BB3" s="44">
        <f>911/1000</f>
        <v>0.91100000000000003</v>
      </c>
      <c r="BC3" s="42"/>
      <c r="BD3" s="42"/>
    </row>
    <row r="4" spans="1:56" s="5" customFormat="1" x14ac:dyDescent="0.25">
      <c r="A4" s="14"/>
      <c r="B4" s="6"/>
      <c r="C4" s="6" t="s">
        <v>8</v>
      </c>
      <c r="D4" s="7">
        <v>0</v>
      </c>
      <c r="E4" s="7">
        <v>10</v>
      </c>
      <c r="F4" s="7">
        <v>0</v>
      </c>
      <c r="G4" s="7">
        <v>1</v>
      </c>
      <c r="H4" s="7">
        <v>0</v>
      </c>
      <c r="I4" s="7">
        <v>2</v>
      </c>
      <c r="J4" s="7">
        <v>3</v>
      </c>
      <c r="K4" s="7">
        <v>0</v>
      </c>
      <c r="L4" s="7">
        <v>1</v>
      </c>
      <c r="M4" s="7">
        <v>22</v>
      </c>
      <c r="N4" s="7">
        <v>41</v>
      </c>
      <c r="O4" s="7">
        <v>9</v>
      </c>
      <c r="P4" s="7">
        <v>3</v>
      </c>
      <c r="Q4" s="7">
        <v>1</v>
      </c>
      <c r="R4" s="7">
        <v>11</v>
      </c>
      <c r="S4" s="7">
        <v>34</v>
      </c>
      <c r="T4" s="7">
        <v>11</v>
      </c>
      <c r="U4" s="7">
        <v>17</v>
      </c>
      <c r="V4" s="7">
        <v>8</v>
      </c>
      <c r="W4" s="7">
        <v>27</v>
      </c>
      <c r="X4" s="7">
        <v>11</v>
      </c>
      <c r="Y4" s="7">
        <v>20</v>
      </c>
      <c r="Z4" s="7">
        <v>1</v>
      </c>
      <c r="AA4" s="7">
        <v>90</v>
      </c>
      <c r="AB4" s="7">
        <v>100</v>
      </c>
      <c r="AC4" s="7">
        <v>70</v>
      </c>
      <c r="AD4" s="7">
        <v>55</v>
      </c>
      <c r="AE4" s="7">
        <v>40</v>
      </c>
      <c r="AF4" s="7">
        <v>20</v>
      </c>
      <c r="AG4" s="7">
        <v>36</v>
      </c>
      <c r="AH4" s="7">
        <v>20</v>
      </c>
      <c r="AI4" s="7">
        <v>15</v>
      </c>
      <c r="AJ4" s="7">
        <v>21</v>
      </c>
      <c r="AK4" s="7">
        <v>22</v>
      </c>
      <c r="AL4" s="7">
        <v>4</v>
      </c>
      <c r="AM4" s="7">
        <v>9</v>
      </c>
      <c r="AN4" s="7">
        <v>13</v>
      </c>
      <c r="AO4" s="7">
        <v>19</v>
      </c>
      <c r="AP4" s="7">
        <v>37</v>
      </c>
      <c r="AQ4" s="7">
        <v>51</v>
      </c>
      <c r="AR4" s="7">
        <v>44</v>
      </c>
      <c r="AS4" s="7">
        <v>118</v>
      </c>
      <c r="AT4" s="7">
        <v>18</v>
      </c>
      <c r="AU4" s="7">
        <v>9</v>
      </c>
      <c r="AV4" s="7">
        <v>4</v>
      </c>
      <c r="AW4" s="7">
        <v>3</v>
      </c>
      <c r="AX4" s="7">
        <v>1</v>
      </c>
      <c r="AY4" s="7">
        <v>67</v>
      </c>
      <c r="AZ4" s="7">
        <v>13</v>
      </c>
      <c r="BA4" s="7">
        <v>10</v>
      </c>
      <c r="BB4" s="47">
        <f>42026/1000</f>
        <v>42.026000000000003</v>
      </c>
      <c r="BC4" s="43"/>
      <c r="BD4" s="43"/>
    </row>
    <row r="5" spans="1:56" x14ac:dyDescent="0.25">
      <c r="A5" s="12"/>
      <c r="B5" s="2"/>
      <c r="C5" s="2" t="s">
        <v>9</v>
      </c>
      <c r="D5" s="4">
        <v>159</v>
      </c>
      <c r="E5" s="4">
        <v>171</v>
      </c>
      <c r="F5" s="4">
        <v>189</v>
      </c>
      <c r="G5" s="4">
        <v>175</v>
      </c>
      <c r="H5" s="4">
        <v>177</v>
      </c>
      <c r="I5" s="4">
        <v>139</v>
      </c>
      <c r="J5" s="4">
        <v>173</v>
      </c>
      <c r="K5" s="4">
        <v>182</v>
      </c>
      <c r="L5" s="4">
        <v>154</v>
      </c>
      <c r="M5" s="4">
        <v>160</v>
      </c>
      <c r="N5" s="4">
        <v>167</v>
      </c>
      <c r="O5" s="4">
        <v>221</v>
      </c>
      <c r="P5" s="4">
        <v>154</v>
      </c>
      <c r="Q5" s="4">
        <v>116</v>
      </c>
      <c r="R5" s="4">
        <v>107</v>
      </c>
      <c r="S5" s="4">
        <v>115</v>
      </c>
      <c r="T5" s="4">
        <v>118</v>
      </c>
      <c r="U5" s="4">
        <v>112</v>
      </c>
      <c r="V5" s="4">
        <v>119</v>
      </c>
      <c r="W5" s="4">
        <v>130</v>
      </c>
      <c r="X5" s="4">
        <v>161</v>
      </c>
      <c r="Y5" s="4">
        <v>265</v>
      </c>
      <c r="Z5" s="4">
        <v>170</v>
      </c>
      <c r="AA5" s="4">
        <v>150</v>
      </c>
      <c r="AB5" s="4">
        <v>203</v>
      </c>
      <c r="AC5" s="4">
        <v>168</v>
      </c>
      <c r="AD5" s="4">
        <v>119</v>
      </c>
      <c r="AE5" s="4">
        <v>189</v>
      </c>
      <c r="AF5" s="4">
        <v>199</v>
      </c>
      <c r="AG5" s="4">
        <v>191</v>
      </c>
      <c r="AH5" s="4">
        <v>188</v>
      </c>
      <c r="AI5" s="4">
        <v>264</v>
      </c>
      <c r="AJ5" s="4">
        <v>187</v>
      </c>
      <c r="AK5" s="4">
        <v>193</v>
      </c>
      <c r="AL5" s="4">
        <v>329</v>
      </c>
      <c r="AM5" s="4">
        <v>312</v>
      </c>
      <c r="AN5" s="4">
        <v>385</v>
      </c>
      <c r="AO5" s="4">
        <v>263</v>
      </c>
      <c r="AP5" s="4">
        <v>301</v>
      </c>
      <c r="AQ5" s="4">
        <v>355</v>
      </c>
      <c r="AR5" s="4">
        <v>300</v>
      </c>
      <c r="AS5" s="4">
        <v>390</v>
      </c>
      <c r="AT5" s="4">
        <v>290</v>
      </c>
      <c r="AU5" s="4">
        <v>380</v>
      </c>
      <c r="AV5" s="4">
        <v>335</v>
      </c>
      <c r="AW5" s="4">
        <v>370</v>
      </c>
      <c r="AX5" s="4">
        <v>265</v>
      </c>
      <c r="AY5" s="4">
        <v>320</v>
      </c>
      <c r="AZ5" s="4">
        <v>350</v>
      </c>
      <c r="BA5" s="4">
        <v>350</v>
      </c>
      <c r="BB5" s="44">
        <f>BB2+BB3-BB4</f>
        <v>315.82799999999997</v>
      </c>
      <c r="BC5" s="42"/>
      <c r="BD5" s="42"/>
    </row>
    <row r="6" spans="1:56" s="5" customFormat="1" x14ac:dyDescent="0.25">
      <c r="A6" s="14"/>
      <c r="B6" s="6" t="s">
        <v>10</v>
      </c>
      <c r="C6" s="6" t="s">
        <v>6</v>
      </c>
      <c r="D6" s="7">
        <v>8</v>
      </c>
      <c r="E6" s="7">
        <v>8</v>
      </c>
      <c r="F6" s="7">
        <v>10</v>
      </c>
      <c r="G6" s="7">
        <v>16</v>
      </c>
      <c r="H6" s="7">
        <v>45</v>
      </c>
      <c r="I6" s="7">
        <v>91</v>
      </c>
      <c r="J6" s="7">
        <v>85</v>
      </c>
      <c r="K6" s="7">
        <v>150</v>
      </c>
      <c r="L6" s="7">
        <v>153</v>
      </c>
      <c r="M6" s="7">
        <v>127</v>
      </c>
      <c r="N6" s="7">
        <v>90</v>
      </c>
      <c r="O6" s="7">
        <v>200</v>
      </c>
      <c r="P6" s="7">
        <v>146</v>
      </c>
      <c r="Q6" s="7">
        <v>140</v>
      </c>
      <c r="R6" s="7">
        <v>153</v>
      </c>
      <c r="S6" s="7">
        <v>115</v>
      </c>
      <c r="T6" s="7">
        <v>128</v>
      </c>
      <c r="U6" s="7">
        <v>204</v>
      </c>
      <c r="V6" s="7">
        <v>244</v>
      </c>
      <c r="W6" s="7">
        <v>382</v>
      </c>
      <c r="X6" s="7">
        <v>455</v>
      </c>
      <c r="Y6" s="7">
        <v>615</v>
      </c>
      <c r="Z6" s="7">
        <v>464</v>
      </c>
      <c r="AA6" s="7">
        <v>648</v>
      </c>
      <c r="AB6" s="8">
        <v>1144</v>
      </c>
      <c r="AC6" s="8">
        <v>1185</v>
      </c>
      <c r="AD6" s="7">
        <v>983</v>
      </c>
      <c r="AE6" s="8">
        <v>1275</v>
      </c>
      <c r="AF6" s="8">
        <v>1226</v>
      </c>
      <c r="AG6" s="8">
        <v>1401</v>
      </c>
      <c r="AH6" s="8">
        <v>1989</v>
      </c>
      <c r="AI6" s="8">
        <v>2306</v>
      </c>
      <c r="AJ6" s="8">
        <v>1713</v>
      </c>
      <c r="AK6" s="8">
        <v>1511</v>
      </c>
      <c r="AL6" s="8">
        <v>1539</v>
      </c>
      <c r="AM6" s="8">
        <v>1970</v>
      </c>
      <c r="AN6" s="8">
        <v>2792</v>
      </c>
      <c r="AO6" s="8">
        <v>3166</v>
      </c>
      <c r="AP6" s="8">
        <v>3327</v>
      </c>
      <c r="AQ6" s="8">
        <v>3458</v>
      </c>
      <c r="AR6" s="8">
        <v>3700</v>
      </c>
      <c r="AS6" s="8">
        <v>3340</v>
      </c>
      <c r="AT6" s="8">
        <v>1680</v>
      </c>
      <c r="AU6" s="8">
        <v>1700</v>
      </c>
      <c r="AV6" s="8">
        <v>3000</v>
      </c>
      <c r="AW6" s="8">
        <v>2800</v>
      </c>
      <c r="AX6" s="8">
        <v>1350</v>
      </c>
      <c r="AY6" s="7">
        <v>640</v>
      </c>
      <c r="AZ6" s="8">
        <v>1500</v>
      </c>
      <c r="BA6" s="8">
        <v>1775</v>
      </c>
      <c r="BB6" s="47">
        <v>4500</v>
      </c>
      <c r="BC6" s="43">
        <f>843572/1000</f>
        <v>843.572</v>
      </c>
      <c r="BD6" s="43">
        <f>973497/1000</f>
        <v>973.49699999999996</v>
      </c>
    </row>
    <row r="7" spans="1:56" x14ac:dyDescent="0.25">
      <c r="A7" s="12"/>
      <c r="B7" s="2"/>
      <c r="C7" s="2" t="s">
        <v>7</v>
      </c>
      <c r="D7" s="4">
        <v>80</v>
      </c>
      <c r="E7" s="4">
        <v>83</v>
      </c>
      <c r="F7" s="4">
        <v>93</v>
      </c>
      <c r="G7" s="4">
        <v>116</v>
      </c>
      <c r="H7" s="4">
        <v>112</v>
      </c>
      <c r="I7" s="4">
        <v>65</v>
      </c>
      <c r="J7" s="4">
        <v>40</v>
      </c>
      <c r="K7" s="4">
        <v>57</v>
      </c>
      <c r="L7" s="4">
        <v>24</v>
      </c>
      <c r="M7" s="4">
        <v>20</v>
      </c>
      <c r="N7" s="4">
        <v>38</v>
      </c>
      <c r="O7" s="4">
        <v>34</v>
      </c>
      <c r="P7" s="4">
        <v>17</v>
      </c>
      <c r="Q7" s="4">
        <v>46</v>
      </c>
      <c r="R7" s="4">
        <v>12</v>
      </c>
      <c r="S7" s="4">
        <v>18</v>
      </c>
      <c r="T7" s="4">
        <v>23</v>
      </c>
      <c r="U7" s="4">
        <v>17</v>
      </c>
      <c r="V7" s="4">
        <v>6</v>
      </c>
      <c r="W7" s="4">
        <v>4</v>
      </c>
      <c r="X7" s="4">
        <v>8</v>
      </c>
      <c r="Y7" s="4">
        <v>4</v>
      </c>
      <c r="Z7" s="4">
        <v>0</v>
      </c>
      <c r="AA7" s="4">
        <v>5</v>
      </c>
      <c r="AB7" s="4">
        <v>12</v>
      </c>
      <c r="AC7" s="4">
        <v>2</v>
      </c>
      <c r="AD7" s="4">
        <v>1</v>
      </c>
      <c r="AE7" s="4">
        <v>4</v>
      </c>
      <c r="AF7" s="4">
        <v>1</v>
      </c>
      <c r="AG7" s="4">
        <v>1</v>
      </c>
      <c r="AH7" s="4">
        <v>1</v>
      </c>
      <c r="AI7" s="4">
        <v>2</v>
      </c>
      <c r="AJ7" s="4">
        <v>0</v>
      </c>
      <c r="AK7" s="4">
        <v>0</v>
      </c>
      <c r="AL7" s="4">
        <v>0</v>
      </c>
      <c r="AM7" s="4">
        <v>3</v>
      </c>
      <c r="AN7" s="4">
        <v>1</v>
      </c>
      <c r="AO7" s="4">
        <v>1</v>
      </c>
      <c r="AP7" s="4">
        <v>0</v>
      </c>
      <c r="AQ7" s="4">
        <v>0</v>
      </c>
      <c r="AR7" s="4">
        <v>0</v>
      </c>
      <c r="AS7" s="4">
        <v>2</v>
      </c>
      <c r="AT7" s="4">
        <v>0</v>
      </c>
      <c r="AU7" s="4">
        <v>0</v>
      </c>
      <c r="AV7" s="4">
        <v>1</v>
      </c>
      <c r="AW7" s="4">
        <v>0</v>
      </c>
      <c r="AX7" s="4">
        <v>0</v>
      </c>
      <c r="AY7" s="4">
        <v>0</v>
      </c>
      <c r="AZ7" s="4">
        <v>0</v>
      </c>
      <c r="BA7" s="4">
        <v>0</v>
      </c>
      <c r="BB7" s="44">
        <v>0</v>
      </c>
      <c r="BC7" s="42">
        <f>240/1000</f>
        <v>0.24</v>
      </c>
      <c r="BD7" s="42"/>
    </row>
    <row r="8" spans="1:56" s="5" customFormat="1" x14ac:dyDescent="0.25">
      <c r="A8" s="14"/>
      <c r="B8" s="6"/>
      <c r="C8" s="6" t="s">
        <v>8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1</v>
      </c>
      <c r="L8" s="7">
        <v>19</v>
      </c>
      <c r="M8" s="7">
        <v>66</v>
      </c>
      <c r="N8" s="7">
        <v>19</v>
      </c>
      <c r="O8" s="7">
        <v>15</v>
      </c>
      <c r="P8" s="7">
        <v>100</v>
      </c>
      <c r="Q8" s="7">
        <v>14</v>
      </c>
      <c r="R8" s="7">
        <v>44</v>
      </c>
      <c r="S8" s="7">
        <v>69</v>
      </c>
      <c r="T8" s="7">
        <v>24</v>
      </c>
      <c r="U8" s="7">
        <v>48</v>
      </c>
      <c r="V8" s="7">
        <v>109</v>
      </c>
      <c r="W8" s="7">
        <v>279</v>
      </c>
      <c r="X8" s="7">
        <v>243</v>
      </c>
      <c r="Y8" s="7">
        <v>371</v>
      </c>
      <c r="Z8" s="7">
        <v>617</v>
      </c>
      <c r="AA8" s="7">
        <v>374</v>
      </c>
      <c r="AB8" s="7">
        <v>690</v>
      </c>
      <c r="AC8" s="8">
        <v>1138</v>
      </c>
      <c r="AD8" s="8">
        <v>1180</v>
      </c>
      <c r="AE8" s="7">
        <v>818</v>
      </c>
      <c r="AF8" s="8">
        <v>1319</v>
      </c>
      <c r="AG8" s="8">
        <v>1319</v>
      </c>
      <c r="AH8" s="8">
        <v>1372</v>
      </c>
      <c r="AI8" s="8">
        <v>2111</v>
      </c>
      <c r="AJ8" s="8">
        <v>1730</v>
      </c>
      <c r="AK8" s="8">
        <v>1689</v>
      </c>
      <c r="AL8" s="8">
        <v>1359</v>
      </c>
      <c r="AM8" s="8">
        <v>1463</v>
      </c>
      <c r="AN8" s="8">
        <v>2383</v>
      </c>
      <c r="AO8" s="8">
        <v>2712</v>
      </c>
      <c r="AP8" s="8">
        <v>3040</v>
      </c>
      <c r="AQ8" s="8">
        <v>3211</v>
      </c>
      <c r="AR8" s="8">
        <v>3903</v>
      </c>
      <c r="AS8" s="8">
        <v>3130</v>
      </c>
      <c r="AT8" s="8">
        <v>2655</v>
      </c>
      <c r="AU8" s="8">
        <v>2157</v>
      </c>
      <c r="AV8" s="8">
        <v>1998</v>
      </c>
      <c r="AW8" s="8">
        <v>2884</v>
      </c>
      <c r="AX8" s="8">
        <v>2129</v>
      </c>
      <c r="AY8" s="8">
        <v>1219</v>
      </c>
      <c r="AZ8" s="8">
        <v>1201</v>
      </c>
      <c r="BA8" s="8">
        <v>2115</v>
      </c>
      <c r="BB8" s="47">
        <v>3000</v>
      </c>
      <c r="BC8" s="43">
        <f>796624/1000</f>
        <v>796.62400000000002</v>
      </c>
      <c r="BD8" s="43"/>
    </row>
    <row r="9" spans="1:56" x14ac:dyDescent="0.25">
      <c r="A9" s="12"/>
      <c r="B9" s="2"/>
      <c r="C9" s="2" t="s">
        <v>9</v>
      </c>
      <c r="D9" s="4">
        <v>88</v>
      </c>
      <c r="E9" s="4">
        <v>94</v>
      </c>
      <c r="F9" s="4">
        <v>97</v>
      </c>
      <c r="G9" s="4">
        <v>122</v>
      </c>
      <c r="H9" s="4">
        <v>127</v>
      </c>
      <c r="I9" s="4">
        <v>130</v>
      </c>
      <c r="J9" s="4">
        <v>132</v>
      </c>
      <c r="K9" s="4">
        <v>129</v>
      </c>
      <c r="L9" s="4">
        <v>133</v>
      </c>
      <c r="M9" s="4">
        <v>142</v>
      </c>
      <c r="N9" s="4">
        <v>143</v>
      </c>
      <c r="O9" s="4">
        <v>136</v>
      </c>
      <c r="P9" s="4">
        <v>135</v>
      </c>
      <c r="Q9" s="4">
        <v>151</v>
      </c>
      <c r="R9" s="4">
        <v>120</v>
      </c>
      <c r="S9" s="4">
        <v>130</v>
      </c>
      <c r="T9" s="4">
        <v>115</v>
      </c>
      <c r="U9" s="4">
        <v>104</v>
      </c>
      <c r="V9" s="4">
        <v>108</v>
      </c>
      <c r="W9" s="4">
        <v>106</v>
      </c>
      <c r="X9" s="4">
        <v>102</v>
      </c>
      <c r="Y9" s="4">
        <v>98</v>
      </c>
      <c r="Z9" s="4">
        <v>101</v>
      </c>
      <c r="AA9" s="4">
        <v>95</v>
      </c>
      <c r="AB9" s="4">
        <v>95</v>
      </c>
      <c r="AC9" s="4">
        <v>96</v>
      </c>
      <c r="AD9" s="4">
        <v>103</v>
      </c>
      <c r="AE9" s="4">
        <v>107</v>
      </c>
      <c r="AF9" s="4">
        <v>115</v>
      </c>
      <c r="AG9" s="4">
        <v>114</v>
      </c>
      <c r="AH9" s="4">
        <v>130</v>
      </c>
      <c r="AI9" s="4">
        <v>132</v>
      </c>
      <c r="AJ9" s="4">
        <v>130</v>
      </c>
      <c r="AK9" s="4">
        <v>92</v>
      </c>
      <c r="AL9" s="4">
        <v>133</v>
      </c>
      <c r="AM9" s="4">
        <v>118</v>
      </c>
      <c r="AN9" s="4">
        <v>59</v>
      </c>
      <c r="AO9" s="4">
        <v>95</v>
      </c>
      <c r="AP9" s="4">
        <v>10</v>
      </c>
      <c r="AQ9" s="4">
        <v>25</v>
      </c>
      <c r="AR9" s="4">
        <v>10</v>
      </c>
      <c r="AS9" s="4">
        <v>25</v>
      </c>
      <c r="AT9" s="4">
        <v>0</v>
      </c>
      <c r="AU9" s="4">
        <v>-50</v>
      </c>
      <c r="AV9" s="4">
        <v>-60</v>
      </c>
      <c r="AW9" s="4">
        <v>-65</v>
      </c>
      <c r="AX9" s="4">
        <v>-45</v>
      </c>
      <c r="AY9" s="4">
        <v>0</v>
      </c>
      <c r="AZ9" s="4">
        <v>-55</v>
      </c>
      <c r="BA9" s="4">
        <v>-110</v>
      </c>
      <c r="BB9" s="44">
        <v>-110</v>
      </c>
      <c r="BC9" s="42">
        <f>BC6+BC7-BC8</f>
        <v>47.187999999999988</v>
      </c>
      <c r="BD9" s="42"/>
    </row>
    <row r="10" spans="1:56" s="5" customFormat="1" x14ac:dyDescent="0.25">
      <c r="A10" s="14"/>
      <c r="B10" s="6" t="s">
        <v>11</v>
      </c>
      <c r="C10" s="6" t="s">
        <v>6</v>
      </c>
      <c r="D10" s="7">
        <v>0</v>
      </c>
      <c r="E10" s="7">
        <v>0</v>
      </c>
      <c r="F10" s="7">
        <v>0</v>
      </c>
      <c r="G10" s="7">
        <v>0</v>
      </c>
      <c r="H10" s="7">
        <v>1</v>
      </c>
      <c r="I10" s="7">
        <v>1</v>
      </c>
      <c r="J10" s="7">
        <v>1</v>
      </c>
      <c r="K10" s="7">
        <v>2</v>
      </c>
      <c r="L10" s="7">
        <v>2</v>
      </c>
      <c r="M10" s="7">
        <v>5</v>
      </c>
      <c r="N10" s="7">
        <v>9</v>
      </c>
      <c r="O10" s="7">
        <v>28</v>
      </c>
      <c r="P10" s="7">
        <v>38</v>
      </c>
      <c r="Q10" s="7">
        <v>63</v>
      </c>
      <c r="R10" s="7">
        <v>74</v>
      </c>
      <c r="S10" s="7">
        <v>45</v>
      </c>
      <c r="T10" s="7">
        <v>55</v>
      </c>
      <c r="U10" s="7">
        <v>77</v>
      </c>
      <c r="V10" s="7">
        <v>99</v>
      </c>
      <c r="W10" s="7">
        <v>82</v>
      </c>
      <c r="X10" s="7">
        <v>73</v>
      </c>
      <c r="Y10" s="7">
        <v>77</v>
      </c>
      <c r="Z10" s="7">
        <v>53</v>
      </c>
      <c r="AA10" s="7">
        <v>89</v>
      </c>
      <c r="AB10" s="7">
        <v>110</v>
      </c>
      <c r="AC10" s="7">
        <v>105</v>
      </c>
      <c r="AD10" s="7">
        <v>115</v>
      </c>
      <c r="AE10" s="7">
        <v>68</v>
      </c>
      <c r="AF10" s="7">
        <v>129</v>
      </c>
      <c r="AG10" s="7">
        <v>77</v>
      </c>
      <c r="AH10" s="7">
        <v>62</v>
      </c>
      <c r="AI10" s="7">
        <v>63</v>
      </c>
      <c r="AJ10" s="7">
        <v>51</v>
      </c>
      <c r="AK10" s="7">
        <v>81</v>
      </c>
      <c r="AL10" s="7">
        <v>28</v>
      </c>
      <c r="AM10" s="7">
        <v>44</v>
      </c>
      <c r="AN10" s="7">
        <v>74</v>
      </c>
      <c r="AO10" s="7">
        <v>54</v>
      </c>
      <c r="AP10" s="7">
        <v>109</v>
      </c>
      <c r="AQ10" s="7">
        <v>105</v>
      </c>
      <c r="AR10" s="7">
        <v>49</v>
      </c>
      <c r="AS10" s="7">
        <v>63</v>
      </c>
      <c r="AT10" s="7">
        <v>18</v>
      </c>
      <c r="AU10" s="7">
        <v>74</v>
      </c>
      <c r="AV10" s="7">
        <v>54</v>
      </c>
      <c r="AW10" s="7">
        <v>56</v>
      </c>
      <c r="AX10" s="7">
        <v>32</v>
      </c>
      <c r="AY10" s="7">
        <v>35</v>
      </c>
      <c r="AZ10" s="7">
        <v>101</v>
      </c>
      <c r="BA10" s="7">
        <v>70</v>
      </c>
      <c r="BB10" s="47">
        <v>50</v>
      </c>
      <c r="BC10" s="43">
        <f>29750/1000</f>
        <v>29.75</v>
      </c>
      <c r="BD10" s="43">
        <f>86100/1000</f>
        <v>86.1</v>
      </c>
    </row>
    <row r="11" spans="1:56" x14ac:dyDescent="0.25">
      <c r="A11" s="12"/>
      <c r="B11" s="2"/>
      <c r="C11" s="2" t="s">
        <v>7</v>
      </c>
      <c r="D11" s="4">
        <v>0</v>
      </c>
      <c r="E11" s="4">
        <v>0</v>
      </c>
      <c r="F11" s="4">
        <v>0</v>
      </c>
      <c r="G11" s="4">
        <v>0</v>
      </c>
      <c r="H11" s="4">
        <v>7</v>
      </c>
      <c r="I11" s="4">
        <v>1</v>
      </c>
      <c r="J11" s="4">
        <v>0</v>
      </c>
      <c r="K11" s="4">
        <v>0</v>
      </c>
      <c r="L11" s="4">
        <v>0</v>
      </c>
      <c r="M11" s="4">
        <v>1</v>
      </c>
      <c r="N11" s="4">
        <v>11</v>
      </c>
      <c r="O11" s="4">
        <v>0</v>
      </c>
      <c r="P11" s="4">
        <v>0</v>
      </c>
      <c r="Q11" s="4">
        <v>33</v>
      </c>
      <c r="R11" s="4">
        <v>16</v>
      </c>
      <c r="S11" s="4">
        <v>10</v>
      </c>
      <c r="T11" s="4">
        <v>21</v>
      </c>
      <c r="U11" s="4">
        <v>15</v>
      </c>
      <c r="V11" s="4">
        <v>13</v>
      </c>
      <c r="W11" s="4">
        <v>13</v>
      </c>
      <c r="X11" s="4">
        <v>41</v>
      </c>
      <c r="Y11" s="4">
        <v>35</v>
      </c>
      <c r="Z11" s="4">
        <v>30</v>
      </c>
      <c r="AA11" s="4">
        <v>29</v>
      </c>
      <c r="AB11" s="4">
        <v>38</v>
      </c>
      <c r="AC11" s="4">
        <v>0</v>
      </c>
      <c r="AD11" s="4">
        <v>35</v>
      </c>
      <c r="AE11" s="4">
        <v>90</v>
      </c>
      <c r="AF11" s="4">
        <v>10</v>
      </c>
      <c r="AG11" s="4">
        <v>42</v>
      </c>
      <c r="AH11" s="4">
        <v>60</v>
      </c>
      <c r="AI11" s="4">
        <v>57</v>
      </c>
      <c r="AJ11" s="4">
        <v>55</v>
      </c>
      <c r="AK11" s="4">
        <v>55</v>
      </c>
      <c r="AL11" s="4">
        <v>86</v>
      </c>
      <c r="AM11" s="4">
        <v>70</v>
      </c>
      <c r="AN11" s="4">
        <v>70</v>
      </c>
      <c r="AO11" s="4">
        <v>50</v>
      </c>
      <c r="AP11" s="4">
        <v>30</v>
      </c>
      <c r="AQ11" s="4">
        <v>18</v>
      </c>
      <c r="AR11" s="4">
        <v>0</v>
      </c>
      <c r="AS11" s="4">
        <v>18</v>
      </c>
      <c r="AT11" s="4">
        <v>65</v>
      </c>
      <c r="AU11" s="4">
        <v>9</v>
      </c>
      <c r="AV11" s="4">
        <v>1</v>
      </c>
      <c r="AW11" s="4">
        <v>1</v>
      </c>
      <c r="AX11" s="4">
        <v>11</v>
      </c>
      <c r="AY11" s="4">
        <v>1</v>
      </c>
      <c r="AZ11" s="4">
        <v>1</v>
      </c>
      <c r="BA11" s="4">
        <v>1</v>
      </c>
      <c r="BB11" s="44">
        <v>1</v>
      </c>
      <c r="BC11" s="42">
        <f>1161/1000</f>
        <v>1.161</v>
      </c>
      <c r="BD11" s="42"/>
    </row>
    <row r="12" spans="1:56" s="5" customFormat="1" x14ac:dyDescent="0.25">
      <c r="A12" s="14"/>
      <c r="B12" s="6"/>
      <c r="C12" s="6" t="s">
        <v>8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1</v>
      </c>
      <c r="Q12" s="7">
        <v>3</v>
      </c>
      <c r="R12" s="7">
        <v>4</v>
      </c>
      <c r="S12" s="7">
        <v>32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11</v>
      </c>
      <c r="AS12" s="7">
        <v>6</v>
      </c>
      <c r="AT12" s="7">
        <v>8</v>
      </c>
      <c r="AU12" s="7">
        <v>3</v>
      </c>
      <c r="AV12" s="7">
        <v>5</v>
      </c>
      <c r="AW12" s="7">
        <v>3</v>
      </c>
      <c r="AX12" s="7">
        <v>3</v>
      </c>
      <c r="AY12" s="7">
        <v>2</v>
      </c>
      <c r="AZ12" s="7">
        <v>7</v>
      </c>
      <c r="BA12" s="7">
        <v>2</v>
      </c>
      <c r="BB12" s="47">
        <v>2</v>
      </c>
      <c r="BC12" s="43">
        <f>1835/1000</f>
        <v>1.835</v>
      </c>
      <c r="BD12" s="43"/>
    </row>
    <row r="13" spans="1:56" x14ac:dyDescent="0.25">
      <c r="A13" s="12"/>
      <c r="B13" s="2"/>
      <c r="C13" s="2" t="s">
        <v>9</v>
      </c>
      <c r="D13" s="4">
        <v>0</v>
      </c>
      <c r="E13" s="4">
        <v>0</v>
      </c>
      <c r="F13" s="4">
        <v>0</v>
      </c>
      <c r="G13" s="4">
        <v>0</v>
      </c>
      <c r="H13" s="4">
        <v>8</v>
      </c>
      <c r="I13" s="4">
        <v>2</v>
      </c>
      <c r="J13" s="4">
        <v>1</v>
      </c>
      <c r="K13" s="4">
        <v>2</v>
      </c>
      <c r="L13" s="4">
        <v>2</v>
      </c>
      <c r="M13" s="4">
        <v>6</v>
      </c>
      <c r="N13" s="4">
        <v>16</v>
      </c>
      <c r="O13" s="4">
        <v>18</v>
      </c>
      <c r="P13" s="4">
        <v>31</v>
      </c>
      <c r="Q13" s="4">
        <v>76</v>
      </c>
      <c r="R13" s="4">
        <v>71</v>
      </c>
      <c r="S13" s="4">
        <v>60</v>
      </c>
      <c r="T13" s="4">
        <v>76</v>
      </c>
      <c r="U13" s="4">
        <v>87</v>
      </c>
      <c r="V13" s="4">
        <v>106</v>
      </c>
      <c r="W13" s="4">
        <v>115</v>
      </c>
      <c r="X13" s="4">
        <v>117</v>
      </c>
      <c r="Y13" s="4">
        <v>113</v>
      </c>
      <c r="Z13" s="4">
        <v>78</v>
      </c>
      <c r="AA13" s="4">
        <v>119</v>
      </c>
      <c r="AB13" s="4">
        <v>154</v>
      </c>
      <c r="AC13" s="4">
        <v>105</v>
      </c>
      <c r="AD13" s="4">
        <v>150</v>
      </c>
      <c r="AE13" s="4">
        <v>158</v>
      </c>
      <c r="AF13" s="4">
        <v>139</v>
      </c>
      <c r="AG13" s="4">
        <v>119</v>
      </c>
      <c r="AH13" s="4">
        <v>122</v>
      </c>
      <c r="AI13" s="4">
        <v>120</v>
      </c>
      <c r="AJ13" s="4">
        <v>106</v>
      </c>
      <c r="AK13" s="4">
        <v>136</v>
      </c>
      <c r="AL13" s="4">
        <v>114</v>
      </c>
      <c r="AM13" s="4">
        <v>114</v>
      </c>
      <c r="AN13" s="4">
        <v>134</v>
      </c>
      <c r="AO13" s="4">
        <v>114</v>
      </c>
      <c r="AP13" s="4">
        <v>123</v>
      </c>
      <c r="AQ13" s="4">
        <v>115</v>
      </c>
      <c r="AR13" s="4">
        <v>50</v>
      </c>
      <c r="AS13" s="4">
        <v>68</v>
      </c>
      <c r="AT13" s="4">
        <v>65</v>
      </c>
      <c r="AU13" s="4">
        <v>64</v>
      </c>
      <c r="AV13" s="4">
        <v>60</v>
      </c>
      <c r="AW13" s="4">
        <v>59</v>
      </c>
      <c r="AX13" s="4">
        <v>58</v>
      </c>
      <c r="AY13" s="4">
        <v>43</v>
      </c>
      <c r="AZ13" s="4">
        <v>89</v>
      </c>
      <c r="BA13" s="4">
        <v>77</v>
      </c>
      <c r="BB13" s="44">
        <v>49</v>
      </c>
      <c r="BC13" s="42">
        <f>BC10+BC11-BC12</f>
        <v>29.076000000000001</v>
      </c>
      <c r="BD13" s="42"/>
    </row>
    <row r="14" spans="1:56" s="5" customFormat="1" x14ac:dyDescent="0.25">
      <c r="A14" s="14"/>
      <c r="B14" s="6" t="s">
        <v>12</v>
      </c>
      <c r="C14" s="6" t="s">
        <v>6</v>
      </c>
      <c r="D14" s="7">
        <v>82</v>
      </c>
      <c r="E14" s="7">
        <v>96</v>
      </c>
      <c r="F14" s="7">
        <v>97</v>
      </c>
      <c r="G14" s="7">
        <v>102</v>
      </c>
      <c r="H14" s="7">
        <v>109</v>
      </c>
      <c r="I14" s="7">
        <v>130</v>
      </c>
      <c r="J14" s="7">
        <v>153</v>
      </c>
      <c r="K14" s="7">
        <v>158</v>
      </c>
      <c r="L14" s="7">
        <v>183</v>
      </c>
      <c r="M14" s="7">
        <v>177</v>
      </c>
      <c r="N14" s="7">
        <v>214</v>
      </c>
      <c r="O14" s="7">
        <v>177</v>
      </c>
      <c r="P14" s="7">
        <v>221</v>
      </c>
      <c r="Q14" s="7">
        <v>293</v>
      </c>
      <c r="R14" s="7">
        <v>277</v>
      </c>
      <c r="S14" s="7">
        <v>298</v>
      </c>
      <c r="T14" s="7">
        <v>379</v>
      </c>
      <c r="U14" s="7">
        <v>351</v>
      </c>
      <c r="V14" s="7">
        <v>495</v>
      </c>
      <c r="W14" s="7">
        <v>438</v>
      </c>
      <c r="X14" s="7">
        <v>521</v>
      </c>
      <c r="Y14" s="7">
        <v>611</v>
      </c>
      <c r="Z14" s="7">
        <v>392</v>
      </c>
      <c r="AA14" s="7">
        <v>452</v>
      </c>
      <c r="AB14" s="7">
        <v>618</v>
      </c>
      <c r="AC14" s="7">
        <v>491</v>
      </c>
      <c r="AD14" s="7">
        <v>393</v>
      </c>
      <c r="AE14" s="7">
        <v>540</v>
      </c>
      <c r="AF14" s="7">
        <v>576</v>
      </c>
      <c r="AG14" s="7">
        <v>605</v>
      </c>
      <c r="AH14" s="7">
        <v>563</v>
      </c>
      <c r="AI14" s="7">
        <v>806</v>
      </c>
      <c r="AJ14" s="7">
        <v>683</v>
      </c>
      <c r="AK14" s="7">
        <v>774</v>
      </c>
      <c r="AL14" s="7">
        <v>813</v>
      </c>
      <c r="AM14" s="7">
        <v>691</v>
      </c>
      <c r="AN14" s="7">
        <v>894</v>
      </c>
      <c r="AO14" s="7">
        <v>947</v>
      </c>
      <c r="AP14" s="7">
        <v>974</v>
      </c>
      <c r="AQ14" s="7">
        <v>787</v>
      </c>
      <c r="AR14" s="8">
        <v>1175</v>
      </c>
      <c r="AS14" s="7">
        <v>888</v>
      </c>
      <c r="AT14" s="7">
        <v>313</v>
      </c>
      <c r="AU14" s="7">
        <v>395</v>
      </c>
      <c r="AV14" s="7">
        <v>243</v>
      </c>
      <c r="AW14" s="7">
        <v>716</v>
      </c>
      <c r="AX14" s="7">
        <v>117</v>
      </c>
      <c r="AY14" s="7">
        <v>13</v>
      </c>
      <c r="AZ14" s="7">
        <v>44</v>
      </c>
      <c r="BA14" s="7">
        <v>142</v>
      </c>
      <c r="BB14" s="47">
        <v>608</v>
      </c>
      <c r="BC14" s="43">
        <f>723283/1000</f>
        <v>723.28300000000002</v>
      </c>
      <c r="BD14" s="43">
        <f>918733/1000</f>
        <v>918.73299999999995</v>
      </c>
    </row>
    <row r="15" spans="1:56" x14ac:dyDescent="0.25">
      <c r="A15" s="12"/>
      <c r="B15" s="2"/>
      <c r="C15" s="2" t="s">
        <v>7</v>
      </c>
      <c r="D15" s="4">
        <v>0</v>
      </c>
      <c r="E15" s="4">
        <v>1</v>
      </c>
      <c r="F15" s="4">
        <v>1</v>
      </c>
      <c r="G15" s="4">
        <v>1</v>
      </c>
      <c r="H15" s="4">
        <v>1</v>
      </c>
      <c r="I15" s="4">
        <v>2</v>
      </c>
      <c r="J15" s="4">
        <v>2</v>
      </c>
      <c r="K15" s="4">
        <v>2</v>
      </c>
      <c r="L15" s="4">
        <v>2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1</v>
      </c>
      <c r="T15" s="4">
        <v>1</v>
      </c>
      <c r="U15" s="4">
        <v>1</v>
      </c>
      <c r="V15" s="4">
        <v>1</v>
      </c>
      <c r="W15" s="4">
        <v>1</v>
      </c>
      <c r="X15" s="4">
        <v>1</v>
      </c>
      <c r="Y15" s="4">
        <v>1</v>
      </c>
      <c r="Z15" s="4">
        <v>5</v>
      </c>
      <c r="AA15" s="4">
        <v>1</v>
      </c>
      <c r="AB15" s="4">
        <v>9</v>
      </c>
      <c r="AC15" s="4">
        <v>10</v>
      </c>
      <c r="AD15" s="4">
        <v>10</v>
      </c>
      <c r="AE15" s="4">
        <v>10</v>
      </c>
      <c r="AF15" s="4">
        <v>24</v>
      </c>
      <c r="AG15" s="4">
        <v>28</v>
      </c>
      <c r="AH15" s="4">
        <v>28</v>
      </c>
      <c r="AI15" s="4">
        <v>31</v>
      </c>
      <c r="AJ15" s="4">
        <v>29</v>
      </c>
      <c r="AK15" s="4">
        <v>28</v>
      </c>
      <c r="AL15" s="4">
        <v>31</v>
      </c>
      <c r="AM15" s="4">
        <v>36</v>
      </c>
      <c r="AN15" s="4">
        <v>37</v>
      </c>
      <c r="AO15" s="4">
        <v>38</v>
      </c>
      <c r="AP15" s="4">
        <v>51</v>
      </c>
      <c r="AQ15" s="4">
        <v>46</v>
      </c>
      <c r="AR15" s="4">
        <v>68</v>
      </c>
      <c r="AS15" s="4">
        <v>65</v>
      </c>
      <c r="AT15" s="4">
        <v>88</v>
      </c>
      <c r="AU15" s="4">
        <v>88</v>
      </c>
      <c r="AV15" s="4">
        <v>106</v>
      </c>
      <c r="AW15" s="4">
        <v>94</v>
      </c>
      <c r="AX15" s="4">
        <v>198</v>
      </c>
      <c r="AY15" s="4">
        <v>188</v>
      </c>
      <c r="AZ15" s="4">
        <v>215</v>
      </c>
      <c r="BA15" s="4">
        <v>225</v>
      </c>
      <c r="BB15" s="44">
        <v>125</v>
      </c>
      <c r="BC15" s="42">
        <f>160121/1000</f>
        <v>160.12100000000001</v>
      </c>
      <c r="BD15" s="42"/>
    </row>
    <row r="16" spans="1:56" s="5" customFormat="1" x14ac:dyDescent="0.25">
      <c r="A16" s="14"/>
      <c r="B16" s="6"/>
      <c r="C16" s="6" t="s">
        <v>8</v>
      </c>
      <c r="D16" s="7">
        <v>51</v>
      </c>
      <c r="E16" s="7">
        <v>57</v>
      </c>
      <c r="F16" s="7">
        <v>56</v>
      </c>
      <c r="G16" s="7">
        <v>64</v>
      </c>
      <c r="H16" s="7">
        <v>64</v>
      </c>
      <c r="I16" s="7">
        <v>89</v>
      </c>
      <c r="J16" s="7">
        <v>99</v>
      </c>
      <c r="K16" s="7">
        <v>107</v>
      </c>
      <c r="L16" s="7">
        <v>121</v>
      </c>
      <c r="M16" s="7">
        <v>96</v>
      </c>
      <c r="N16" s="7">
        <v>171</v>
      </c>
      <c r="O16" s="7">
        <v>150</v>
      </c>
      <c r="P16" s="7">
        <v>154</v>
      </c>
      <c r="Q16" s="7">
        <v>163</v>
      </c>
      <c r="R16" s="7">
        <v>196</v>
      </c>
      <c r="S16" s="7">
        <v>297</v>
      </c>
      <c r="T16" s="7">
        <v>256</v>
      </c>
      <c r="U16" s="7">
        <v>253</v>
      </c>
      <c r="V16" s="7">
        <v>426</v>
      </c>
      <c r="W16" s="7">
        <v>294</v>
      </c>
      <c r="X16" s="7">
        <v>468</v>
      </c>
      <c r="Y16" s="7">
        <v>573</v>
      </c>
      <c r="Z16" s="7">
        <v>251</v>
      </c>
      <c r="AA16" s="7">
        <v>327</v>
      </c>
      <c r="AB16" s="7">
        <v>463</v>
      </c>
      <c r="AC16" s="7">
        <v>390</v>
      </c>
      <c r="AD16" s="7">
        <v>375</v>
      </c>
      <c r="AE16" s="7">
        <v>430</v>
      </c>
      <c r="AF16" s="7">
        <v>500</v>
      </c>
      <c r="AG16" s="7">
        <v>461</v>
      </c>
      <c r="AH16" s="7">
        <v>519</v>
      </c>
      <c r="AI16" s="7">
        <v>607</v>
      </c>
      <c r="AJ16" s="7">
        <v>525</v>
      </c>
      <c r="AK16" s="7">
        <v>500</v>
      </c>
      <c r="AL16" s="7">
        <v>500</v>
      </c>
      <c r="AM16" s="7">
        <v>550</v>
      </c>
      <c r="AN16" s="7">
        <v>657</v>
      </c>
      <c r="AO16" s="7">
        <v>537</v>
      </c>
      <c r="AP16" s="7">
        <v>662</v>
      </c>
      <c r="AQ16" s="7">
        <v>610</v>
      </c>
      <c r="AR16" s="7">
        <v>617</v>
      </c>
      <c r="AS16" s="7">
        <v>247</v>
      </c>
      <c r="AT16" s="7">
        <v>150</v>
      </c>
      <c r="AU16" s="7">
        <v>175</v>
      </c>
      <c r="AV16" s="7">
        <v>80</v>
      </c>
      <c r="AW16" s="7">
        <v>326</v>
      </c>
      <c r="AX16" s="7">
        <v>166</v>
      </c>
      <c r="AY16" s="7">
        <v>36</v>
      </c>
      <c r="AZ16" s="7">
        <v>15</v>
      </c>
      <c r="BA16" s="7">
        <v>40</v>
      </c>
      <c r="BB16" s="47">
        <v>350</v>
      </c>
      <c r="BC16" s="43">
        <f>277992/1000</f>
        <v>277.99200000000002</v>
      </c>
      <c r="BD16" s="43"/>
    </row>
    <row r="17" spans="1:56" x14ac:dyDescent="0.25">
      <c r="A17" s="12"/>
      <c r="B17" s="2"/>
      <c r="C17" s="2" t="s">
        <v>9</v>
      </c>
      <c r="D17" s="4">
        <v>35</v>
      </c>
      <c r="E17" s="4">
        <v>36</v>
      </c>
      <c r="F17" s="4">
        <v>37</v>
      </c>
      <c r="G17" s="4">
        <v>35</v>
      </c>
      <c r="H17" s="4">
        <v>36</v>
      </c>
      <c r="I17" s="4">
        <v>40</v>
      </c>
      <c r="J17" s="4">
        <v>45</v>
      </c>
      <c r="K17" s="4">
        <v>54</v>
      </c>
      <c r="L17" s="4">
        <v>60</v>
      </c>
      <c r="M17" s="4">
        <v>65</v>
      </c>
      <c r="N17" s="4">
        <v>72</v>
      </c>
      <c r="O17" s="4">
        <v>67</v>
      </c>
      <c r="P17" s="4">
        <v>80</v>
      </c>
      <c r="Q17" s="4">
        <v>92</v>
      </c>
      <c r="R17" s="4">
        <v>37</v>
      </c>
      <c r="S17" s="4">
        <v>55</v>
      </c>
      <c r="T17" s="4">
        <v>56</v>
      </c>
      <c r="U17" s="4">
        <v>58</v>
      </c>
      <c r="V17" s="4">
        <v>60</v>
      </c>
      <c r="W17" s="4">
        <v>62</v>
      </c>
      <c r="X17" s="4">
        <v>65</v>
      </c>
      <c r="Y17" s="4">
        <v>66</v>
      </c>
      <c r="Z17" s="4">
        <v>73</v>
      </c>
      <c r="AA17" s="4">
        <v>71</v>
      </c>
      <c r="AB17" s="4">
        <v>74</v>
      </c>
      <c r="AC17" s="4">
        <v>75</v>
      </c>
      <c r="AD17" s="4">
        <v>81</v>
      </c>
      <c r="AE17" s="4">
        <v>110</v>
      </c>
      <c r="AF17" s="4">
        <v>160</v>
      </c>
      <c r="AG17" s="4">
        <v>172</v>
      </c>
      <c r="AH17" s="4">
        <v>212</v>
      </c>
      <c r="AI17" s="4">
        <v>250</v>
      </c>
      <c r="AJ17" s="4">
        <v>267</v>
      </c>
      <c r="AK17" s="4">
        <v>262</v>
      </c>
      <c r="AL17" s="4">
        <v>294</v>
      </c>
      <c r="AM17" s="4">
        <v>302</v>
      </c>
      <c r="AN17" s="4">
        <v>307</v>
      </c>
      <c r="AO17" s="4">
        <v>313</v>
      </c>
      <c r="AP17" s="4">
        <v>333</v>
      </c>
      <c r="AQ17" s="4">
        <v>345</v>
      </c>
      <c r="AR17" s="4">
        <v>356</v>
      </c>
      <c r="AS17" s="4">
        <v>360</v>
      </c>
      <c r="AT17" s="4">
        <v>370</v>
      </c>
      <c r="AU17" s="4">
        <v>380</v>
      </c>
      <c r="AV17" s="4">
        <v>348</v>
      </c>
      <c r="AW17" s="4">
        <v>400</v>
      </c>
      <c r="AX17" s="4">
        <v>434</v>
      </c>
      <c r="AY17" s="4">
        <v>343</v>
      </c>
      <c r="AZ17" s="4">
        <v>270</v>
      </c>
      <c r="BA17" s="4">
        <v>309</v>
      </c>
      <c r="BB17" s="44">
        <v>330</v>
      </c>
      <c r="BC17" s="42">
        <f>BC14+BC15-BC16</f>
        <v>605.41200000000003</v>
      </c>
      <c r="BD17" s="42"/>
    </row>
    <row r="18" spans="1:56" s="5" customFormat="1" x14ac:dyDescent="0.25">
      <c r="A18" s="14"/>
      <c r="B18" s="6" t="s">
        <v>13</v>
      </c>
      <c r="C18" s="6" t="s">
        <v>6</v>
      </c>
      <c r="D18" s="7">
        <v>163</v>
      </c>
      <c r="E18" s="7">
        <v>255</v>
      </c>
      <c r="F18" s="7">
        <v>279</v>
      </c>
      <c r="G18" s="7">
        <v>215</v>
      </c>
      <c r="H18" s="7">
        <v>195</v>
      </c>
      <c r="I18" s="7">
        <v>195</v>
      </c>
      <c r="J18" s="7">
        <v>319</v>
      </c>
      <c r="K18" s="7">
        <v>288</v>
      </c>
      <c r="L18" s="7">
        <v>294</v>
      </c>
      <c r="M18" s="7">
        <v>547</v>
      </c>
      <c r="N18" s="8">
        <v>1298</v>
      </c>
      <c r="O18" s="8">
        <v>1228</v>
      </c>
      <c r="P18" s="8">
        <v>1018</v>
      </c>
      <c r="Q18" s="8">
        <v>1061</v>
      </c>
      <c r="R18" s="7">
        <v>901</v>
      </c>
      <c r="S18" s="8">
        <v>1124</v>
      </c>
      <c r="T18" s="7">
        <v>956</v>
      </c>
      <c r="U18" s="7">
        <v>714</v>
      </c>
      <c r="V18" s="8">
        <v>1125</v>
      </c>
      <c r="W18" s="7">
        <v>922</v>
      </c>
      <c r="X18" s="8">
        <v>1204</v>
      </c>
      <c r="Y18" s="8">
        <v>1317</v>
      </c>
      <c r="Z18" s="7">
        <v>958</v>
      </c>
      <c r="AA18" s="8">
        <v>1885</v>
      </c>
      <c r="AB18" s="8">
        <v>1369</v>
      </c>
      <c r="AC18" s="8">
        <v>1416</v>
      </c>
      <c r="AD18" s="8">
        <v>1422</v>
      </c>
      <c r="AE18" s="8">
        <v>1677</v>
      </c>
      <c r="AF18" s="8">
        <v>1283</v>
      </c>
      <c r="AG18" s="7">
        <v>971</v>
      </c>
      <c r="AH18" s="7">
        <v>775</v>
      </c>
      <c r="AI18" s="8">
        <v>1472</v>
      </c>
      <c r="AJ18" s="7">
        <v>557</v>
      </c>
      <c r="AK18" s="7">
        <v>931</v>
      </c>
      <c r="AL18" s="8">
        <v>1272</v>
      </c>
      <c r="AM18" s="8">
        <v>1592</v>
      </c>
      <c r="AN18" s="8">
        <v>1425</v>
      </c>
      <c r="AO18" s="8">
        <v>1081</v>
      </c>
      <c r="AP18" s="8">
        <v>1891</v>
      </c>
      <c r="AQ18" s="8">
        <v>2116</v>
      </c>
      <c r="AR18" s="8">
        <v>1935</v>
      </c>
      <c r="AS18" s="8">
        <v>2021</v>
      </c>
      <c r="AT18" s="8">
        <v>1465</v>
      </c>
      <c r="AU18" s="8">
        <v>2009</v>
      </c>
      <c r="AV18" s="8">
        <v>2011</v>
      </c>
      <c r="AW18" s="8">
        <v>1929</v>
      </c>
      <c r="AX18" s="8">
        <v>1283</v>
      </c>
      <c r="AY18" s="8">
        <v>3790</v>
      </c>
      <c r="AZ18" s="8">
        <v>2690</v>
      </c>
      <c r="BA18" s="8">
        <v>1600</v>
      </c>
      <c r="BB18" s="47">
        <v>2400</v>
      </c>
      <c r="BC18" s="43">
        <f>1934510/1000</f>
        <v>1934.51</v>
      </c>
      <c r="BD18" s="43">
        <f>2238912/1000</f>
        <v>2238.9119999999998</v>
      </c>
    </row>
    <row r="19" spans="1:56" x14ac:dyDescent="0.25">
      <c r="A19" s="12"/>
      <c r="B19" s="2"/>
      <c r="C19" s="2" t="s">
        <v>7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0</v>
      </c>
      <c r="AJ19" s="4">
        <v>0</v>
      </c>
      <c r="AK19" s="4">
        <v>238</v>
      </c>
      <c r="AL19" s="4">
        <v>44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0</v>
      </c>
      <c r="AT19" s="4">
        <v>0</v>
      </c>
      <c r="AU19" s="4">
        <v>0</v>
      </c>
      <c r="AV19" s="4">
        <v>0</v>
      </c>
      <c r="AW19" s="4">
        <v>0</v>
      </c>
      <c r="AX19" s="4">
        <v>0</v>
      </c>
      <c r="AY19" s="4">
        <v>0</v>
      </c>
      <c r="AZ19" s="4">
        <v>0</v>
      </c>
      <c r="BA19" s="4">
        <v>0</v>
      </c>
      <c r="BB19" s="44">
        <v>0</v>
      </c>
      <c r="BC19" s="42">
        <v>4</v>
      </c>
      <c r="BD19" s="42"/>
    </row>
    <row r="20" spans="1:56" s="5" customFormat="1" x14ac:dyDescent="0.25">
      <c r="A20" s="14"/>
      <c r="B20" s="6"/>
      <c r="C20" s="6" t="s">
        <v>8</v>
      </c>
      <c r="D20" s="7">
        <v>39</v>
      </c>
      <c r="E20" s="7">
        <v>61</v>
      </c>
      <c r="F20" s="7">
        <v>8</v>
      </c>
      <c r="G20" s="7">
        <v>19</v>
      </c>
      <c r="H20" s="7">
        <v>2</v>
      </c>
      <c r="I20" s="7">
        <v>72</v>
      </c>
      <c r="J20" s="7">
        <v>22</v>
      </c>
      <c r="K20" s="7">
        <v>80</v>
      </c>
      <c r="L20" s="7">
        <v>17</v>
      </c>
      <c r="M20" s="7">
        <v>278</v>
      </c>
      <c r="N20" s="8">
        <v>1087</v>
      </c>
      <c r="O20" s="7">
        <v>692</v>
      </c>
      <c r="P20" s="7">
        <v>633</v>
      </c>
      <c r="Q20" s="7">
        <v>984</v>
      </c>
      <c r="R20" s="7">
        <v>897</v>
      </c>
      <c r="S20" s="7">
        <v>972</v>
      </c>
      <c r="T20" s="7">
        <v>490</v>
      </c>
      <c r="U20" s="7">
        <v>231</v>
      </c>
      <c r="V20" s="7">
        <v>669</v>
      </c>
      <c r="W20" s="7">
        <v>506</v>
      </c>
      <c r="X20" s="7">
        <v>856</v>
      </c>
      <c r="Y20" s="7">
        <v>961</v>
      </c>
      <c r="Z20" s="7">
        <v>282</v>
      </c>
      <c r="AA20" s="8">
        <v>1553</v>
      </c>
      <c r="AB20" s="8">
        <v>1086</v>
      </c>
      <c r="AC20" s="8">
        <v>1064</v>
      </c>
      <c r="AD20" s="7">
        <v>570</v>
      </c>
      <c r="AE20" s="7">
        <v>555</v>
      </c>
      <c r="AF20" s="7">
        <v>408</v>
      </c>
      <c r="AG20" s="7">
        <v>16</v>
      </c>
      <c r="AH20" s="7">
        <v>247</v>
      </c>
      <c r="AI20" s="7">
        <v>206</v>
      </c>
      <c r="AJ20" s="7">
        <v>62</v>
      </c>
      <c r="AK20" s="7">
        <v>506</v>
      </c>
      <c r="AL20" s="7">
        <v>50</v>
      </c>
      <c r="AM20" s="7">
        <v>537</v>
      </c>
      <c r="AN20" s="7">
        <v>231</v>
      </c>
      <c r="AO20" s="7">
        <v>184</v>
      </c>
      <c r="AP20" s="7">
        <v>450</v>
      </c>
      <c r="AQ20" s="7">
        <v>850</v>
      </c>
      <c r="AR20" s="7">
        <v>630</v>
      </c>
      <c r="AS20" s="7">
        <v>385</v>
      </c>
      <c r="AT20" s="7">
        <v>75</v>
      </c>
      <c r="AU20" s="7">
        <v>595</v>
      </c>
      <c r="AV20" s="7">
        <v>205</v>
      </c>
      <c r="AW20" s="7">
        <v>125</v>
      </c>
      <c r="AX20" s="7">
        <v>85</v>
      </c>
      <c r="AY20" s="7">
        <v>810</v>
      </c>
      <c r="AZ20" s="8">
        <v>1000</v>
      </c>
      <c r="BA20" s="7">
        <v>350</v>
      </c>
      <c r="BB20" s="47">
        <v>1300</v>
      </c>
      <c r="BC20" s="43">
        <f>75766/1000</f>
        <v>75.766000000000005</v>
      </c>
      <c r="BD20" s="43"/>
    </row>
    <row r="21" spans="1:56" x14ac:dyDescent="0.25">
      <c r="A21" s="12"/>
      <c r="B21" s="2"/>
      <c r="C21" s="2" t="s">
        <v>9</v>
      </c>
      <c r="D21" s="4">
        <v>124</v>
      </c>
      <c r="E21" s="4">
        <v>194</v>
      </c>
      <c r="F21" s="4">
        <v>271</v>
      </c>
      <c r="G21" s="4">
        <v>196</v>
      </c>
      <c r="H21" s="4">
        <v>193</v>
      </c>
      <c r="I21" s="4">
        <v>123</v>
      </c>
      <c r="J21" s="4">
        <v>297</v>
      </c>
      <c r="K21" s="4">
        <v>208</v>
      </c>
      <c r="L21" s="4">
        <v>243</v>
      </c>
      <c r="M21" s="4">
        <v>268</v>
      </c>
      <c r="N21" s="4">
        <v>222</v>
      </c>
      <c r="O21" s="4">
        <v>500</v>
      </c>
      <c r="P21" s="4">
        <v>299</v>
      </c>
      <c r="Q21" s="4">
        <v>115</v>
      </c>
      <c r="R21" s="4">
        <v>89</v>
      </c>
      <c r="S21" s="4">
        <v>116</v>
      </c>
      <c r="T21" s="4">
        <v>372</v>
      </c>
      <c r="U21" s="4">
        <v>456</v>
      </c>
      <c r="V21" s="4">
        <v>502</v>
      </c>
      <c r="W21" s="4">
        <v>367</v>
      </c>
      <c r="X21" s="4">
        <v>466</v>
      </c>
      <c r="Y21" s="4">
        <v>366</v>
      </c>
      <c r="Z21" s="4">
        <v>701</v>
      </c>
      <c r="AA21" s="4">
        <v>304</v>
      </c>
      <c r="AB21" s="4">
        <v>331</v>
      </c>
      <c r="AC21" s="4">
        <v>288</v>
      </c>
      <c r="AD21" s="4">
        <v>926</v>
      </c>
      <c r="AE21" s="3">
        <v>1086</v>
      </c>
      <c r="AF21" s="4">
        <v>857</v>
      </c>
      <c r="AG21" s="4">
        <v>946</v>
      </c>
      <c r="AH21" s="4">
        <v>550</v>
      </c>
      <c r="AI21" s="3">
        <v>1217</v>
      </c>
      <c r="AJ21" s="4">
        <v>495</v>
      </c>
      <c r="AK21" s="4">
        <v>653</v>
      </c>
      <c r="AL21" s="3">
        <v>1266</v>
      </c>
      <c r="AM21" s="3">
        <v>1055</v>
      </c>
      <c r="AN21" s="3">
        <v>1195</v>
      </c>
      <c r="AO21" s="4">
        <v>905</v>
      </c>
      <c r="AP21" s="3">
        <v>1405</v>
      </c>
      <c r="AQ21" s="3">
        <v>1305</v>
      </c>
      <c r="AR21" s="3">
        <v>1305</v>
      </c>
      <c r="AS21" s="3">
        <v>1655</v>
      </c>
      <c r="AT21" s="3">
        <v>1405</v>
      </c>
      <c r="AU21" s="3">
        <v>1405</v>
      </c>
      <c r="AV21" s="3">
        <v>1755</v>
      </c>
      <c r="AW21" s="3">
        <v>1895</v>
      </c>
      <c r="AX21" s="3">
        <v>1205</v>
      </c>
      <c r="AY21" s="3">
        <v>2205</v>
      </c>
      <c r="AZ21" s="3">
        <v>1805</v>
      </c>
      <c r="BA21" s="3">
        <v>1205</v>
      </c>
      <c r="BB21" s="44">
        <v>1405</v>
      </c>
      <c r="BC21" s="42">
        <f>BC18+BC19-BC20</f>
        <v>1862.7439999999999</v>
      </c>
      <c r="BD21" s="42"/>
    </row>
    <row r="22" spans="1:56" s="5" customFormat="1" x14ac:dyDescent="0.25">
      <c r="A22" s="12"/>
      <c r="B22" s="2" t="s">
        <v>14</v>
      </c>
      <c r="C22" s="2" t="s">
        <v>42</v>
      </c>
      <c r="D22" s="3">
        <f>9730296/1000</f>
        <v>9730.2960000000003</v>
      </c>
      <c r="E22" s="3">
        <f>12940301/1000</f>
        <v>12940.300999999999</v>
      </c>
      <c r="F22" s="3">
        <f>12312569/1000</f>
        <v>12312.569</v>
      </c>
      <c r="G22" s="3">
        <f>15312357/1000</f>
        <v>15312.357</v>
      </c>
      <c r="H22" s="3">
        <f>14382227/1000</f>
        <v>14382.227000000001</v>
      </c>
      <c r="I22" s="3">
        <f>16952688/1000</f>
        <v>16952.687999999998</v>
      </c>
      <c r="J22" s="3">
        <f>17025232/1000</f>
        <v>17025.232</v>
      </c>
      <c r="K22" s="3">
        <f>18708304/1000</f>
        <v>18708.304</v>
      </c>
      <c r="L22" s="3">
        <f>15784354/1000</f>
        <v>15784.353999999999</v>
      </c>
      <c r="M22" s="3">
        <f>17644816/1000</f>
        <v>17644.815999999999</v>
      </c>
      <c r="N22" s="3">
        <f>19390512/1000</f>
        <v>19390.511999999999</v>
      </c>
      <c r="O22" s="3">
        <f>18928304/1000</f>
        <v>18928.304</v>
      </c>
      <c r="P22" s="3">
        <f>19278000/1000</f>
        <v>19278</v>
      </c>
      <c r="Q22" s="3">
        <f>20417808/1000</f>
        <v>20417.808000000001</v>
      </c>
      <c r="R22" s="3">
        <f>21959008/1000</f>
        <v>21959.008000000002</v>
      </c>
      <c r="S22" s="3">
        <f>23343552/1000</f>
        <v>23343.552</v>
      </c>
      <c r="T22" s="3">
        <f>23493152/1000</f>
        <v>23493.151999999998</v>
      </c>
      <c r="U22" s="3">
        <f>21457008/1000</f>
        <v>21457.008000000002</v>
      </c>
      <c r="V22" s="3">
        <f>21151072/1000</f>
        <v>21151.072</v>
      </c>
      <c r="W22" s="3">
        <f>23975648/1000</f>
        <v>23975.648000000001</v>
      </c>
      <c r="X22" s="3">
        <f>25039808/1000</f>
        <v>25039.808000000001</v>
      </c>
      <c r="Y22" s="3">
        <f>24817104/1000</f>
        <v>24817.103999999999</v>
      </c>
      <c r="Z22" s="3">
        <f>24191168/1000</f>
        <v>24191.168000000001</v>
      </c>
      <c r="AA22" s="3">
        <f>25450304/1000</f>
        <v>25450.304</v>
      </c>
      <c r="AB22" s="3">
        <f>24401600/1000</f>
        <v>24401.599999999999</v>
      </c>
      <c r="AC22" s="3">
        <f>24742000/1000</f>
        <v>24742</v>
      </c>
      <c r="AD22" s="3">
        <f>24831680/1000</f>
        <v>24831.68</v>
      </c>
      <c r="AE22" s="3">
        <f>27145968/1000</f>
        <v>27145.968000000001</v>
      </c>
      <c r="AF22" s="3">
        <f>26940336/1000</f>
        <v>26940.335999999999</v>
      </c>
      <c r="AG22" s="3">
        <f>24369936/1000</f>
        <v>24369.936000000002</v>
      </c>
      <c r="AH22" s="3">
        <f>21366000/1000</f>
        <v>21366</v>
      </c>
      <c r="AI22" s="3">
        <f>20641000/1000</f>
        <v>20641</v>
      </c>
      <c r="AJ22" s="3">
        <f>27959000/1000</f>
        <v>27959</v>
      </c>
      <c r="AK22" s="3">
        <f>31312000/1000</f>
        <v>31312</v>
      </c>
      <c r="AL22" s="3">
        <f>34943000/1000</f>
        <v>34943</v>
      </c>
      <c r="AM22" s="3">
        <f>37436000/1000</f>
        <v>37436</v>
      </c>
      <c r="AN22" s="3">
        <f>39938000/1000</f>
        <v>39938</v>
      </c>
      <c r="AO22" s="3">
        <f>41064000/1000</f>
        <v>41064</v>
      </c>
      <c r="AP22" s="3">
        <f>39699000/1000</f>
        <v>39699</v>
      </c>
      <c r="AQ22" s="3">
        <f>3814688/1000</f>
        <v>3814.6880000000001</v>
      </c>
      <c r="AR22" s="3">
        <f>281160000/1000</f>
        <v>281160</v>
      </c>
      <c r="AS22" s="3">
        <f>31424000/1000</f>
        <v>31424</v>
      </c>
      <c r="AT22" s="3">
        <f>36995000/1000</f>
        <v>36995</v>
      </c>
      <c r="AU22" s="3">
        <f>36993454/1000</f>
        <v>36993.453999999998</v>
      </c>
      <c r="AV22" s="3">
        <f>37822192/1000</f>
        <v>37822.192000000003</v>
      </c>
      <c r="AW22" s="3">
        <f>37128000/1000</f>
        <v>37128</v>
      </c>
      <c r="AX22" s="3">
        <f>36397000/1000</f>
        <v>36397</v>
      </c>
      <c r="AY22" s="3">
        <f>32621113/1000</f>
        <v>32621.113000000001</v>
      </c>
      <c r="AZ22" s="3">
        <f>30284000/1000</f>
        <v>30284</v>
      </c>
      <c r="BA22" s="3">
        <f>31457000/1000</f>
        <v>31457</v>
      </c>
      <c r="BB22" s="45">
        <f>25181814/1000</f>
        <v>25181.813999999998</v>
      </c>
      <c r="BC22" s="43">
        <f>25957093/1000</f>
        <v>25957.093000000001</v>
      </c>
      <c r="BD22" s="43">
        <f>27136082/1000</f>
        <v>27136.081999999999</v>
      </c>
    </row>
    <row r="23" spans="1:56" x14ac:dyDescent="0.25">
      <c r="A23" s="12"/>
      <c r="B23" s="6"/>
      <c r="C23" s="6" t="s">
        <v>45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14</v>
      </c>
      <c r="AI23" s="7">
        <v>12</v>
      </c>
      <c r="AJ23" s="7">
        <v>9</v>
      </c>
      <c r="AK23" s="7">
        <v>2</v>
      </c>
      <c r="AL23" s="7">
        <v>2</v>
      </c>
      <c r="AM23" s="7">
        <v>2</v>
      </c>
      <c r="AN23" s="7">
        <v>2</v>
      </c>
      <c r="AO23" s="7">
        <v>2</v>
      </c>
      <c r="AP23" s="7">
        <v>4</v>
      </c>
      <c r="AQ23" s="7">
        <v>5</v>
      </c>
      <c r="AR23" s="7">
        <v>5</v>
      </c>
      <c r="AS23" s="7">
        <v>5</v>
      </c>
      <c r="AT23" s="7">
        <v>8</v>
      </c>
      <c r="AU23" s="7">
        <v>10</v>
      </c>
      <c r="AV23" s="7">
        <v>9</v>
      </c>
      <c r="AW23" s="7">
        <v>9</v>
      </c>
      <c r="AX23" s="7">
        <v>9</v>
      </c>
      <c r="AY23" s="7">
        <v>9</v>
      </c>
      <c r="AZ23" s="7">
        <v>45</v>
      </c>
      <c r="BA23" s="7">
        <v>76</v>
      </c>
      <c r="BB23" s="48">
        <v>80</v>
      </c>
      <c r="BC23" s="42">
        <f>102367/1000</f>
        <v>102.367</v>
      </c>
      <c r="BD23" s="42"/>
    </row>
    <row r="24" spans="1:56" s="5" customFormat="1" x14ac:dyDescent="0.25">
      <c r="A24" s="12"/>
      <c r="B24" s="2"/>
      <c r="C24" s="2" t="s">
        <v>44</v>
      </c>
      <c r="D24" s="4">
        <v>802</v>
      </c>
      <c r="E24" s="4">
        <v>947</v>
      </c>
      <c r="F24" s="4">
        <v>850</v>
      </c>
      <c r="G24" s="3">
        <v>1155</v>
      </c>
      <c r="H24" s="3">
        <v>1194</v>
      </c>
      <c r="I24" s="3">
        <v>1320</v>
      </c>
      <c r="J24" s="3">
        <v>1865</v>
      </c>
      <c r="K24" s="3">
        <v>1724</v>
      </c>
      <c r="L24" s="3">
        <v>2170</v>
      </c>
      <c r="M24" s="3">
        <v>1523</v>
      </c>
      <c r="N24" s="3">
        <v>1817</v>
      </c>
      <c r="O24" s="3">
        <v>2170</v>
      </c>
      <c r="P24" s="3">
        <v>1938</v>
      </c>
      <c r="Q24" s="3">
        <v>1940</v>
      </c>
      <c r="R24" s="3">
        <v>1950</v>
      </c>
      <c r="S24" s="3">
        <v>2114</v>
      </c>
      <c r="T24" s="3">
        <v>2619</v>
      </c>
      <c r="U24" s="3">
        <v>2580</v>
      </c>
      <c r="V24" s="3">
        <v>2036</v>
      </c>
      <c r="W24" s="3">
        <v>2318</v>
      </c>
      <c r="X24" s="3">
        <v>2595</v>
      </c>
      <c r="Y24" s="3">
        <v>2468</v>
      </c>
      <c r="Z24" s="3">
        <v>2696</v>
      </c>
      <c r="AA24" s="3">
        <v>2605</v>
      </c>
      <c r="AB24" s="3">
        <v>2681</v>
      </c>
      <c r="AC24" s="3">
        <v>2858</v>
      </c>
      <c r="AD24" s="3">
        <v>2658</v>
      </c>
      <c r="AE24" s="3">
        <v>2797</v>
      </c>
      <c r="AF24" s="3">
        <v>2860</v>
      </c>
      <c r="AG24" s="3">
        <v>2927</v>
      </c>
      <c r="AH24" s="3">
        <v>2819</v>
      </c>
      <c r="AI24" s="3">
        <v>2345</v>
      </c>
      <c r="AJ24" s="3">
        <v>3476</v>
      </c>
      <c r="AK24" s="3">
        <v>3663</v>
      </c>
      <c r="AL24" s="3">
        <v>4321</v>
      </c>
      <c r="AM24" s="3">
        <v>4242</v>
      </c>
      <c r="AN24" s="3">
        <v>4564</v>
      </c>
      <c r="AO24" s="3">
        <v>4554</v>
      </c>
      <c r="AP24" s="3">
        <v>4076</v>
      </c>
      <c r="AQ24" s="3">
        <v>4123</v>
      </c>
      <c r="AR24" s="3">
        <v>3056</v>
      </c>
      <c r="AS24" s="3">
        <v>3594</v>
      </c>
      <c r="AT24" s="3">
        <v>4114</v>
      </c>
      <c r="AU24" s="3">
        <v>4157</v>
      </c>
      <c r="AV24" s="3">
        <v>4447</v>
      </c>
      <c r="AW24" s="3">
        <v>4208</v>
      </c>
      <c r="AX24" s="3">
        <v>3860</v>
      </c>
      <c r="AY24" s="3">
        <v>3700</v>
      </c>
      <c r="AZ24" s="3">
        <v>3522</v>
      </c>
      <c r="BA24" s="3">
        <v>3600</v>
      </c>
      <c r="BB24" s="45">
        <v>3750</v>
      </c>
      <c r="BC24" s="43">
        <f>1711488/1000</f>
        <v>1711.4880000000001</v>
      </c>
      <c r="BD24" s="43"/>
    </row>
    <row r="25" spans="1:56" ht="30" x14ac:dyDescent="0.25">
      <c r="A25" s="12"/>
      <c r="B25" s="6"/>
      <c r="C25" s="6" t="s">
        <v>43</v>
      </c>
      <c r="D25" s="8">
        <f>D22+D23-D24</f>
        <v>8928.2960000000003</v>
      </c>
      <c r="E25" s="8">
        <f t="shared" ref="E25:BC25" si="0">E22+E23-E24</f>
        <v>11993.300999999999</v>
      </c>
      <c r="F25" s="8">
        <f t="shared" si="0"/>
        <v>11462.569</v>
      </c>
      <c r="G25" s="8">
        <f t="shared" si="0"/>
        <v>14157.357</v>
      </c>
      <c r="H25" s="8">
        <f t="shared" si="0"/>
        <v>13188.227000000001</v>
      </c>
      <c r="I25" s="8">
        <f t="shared" si="0"/>
        <v>15632.687999999998</v>
      </c>
      <c r="J25" s="8">
        <f t="shared" si="0"/>
        <v>15160.232</v>
      </c>
      <c r="K25" s="8">
        <f t="shared" si="0"/>
        <v>16984.304</v>
      </c>
      <c r="L25" s="8">
        <f t="shared" si="0"/>
        <v>13614.353999999999</v>
      </c>
      <c r="M25" s="8">
        <f t="shared" si="0"/>
        <v>16121.815999999999</v>
      </c>
      <c r="N25" s="8">
        <f t="shared" si="0"/>
        <v>17573.511999999999</v>
      </c>
      <c r="O25" s="8">
        <f t="shared" si="0"/>
        <v>16758.304</v>
      </c>
      <c r="P25" s="8">
        <f t="shared" si="0"/>
        <v>17340</v>
      </c>
      <c r="Q25" s="8">
        <f t="shared" si="0"/>
        <v>18477.808000000001</v>
      </c>
      <c r="R25" s="8">
        <f t="shared" si="0"/>
        <v>20009.008000000002</v>
      </c>
      <c r="S25" s="8">
        <f t="shared" si="0"/>
        <v>21229.552</v>
      </c>
      <c r="T25" s="8">
        <f t="shared" si="0"/>
        <v>20874.151999999998</v>
      </c>
      <c r="U25" s="8">
        <f t="shared" si="0"/>
        <v>18877.008000000002</v>
      </c>
      <c r="V25" s="8">
        <f t="shared" si="0"/>
        <v>19115.072</v>
      </c>
      <c r="W25" s="8">
        <f t="shared" si="0"/>
        <v>21657.648000000001</v>
      </c>
      <c r="X25" s="8">
        <f t="shared" si="0"/>
        <v>22444.808000000001</v>
      </c>
      <c r="Y25" s="8">
        <f t="shared" si="0"/>
        <v>22349.103999999999</v>
      </c>
      <c r="Z25" s="8">
        <f t="shared" si="0"/>
        <v>21495.168000000001</v>
      </c>
      <c r="AA25" s="8">
        <f t="shared" si="0"/>
        <v>22845.304</v>
      </c>
      <c r="AB25" s="8">
        <f t="shared" si="0"/>
        <v>21720.6</v>
      </c>
      <c r="AC25" s="8">
        <f t="shared" si="0"/>
        <v>21884</v>
      </c>
      <c r="AD25" s="8">
        <f t="shared" si="0"/>
        <v>22173.68</v>
      </c>
      <c r="AE25" s="8">
        <f t="shared" si="0"/>
        <v>24348.968000000001</v>
      </c>
      <c r="AF25" s="8">
        <f t="shared" si="0"/>
        <v>24080.335999999999</v>
      </c>
      <c r="AG25" s="8">
        <f t="shared" si="0"/>
        <v>21442.936000000002</v>
      </c>
      <c r="AH25" s="8">
        <f t="shared" si="0"/>
        <v>18561</v>
      </c>
      <c r="AI25" s="8">
        <f t="shared" si="0"/>
        <v>18308</v>
      </c>
      <c r="AJ25" s="8">
        <f t="shared" si="0"/>
        <v>24492</v>
      </c>
      <c r="AK25" s="8">
        <f t="shared" si="0"/>
        <v>27651</v>
      </c>
      <c r="AL25" s="8">
        <f t="shared" si="0"/>
        <v>30624</v>
      </c>
      <c r="AM25" s="8">
        <f t="shared" si="0"/>
        <v>33196</v>
      </c>
      <c r="AN25" s="8">
        <f t="shared" si="0"/>
        <v>35376</v>
      </c>
      <c r="AO25" s="8">
        <f t="shared" si="0"/>
        <v>36512</v>
      </c>
      <c r="AP25" s="8">
        <f t="shared" si="0"/>
        <v>35627</v>
      </c>
      <c r="AQ25" s="8">
        <f t="shared" si="0"/>
        <v>-303.3119999999999</v>
      </c>
      <c r="AR25" s="8">
        <f t="shared" si="0"/>
        <v>278109</v>
      </c>
      <c r="AS25" s="8">
        <f t="shared" si="0"/>
        <v>27835</v>
      </c>
      <c r="AT25" s="8">
        <f t="shared" si="0"/>
        <v>32889</v>
      </c>
      <c r="AU25" s="8">
        <f t="shared" si="0"/>
        <v>32846.453999999998</v>
      </c>
      <c r="AV25" s="8">
        <f t="shared" si="0"/>
        <v>33384.192000000003</v>
      </c>
      <c r="AW25" s="8">
        <f t="shared" si="0"/>
        <v>32929</v>
      </c>
      <c r="AX25" s="8">
        <f t="shared" si="0"/>
        <v>32546</v>
      </c>
      <c r="AY25" s="8">
        <f t="shared" si="0"/>
        <v>28930.113000000001</v>
      </c>
      <c r="AZ25" s="8">
        <f t="shared" si="0"/>
        <v>26807</v>
      </c>
      <c r="BA25" s="8">
        <f t="shared" si="0"/>
        <v>27933</v>
      </c>
      <c r="BB25" s="47">
        <f t="shared" si="0"/>
        <v>21511.813999999998</v>
      </c>
      <c r="BC25" s="47">
        <f t="shared" si="0"/>
        <v>24347.971999999998</v>
      </c>
      <c r="BD25" s="47"/>
    </row>
    <row r="26" spans="1:56" x14ac:dyDescent="0.25">
      <c r="A26" s="12"/>
      <c r="B26" s="2" t="s">
        <v>15</v>
      </c>
      <c r="C26" s="2" t="s">
        <v>6</v>
      </c>
      <c r="D26" s="3">
        <v>7450</v>
      </c>
      <c r="E26" s="3">
        <v>6727</v>
      </c>
      <c r="F26" s="3">
        <v>8353</v>
      </c>
      <c r="G26" s="3">
        <v>8925</v>
      </c>
      <c r="H26" s="3">
        <v>10037</v>
      </c>
      <c r="I26" s="3">
        <v>7067</v>
      </c>
      <c r="J26" s="3">
        <v>12699</v>
      </c>
      <c r="K26" s="3">
        <v>7547</v>
      </c>
      <c r="L26" s="3">
        <v>14804</v>
      </c>
      <c r="M26" s="3">
        <v>10546</v>
      </c>
      <c r="N26" s="3">
        <v>7890</v>
      </c>
      <c r="O26" s="3">
        <v>8606</v>
      </c>
      <c r="P26" s="3">
        <v>6590</v>
      </c>
      <c r="Q26" s="3">
        <v>11987</v>
      </c>
      <c r="R26" s="3">
        <v>11357</v>
      </c>
      <c r="S26" s="3">
        <v>11982</v>
      </c>
      <c r="T26" s="3">
        <v>11800</v>
      </c>
      <c r="U26" s="3">
        <v>9370</v>
      </c>
      <c r="V26" s="3">
        <v>18090</v>
      </c>
      <c r="W26" s="3">
        <v>16188</v>
      </c>
      <c r="X26" s="3">
        <v>10856</v>
      </c>
      <c r="Y26" s="3">
        <v>16360</v>
      </c>
      <c r="Z26" s="3">
        <v>8876</v>
      </c>
      <c r="AA26" s="3">
        <v>22016</v>
      </c>
      <c r="AB26" s="3">
        <v>18666</v>
      </c>
      <c r="AC26" s="3">
        <v>16167</v>
      </c>
      <c r="AD26" s="3">
        <v>16119</v>
      </c>
      <c r="AE26" s="3">
        <v>12369</v>
      </c>
      <c r="AF26" s="3">
        <v>14060</v>
      </c>
      <c r="AG26" s="3">
        <v>14214</v>
      </c>
      <c r="AH26" s="3">
        <v>15066</v>
      </c>
      <c r="AI26" s="3">
        <v>10557</v>
      </c>
      <c r="AJ26" s="3">
        <v>16184</v>
      </c>
      <c r="AK26" s="3">
        <v>16479</v>
      </c>
      <c r="AL26" s="3">
        <v>8903</v>
      </c>
      <c r="AM26" s="3">
        <v>16504</v>
      </c>
      <c r="AN26" s="3">
        <v>22925</v>
      </c>
      <c r="AO26" s="3">
        <v>19224</v>
      </c>
      <c r="AP26" s="3">
        <v>21465</v>
      </c>
      <c r="AQ26" s="3">
        <v>24757</v>
      </c>
      <c r="AR26" s="3">
        <v>22108</v>
      </c>
      <c r="AS26" s="3">
        <v>24299</v>
      </c>
      <c r="AT26" s="3">
        <v>10132</v>
      </c>
      <c r="AU26" s="3">
        <v>26132</v>
      </c>
      <c r="AV26" s="3">
        <v>21905</v>
      </c>
      <c r="AW26" s="3">
        <v>25173</v>
      </c>
      <c r="AX26" s="3">
        <v>10822</v>
      </c>
      <c r="AY26" s="3">
        <v>13569</v>
      </c>
      <c r="AZ26" s="3">
        <v>21420</v>
      </c>
      <c r="BA26" s="3">
        <v>21923</v>
      </c>
      <c r="BB26" s="44">
        <v>26000</v>
      </c>
      <c r="BC26" s="42">
        <f>27410076/1000</f>
        <v>27410.076000000001</v>
      </c>
      <c r="BD26" s="42">
        <f>29905009/1000</f>
        <v>29905.008999999998</v>
      </c>
    </row>
    <row r="27" spans="1:56" s="5" customFormat="1" x14ac:dyDescent="0.25">
      <c r="A27" s="14"/>
      <c r="B27" s="6"/>
      <c r="C27" s="6" t="s">
        <v>7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7</v>
      </c>
      <c r="AE27" s="7">
        <v>11</v>
      </c>
      <c r="AF27" s="7">
        <v>14</v>
      </c>
      <c r="AG27" s="7">
        <v>11</v>
      </c>
      <c r="AH27" s="7">
        <v>18</v>
      </c>
      <c r="AI27" s="7">
        <v>22</v>
      </c>
      <c r="AJ27" s="7">
        <v>28</v>
      </c>
      <c r="AK27" s="7">
        <v>29</v>
      </c>
      <c r="AL27" s="7">
        <v>53</v>
      </c>
      <c r="AM27" s="7">
        <v>46</v>
      </c>
      <c r="AN27" s="7">
        <v>52</v>
      </c>
      <c r="AO27" s="7">
        <v>45</v>
      </c>
      <c r="AP27" s="7">
        <v>56</v>
      </c>
      <c r="AQ27" s="7">
        <v>61</v>
      </c>
      <c r="AR27" s="7">
        <v>72</v>
      </c>
      <c r="AS27" s="7">
        <v>72</v>
      </c>
      <c r="AT27" s="7">
        <v>282</v>
      </c>
      <c r="AU27" s="7">
        <v>75</v>
      </c>
      <c r="AV27" s="7">
        <v>78</v>
      </c>
      <c r="AW27" s="7">
        <v>82</v>
      </c>
      <c r="AX27" s="7">
        <v>94</v>
      </c>
      <c r="AY27" s="7">
        <v>116</v>
      </c>
      <c r="AZ27" s="7">
        <v>114</v>
      </c>
      <c r="BA27" s="7">
        <v>110</v>
      </c>
      <c r="BB27" s="47">
        <v>100</v>
      </c>
      <c r="BC27" s="43">
        <v>113</v>
      </c>
      <c r="BD27" s="43"/>
    </row>
    <row r="28" spans="1:56" x14ac:dyDescent="0.25">
      <c r="A28" s="12"/>
      <c r="B28" s="2"/>
      <c r="C28" s="2" t="s">
        <v>8</v>
      </c>
      <c r="D28" s="3">
        <v>6456</v>
      </c>
      <c r="E28" s="3">
        <v>4950</v>
      </c>
      <c r="F28" s="3">
        <v>6148</v>
      </c>
      <c r="G28" s="3">
        <v>6986</v>
      </c>
      <c r="H28" s="3">
        <v>7321</v>
      </c>
      <c r="I28" s="3">
        <v>4691</v>
      </c>
      <c r="J28" s="3">
        <v>8497</v>
      </c>
      <c r="K28" s="3">
        <v>5654</v>
      </c>
      <c r="L28" s="3">
        <v>6371</v>
      </c>
      <c r="M28" s="3">
        <v>8047</v>
      </c>
      <c r="N28" s="3">
        <v>9145</v>
      </c>
      <c r="O28" s="3">
        <v>7788</v>
      </c>
      <c r="P28" s="3">
        <v>4281</v>
      </c>
      <c r="Q28" s="3">
        <v>7031</v>
      </c>
      <c r="R28" s="3">
        <v>8562</v>
      </c>
      <c r="S28" s="3">
        <v>8663</v>
      </c>
      <c r="T28" s="3">
        <v>9485</v>
      </c>
      <c r="U28" s="3">
        <v>8098</v>
      </c>
      <c r="V28" s="3">
        <v>11693</v>
      </c>
      <c r="W28" s="3">
        <v>13197</v>
      </c>
      <c r="X28" s="3">
        <v>9577</v>
      </c>
      <c r="Y28" s="3">
        <v>11008</v>
      </c>
      <c r="Z28" s="3">
        <v>8041</v>
      </c>
      <c r="AA28" s="3">
        <v>13640</v>
      </c>
      <c r="AB28" s="3">
        <v>14032</v>
      </c>
      <c r="AC28" s="3">
        <v>16022</v>
      </c>
      <c r="AD28" s="3">
        <v>15562</v>
      </c>
      <c r="AE28" s="3">
        <v>9850</v>
      </c>
      <c r="AF28" s="3">
        <v>11295</v>
      </c>
      <c r="AG28" s="3">
        <v>10767</v>
      </c>
      <c r="AH28" s="3">
        <v>11760</v>
      </c>
      <c r="AI28" s="3">
        <v>7103</v>
      </c>
      <c r="AJ28" s="3">
        <v>9853</v>
      </c>
      <c r="AK28" s="3">
        <v>13707</v>
      </c>
      <c r="AL28" s="3">
        <v>6354</v>
      </c>
      <c r="AM28" s="3">
        <v>13311</v>
      </c>
      <c r="AN28" s="3">
        <v>19225</v>
      </c>
      <c r="AO28" s="3">
        <v>15343</v>
      </c>
      <c r="AP28" s="3">
        <v>16473</v>
      </c>
      <c r="AQ28" s="3">
        <v>17844</v>
      </c>
      <c r="AR28" s="3">
        <v>15930</v>
      </c>
      <c r="AS28" s="3">
        <v>16409</v>
      </c>
      <c r="AT28" s="3">
        <v>9146</v>
      </c>
      <c r="AU28" s="3">
        <v>18031</v>
      </c>
      <c r="AV28" s="3">
        <v>14722</v>
      </c>
      <c r="AW28" s="3">
        <v>16012</v>
      </c>
      <c r="AX28" s="3">
        <v>8728</v>
      </c>
      <c r="AY28" s="3">
        <v>7487</v>
      </c>
      <c r="AZ28" s="3">
        <v>14747</v>
      </c>
      <c r="BA28" s="3">
        <v>14790</v>
      </c>
      <c r="BB28" s="44">
        <v>14500</v>
      </c>
      <c r="BC28" s="42">
        <f>17657181/1000</f>
        <v>17657.181</v>
      </c>
      <c r="BD28" s="42"/>
    </row>
    <row r="29" spans="1:56" s="5" customFormat="1" x14ac:dyDescent="0.25">
      <c r="A29" s="14"/>
      <c r="B29" s="6"/>
      <c r="C29" s="6" t="s">
        <v>9</v>
      </c>
      <c r="D29" s="8">
        <v>1982</v>
      </c>
      <c r="E29" s="8">
        <v>1959</v>
      </c>
      <c r="F29" s="8">
        <v>2053</v>
      </c>
      <c r="G29" s="8">
        <v>2018</v>
      </c>
      <c r="H29" s="8">
        <v>2607</v>
      </c>
      <c r="I29" s="8">
        <v>2591</v>
      </c>
      <c r="J29" s="8">
        <v>2460</v>
      </c>
      <c r="K29" s="8">
        <v>2672</v>
      </c>
      <c r="L29" s="8">
        <v>2584</v>
      </c>
      <c r="M29" s="8">
        <v>2540</v>
      </c>
      <c r="N29" s="8">
        <v>2625</v>
      </c>
      <c r="O29" s="8">
        <v>2899</v>
      </c>
      <c r="P29" s="8">
        <v>3328</v>
      </c>
      <c r="Q29" s="8">
        <v>3539</v>
      </c>
      <c r="R29" s="8">
        <v>3119</v>
      </c>
      <c r="S29" s="8">
        <v>2312</v>
      </c>
      <c r="T29" s="8">
        <v>2843</v>
      </c>
      <c r="U29" s="8">
        <v>2629</v>
      </c>
      <c r="V29" s="8">
        <v>2531</v>
      </c>
      <c r="W29" s="8">
        <v>3369</v>
      </c>
      <c r="X29" s="8">
        <v>3503</v>
      </c>
      <c r="Y29" s="8">
        <v>2620</v>
      </c>
      <c r="Z29" s="8">
        <v>3326</v>
      </c>
      <c r="AA29" s="8">
        <v>3143</v>
      </c>
      <c r="AB29" s="8">
        <v>3568</v>
      </c>
      <c r="AC29" s="8">
        <v>2864</v>
      </c>
      <c r="AD29" s="8">
        <v>2657</v>
      </c>
      <c r="AE29" s="8">
        <v>3552</v>
      </c>
      <c r="AF29" s="8">
        <v>2929</v>
      </c>
      <c r="AG29" s="8">
        <v>3023</v>
      </c>
      <c r="AH29" s="8">
        <v>3536</v>
      </c>
      <c r="AI29" s="8">
        <v>3429</v>
      </c>
      <c r="AJ29" s="8">
        <v>4212</v>
      </c>
      <c r="AK29" s="8">
        <v>4108</v>
      </c>
      <c r="AL29" s="8">
        <v>3907</v>
      </c>
      <c r="AM29" s="8">
        <v>3669</v>
      </c>
      <c r="AN29" s="8">
        <v>3332</v>
      </c>
      <c r="AO29" s="8">
        <v>4001</v>
      </c>
      <c r="AP29" s="8">
        <v>4530</v>
      </c>
      <c r="AQ29" s="8">
        <v>5227</v>
      </c>
      <c r="AR29" s="8">
        <v>5328</v>
      </c>
      <c r="AS29" s="8">
        <v>5427</v>
      </c>
      <c r="AT29" s="8">
        <v>6125</v>
      </c>
      <c r="AU29" s="8">
        <v>5950</v>
      </c>
      <c r="AV29" s="8">
        <v>6000</v>
      </c>
      <c r="AW29" s="8">
        <v>6550</v>
      </c>
      <c r="AX29" s="8">
        <v>7600</v>
      </c>
      <c r="AY29" s="8">
        <v>6500</v>
      </c>
      <c r="AZ29" s="8">
        <v>6850</v>
      </c>
      <c r="BA29" s="8">
        <v>6725</v>
      </c>
      <c r="BB29" s="47">
        <v>9025</v>
      </c>
      <c r="BC29" s="43">
        <f>BC26+BC27-BC28</f>
        <v>9865.8950000000004</v>
      </c>
      <c r="BD29" s="43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9"/>
  <sheetViews>
    <sheetView zoomScaleNormal="100" workbookViewId="0">
      <pane xSplit="6" ySplit="15" topLeftCell="AW49" activePane="bottomRight" state="frozen"/>
      <selection pane="topRight" activeCell="G1" sqref="G1"/>
      <selection pane="bottomLeft" activeCell="A16" sqref="A16"/>
      <selection pane="bottomRight" activeCell="AW161" sqref="AW161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x14ac:dyDescent="0.25">
      <c r="A2" s="12" t="s">
        <v>17</v>
      </c>
      <c r="B2" s="2" t="s">
        <v>5</v>
      </c>
      <c r="C2" s="2" t="s">
        <v>6</v>
      </c>
      <c r="D2" s="3">
        <v>9036</v>
      </c>
      <c r="E2" s="3">
        <v>9587</v>
      </c>
      <c r="F2" s="3">
        <v>10478</v>
      </c>
      <c r="G2" s="3">
        <v>9408</v>
      </c>
      <c r="H2" s="3">
        <v>12112</v>
      </c>
      <c r="I2" s="3">
        <v>11371</v>
      </c>
      <c r="J2" s="3">
        <v>12824</v>
      </c>
      <c r="K2" s="3">
        <v>12814</v>
      </c>
      <c r="L2" s="3">
        <v>12693</v>
      </c>
      <c r="M2" s="3">
        <v>14216</v>
      </c>
      <c r="N2" s="3">
        <v>14130</v>
      </c>
      <c r="O2" s="3">
        <v>14891</v>
      </c>
      <c r="P2" s="3">
        <v>14109</v>
      </c>
      <c r="Q2" s="3">
        <v>16284</v>
      </c>
      <c r="R2" s="3">
        <v>16354</v>
      </c>
      <c r="S2" s="3">
        <v>17751</v>
      </c>
      <c r="T2" s="3">
        <v>19256</v>
      </c>
      <c r="U2" s="3">
        <v>13569</v>
      </c>
      <c r="V2" s="3">
        <v>16310</v>
      </c>
      <c r="W2" s="3">
        <v>20214</v>
      </c>
      <c r="X2" s="3">
        <v>22555</v>
      </c>
      <c r="Y2" s="3">
        <v>22932</v>
      </c>
      <c r="Z2" s="3">
        <v>19500</v>
      </c>
      <c r="AA2" s="3">
        <v>21180</v>
      </c>
      <c r="AB2" s="3">
        <v>21170</v>
      </c>
      <c r="AC2" s="3">
        <v>20264</v>
      </c>
      <c r="AD2" s="3">
        <v>26760</v>
      </c>
      <c r="AE2" s="3">
        <v>25220</v>
      </c>
      <c r="AF2" s="3">
        <v>26270</v>
      </c>
      <c r="AG2" s="3">
        <v>22300</v>
      </c>
      <c r="AH2" s="3">
        <v>24330</v>
      </c>
      <c r="AI2" s="3">
        <v>30800</v>
      </c>
      <c r="AJ2" s="3">
        <v>29200</v>
      </c>
      <c r="AK2" s="3">
        <v>32934</v>
      </c>
      <c r="AL2" s="3">
        <v>37440</v>
      </c>
      <c r="AM2" s="3">
        <v>32480</v>
      </c>
      <c r="AN2" s="3">
        <v>35700</v>
      </c>
      <c r="AO2" s="3">
        <v>30100</v>
      </c>
      <c r="AP2" s="3">
        <v>32393</v>
      </c>
      <c r="AQ2" s="3">
        <v>31641</v>
      </c>
      <c r="AR2" s="3">
        <v>41536</v>
      </c>
      <c r="AS2" s="3">
        <v>35501</v>
      </c>
      <c r="AT2" s="3">
        <v>44500</v>
      </c>
      <c r="AU2" s="3">
        <v>42000</v>
      </c>
      <c r="AV2" s="3">
        <v>35000</v>
      </c>
      <c r="AW2" s="3">
        <v>41700</v>
      </c>
      <c r="AX2" s="3">
        <v>51000</v>
      </c>
      <c r="AY2" s="3">
        <v>58600</v>
      </c>
      <c r="AZ2" s="3">
        <v>51000</v>
      </c>
      <c r="BA2" s="3">
        <v>56100</v>
      </c>
      <c r="BB2" s="3">
        <f>55660235/1000</f>
        <v>55660.235000000001</v>
      </c>
      <c r="BC2" s="42">
        <f>71072810/1000</f>
        <v>71072.81</v>
      </c>
      <c r="BD2" s="42">
        <f>80273172/1000</f>
        <v>80273.172000000006</v>
      </c>
    </row>
    <row r="3" spans="1:56" s="5" customFormat="1" x14ac:dyDescent="0.25">
      <c r="A3" s="14"/>
      <c r="B3" s="6"/>
      <c r="C3" s="6" t="s">
        <v>7</v>
      </c>
      <c r="D3" s="7">
        <v>5</v>
      </c>
      <c r="E3" s="7">
        <v>6</v>
      </c>
      <c r="F3" s="7">
        <v>1</v>
      </c>
      <c r="G3" s="7">
        <v>1</v>
      </c>
      <c r="H3" s="7">
        <v>7</v>
      </c>
      <c r="I3" s="7">
        <v>5</v>
      </c>
      <c r="J3" s="7">
        <v>9</v>
      </c>
      <c r="K3" s="7">
        <v>3</v>
      </c>
      <c r="L3" s="7">
        <v>1</v>
      </c>
      <c r="M3" s="7">
        <v>1</v>
      </c>
      <c r="N3" s="7">
        <v>1</v>
      </c>
      <c r="O3" s="7">
        <v>3</v>
      </c>
      <c r="P3" s="7">
        <v>0</v>
      </c>
      <c r="Q3" s="7">
        <v>0</v>
      </c>
      <c r="R3" s="7">
        <v>0</v>
      </c>
      <c r="S3" s="7">
        <v>0</v>
      </c>
      <c r="T3" s="7">
        <v>0</v>
      </c>
      <c r="U3" s="8">
        <v>1750</v>
      </c>
      <c r="V3" s="8">
        <v>1476</v>
      </c>
      <c r="W3" s="8">
        <v>2000</v>
      </c>
      <c r="X3" s="7">
        <v>0</v>
      </c>
      <c r="Y3" s="7">
        <v>0</v>
      </c>
      <c r="Z3" s="7">
        <v>500</v>
      </c>
      <c r="AA3" s="7">
        <v>440</v>
      </c>
      <c r="AB3" s="8">
        <v>1100</v>
      </c>
      <c r="AC3" s="8">
        <v>2000</v>
      </c>
      <c r="AD3" s="7">
        <v>400</v>
      </c>
      <c r="AE3" s="7">
        <v>50</v>
      </c>
      <c r="AF3" s="7">
        <v>100</v>
      </c>
      <c r="AG3" s="7">
        <v>900</v>
      </c>
      <c r="AH3" s="7">
        <v>700</v>
      </c>
      <c r="AI3" s="7">
        <v>497</v>
      </c>
      <c r="AJ3" s="8">
        <v>1220</v>
      </c>
      <c r="AK3" s="8">
        <v>1304</v>
      </c>
      <c r="AL3" s="8">
        <v>1407</v>
      </c>
      <c r="AM3" s="7">
        <v>280</v>
      </c>
      <c r="AN3" s="7">
        <v>470</v>
      </c>
      <c r="AO3" s="8">
        <v>1722</v>
      </c>
      <c r="AP3" s="8">
        <v>1180</v>
      </c>
      <c r="AQ3" s="8">
        <v>1632</v>
      </c>
      <c r="AR3" s="7">
        <v>244</v>
      </c>
      <c r="AS3" s="7">
        <v>367</v>
      </c>
      <c r="AT3" s="7">
        <v>683</v>
      </c>
      <c r="AU3" s="7">
        <v>361</v>
      </c>
      <c r="AV3" s="7">
        <v>496</v>
      </c>
      <c r="AW3" s="8">
        <v>1147</v>
      </c>
      <c r="AX3" s="8">
        <v>1413</v>
      </c>
      <c r="AY3" s="7">
        <v>678</v>
      </c>
      <c r="AZ3" s="8">
        <v>1141</v>
      </c>
      <c r="BA3" s="7">
        <v>550</v>
      </c>
      <c r="BB3" s="8">
        <f>656336/1000</f>
        <v>656.33600000000001</v>
      </c>
      <c r="BC3" s="43"/>
      <c r="BD3" s="43"/>
    </row>
    <row r="4" spans="1:56" x14ac:dyDescent="0.25">
      <c r="A4" s="12"/>
      <c r="B4" s="2"/>
      <c r="C4" s="2" t="s">
        <v>8</v>
      </c>
      <c r="D4" s="4">
        <v>4</v>
      </c>
      <c r="E4" s="4">
        <v>6</v>
      </c>
      <c r="F4" s="4">
        <v>700</v>
      </c>
      <c r="G4" s="4">
        <v>62</v>
      </c>
      <c r="H4" s="4">
        <v>560</v>
      </c>
      <c r="I4" s="4">
        <v>621</v>
      </c>
      <c r="J4" s="4">
        <v>483</v>
      </c>
      <c r="K4" s="3">
        <v>1181</v>
      </c>
      <c r="L4" s="4">
        <v>610</v>
      </c>
      <c r="M4" s="3">
        <v>1788</v>
      </c>
      <c r="N4" s="4">
        <v>948</v>
      </c>
      <c r="O4" s="4">
        <v>172</v>
      </c>
      <c r="P4" s="4">
        <v>42</v>
      </c>
      <c r="Q4" s="3">
        <v>1311</v>
      </c>
      <c r="R4" s="4">
        <v>968</v>
      </c>
      <c r="S4" s="3">
        <v>1511</v>
      </c>
      <c r="T4" s="3">
        <v>1262</v>
      </c>
      <c r="U4" s="4">
        <v>0</v>
      </c>
      <c r="V4" s="4">
        <v>0</v>
      </c>
      <c r="W4" s="4">
        <v>0</v>
      </c>
      <c r="X4" s="4">
        <v>7</v>
      </c>
      <c r="Y4" s="4">
        <v>700</v>
      </c>
      <c r="Z4" s="4">
        <v>450</v>
      </c>
      <c r="AA4" s="4">
        <v>385</v>
      </c>
      <c r="AB4" s="4">
        <v>56</v>
      </c>
      <c r="AC4" s="4">
        <v>0</v>
      </c>
      <c r="AD4" s="4">
        <v>0</v>
      </c>
      <c r="AE4" s="4">
        <v>0</v>
      </c>
      <c r="AF4" s="4">
        <v>0</v>
      </c>
      <c r="AG4" s="4">
        <v>0</v>
      </c>
      <c r="AH4" s="4">
        <v>0</v>
      </c>
      <c r="AI4" s="4">
        <v>0</v>
      </c>
      <c r="AJ4" s="4">
        <v>9</v>
      </c>
      <c r="AK4" s="4">
        <v>4</v>
      </c>
      <c r="AL4" s="4">
        <v>56</v>
      </c>
      <c r="AM4" s="4">
        <v>267</v>
      </c>
      <c r="AN4" s="4">
        <v>92</v>
      </c>
      <c r="AO4" s="4">
        <v>6</v>
      </c>
      <c r="AP4" s="4">
        <v>8</v>
      </c>
      <c r="AQ4" s="4">
        <v>222</v>
      </c>
      <c r="AR4" s="3">
        <v>6261</v>
      </c>
      <c r="AS4" s="3">
        <v>2054</v>
      </c>
      <c r="AT4" s="3">
        <v>4625</v>
      </c>
      <c r="AU4" s="3">
        <v>4441</v>
      </c>
      <c r="AV4" s="4">
        <v>682</v>
      </c>
      <c r="AW4" s="3">
        <v>4524</v>
      </c>
      <c r="AX4" s="3">
        <v>10836</v>
      </c>
      <c r="AY4" s="3">
        <v>7791</v>
      </c>
      <c r="AZ4" s="3">
        <v>7136</v>
      </c>
      <c r="BA4" s="3">
        <v>11599</v>
      </c>
      <c r="BB4" s="3">
        <f>9486914/1000</f>
        <v>9486.9140000000007</v>
      </c>
      <c r="BC4" s="42"/>
      <c r="BD4" s="42"/>
    </row>
    <row r="5" spans="1:56" s="5" customFormat="1" x14ac:dyDescent="0.25">
      <c r="A5" s="14"/>
      <c r="B5" s="6"/>
      <c r="C5" s="6" t="s">
        <v>9</v>
      </c>
      <c r="D5" s="8">
        <v>8937</v>
      </c>
      <c r="E5" s="8">
        <v>9587</v>
      </c>
      <c r="F5" s="8">
        <v>9919</v>
      </c>
      <c r="G5" s="8">
        <v>9301</v>
      </c>
      <c r="H5" s="8">
        <v>10007</v>
      </c>
      <c r="I5" s="8">
        <v>11703</v>
      </c>
      <c r="J5" s="8">
        <v>10950</v>
      </c>
      <c r="K5" s="8">
        <v>11484</v>
      </c>
      <c r="L5" s="8">
        <v>13926</v>
      </c>
      <c r="M5" s="8">
        <v>12700</v>
      </c>
      <c r="N5" s="8">
        <v>13239</v>
      </c>
      <c r="O5" s="8">
        <v>16415</v>
      </c>
      <c r="P5" s="8">
        <v>13567</v>
      </c>
      <c r="Q5" s="8">
        <v>15273</v>
      </c>
      <c r="R5" s="8">
        <v>15586</v>
      </c>
      <c r="S5" s="8">
        <v>16040</v>
      </c>
      <c r="T5" s="8">
        <v>17494</v>
      </c>
      <c r="U5" s="8">
        <v>16219</v>
      </c>
      <c r="V5" s="8">
        <v>17800</v>
      </c>
      <c r="W5" s="8">
        <v>21200</v>
      </c>
      <c r="X5" s="8">
        <v>22300</v>
      </c>
      <c r="Y5" s="8">
        <v>22035</v>
      </c>
      <c r="Z5" s="8">
        <v>20795</v>
      </c>
      <c r="AA5" s="8">
        <v>20980</v>
      </c>
      <c r="AB5" s="8">
        <v>21614</v>
      </c>
      <c r="AC5" s="8">
        <v>22264</v>
      </c>
      <c r="AD5" s="8">
        <v>26426</v>
      </c>
      <c r="AE5" s="8">
        <v>24470</v>
      </c>
      <c r="AF5" s="8">
        <v>25108</v>
      </c>
      <c r="AG5" s="8">
        <v>25800</v>
      </c>
      <c r="AH5" s="8">
        <v>25630</v>
      </c>
      <c r="AI5" s="8">
        <v>28670</v>
      </c>
      <c r="AJ5" s="8">
        <v>30200</v>
      </c>
      <c r="AK5" s="8">
        <v>33000</v>
      </c>
      <c r="AL5" s="8">
        <v>36000</v>
      </c>
      <c r="AM5" s="8">
        <v>36600</v>
      </c>
      <c r="AN5" s="8">
        <v>36250</v>
      </c>
      <c r="AO5" s="8">
        <v>33400</v>
      </c>
      <c r="AP5" s="8">
        <v>33200</v>
      </c>
      <c r="AQ5" s="8">
        <v>33500</v>
      </c>
      <c r="AR5" s="8">
        <v>34500</v>
      </c>
      <c r="AS5" s="8">
        <v>35000</v>
      </c>
      <c r="AT5" s="8">
        <v>35800</v>
      </c>
      <c r="AU5" s="8">
        <v>36300</v>
      </c>
      <c r="AV5" s="8">
        <v>38500</v>
      </c>
      <c r="AW5" s="8">
        <v>39500</v>
      </c>
      <c r="AX5" s="8">
        <v>41000</v>
      </c>
      <c r="AY5" s="8">
        <v>42500</v>
      </c>
      <c r="AZ5" s="8">
        <v>45500</v>
      </c>
      <c r="BA5" s="8">
        <v>47000</v>
      </c>
      <c r="BB5" s="8">
        <f>BB2+BB3-BB4</f>
        <v>46829.657000000007</v>
      </c>
      <c r="BC5" s="43"/>
      <c r="BD5" s="43"/>
    </row>
    <row r="6" spans="1:56" x14ac:dyDescent="0.25">
      <c r="A6" s="12"/>
      <c r="B6" s="2" t="s">
        <v>10</v>
      </c>
      <c r="C6" s="2" t="s">
        <v>6</v>
      </c>
      <c r="D6" s="3">
        <v>1950</v>
      </c>
      <c r="E6" s="3">
        <v>2525</v>
      </c>
      <c r="F6" s="3">
        <v>2300</v>
      </c>
      <c r="G6" s="3">
        <v>2300</v>
      </c>
      <c r="H6" s="3">
        <v>2100</v>
      </c>
      <c r="I6" s="3">
        <v>2499</v>
      </c>
      <c r="J6" s="3">
        <v>1961</v>
      </c>
      <c r="K6" s="3">
        <v>2641</v>
      </c>
      <c r="L6" s="3">
        <v>3298</v>
      </c>
      <c r="M6" s="3">
        <v>2664</v>
      </c>
      <c r="N6" s="3">
        <v>2733</v>
      </c>
      <c r="O6" s="3">
        <v>3123</v>
      </c>
      <c r="P6" s="3">
        <v>2990</v>
      </c>
      <c r="Q6" s="3">
        <v>2459</v>
      </c>
      <c r="R6" s="3">
        <v>2448</v>
      </c>
      <c r="S6" s="3">
        <v>1837</v>
      </c>
      <c r="T6" s="3">
        <v>2710</v>
      </c>
      <c r="U6" s="3">
        <v>2246</v>
      </c>
      <c r="V6" s="3">
        <v>2499</v>
      </c>
      <c r="W6" s="3">
        <v>2627</v>
      </c>
      <c r="X6" s="3">
        <v>2728</v>
      </c>
      <c r="Y6" s="3">
        <v>3123</v>
      </c>
      <c r="Z6" s="3">
        <v>2691</v>
      </c>
      <c r="AA6" s="3">
        <v>3096</v>
      </c>
      <c r="AB6" s="3">
        <v>4446</v>
      </c>
      <c r="AC6" s="3">
        <v>3642</v>
      </c>
      <c r="AD6" s="3">
        <v>2907</v>
      </c>
      <c r="AE6" s="3">
        <v>3968</v>
      </c>
      <c r="AF6" s="3">
        <v>3258</v>
      </c>
      <c r="AG6" s="3">
        <v>3058</v>
      </c>
      <c r="AH6" s="3">
        <v>3293</v>
      </c>
      <c r="AI6" s="3">
        <v>3064</v>
      </c>
      <c r="AJ6" s="3">
        <v>1929</v>
      </c>
      <c r="AK6" s="3">
        <v>2219</v>
      </c>
      <c r="AL6" s="3">
        <v>2467</v>
      </c>
      <c r="AM6" s="3">
        <v>1884</v>
      </c>
      <c r="AN6" s="3">
        <v>1405</v>
      </c>
      <c r="AO6" s="3">
        <v>1890</v>
      </c>
      <c r="AP6" s="3">
        <v>2391</v>
      </c>
      <c r="AQ6" s="3">
        <v>3216</v>
      </c>
      <c r="AR6" s="3">
        <v>4312</v>
      </c>
      <c r="AS6" s="3">
        <v>3519</v>
      </c>
      <c r="AT6" s="3">
        <v>3890</v>
      </c>
      <c r="AU6" s="3">
        <v>6015</v>
      </c>
      <c r="AV6" s="3">
        <v>5900</v>
      </c>
      <c r="AW6" s="3">
        <v>4700</v>
      </c>
      <c r="AX6" s="3">
        <v>7000</v>
      </c>
      <c r="AY6" s="3">
        <v>7360</v>
      </c>
      <c r="AZ6" s="3">
        <v>5480</v>
      </c>
      <c r="BA6" s="3">
        <v>5450</v>
      </c>
      <c r="BB6" s="3">
        <v>9000</v>
      </c>
      <c r="BC6" s="42">
        <f>1673337/1000</f>
        <v>1673.337</v>
      </c>
      <c r="BD6" s="42">
        <f>1639791/1000</f>
        <v>1639.7909999999999</v>
      </c>
    </row>
    <row r="7" spans="1:56" s="5" customFormat="1" x14ac:dyDescent="0.25">
      <c r="A7" s="14"/>
      <c r="B7" s="6"/>
      <c r="C7" s="6" t="s">
        <v>7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18</v>
      </c>
      <c r="O7" s="7">
        <v>4</v>
      </c>
      <c r="P7" s="7">
        <v>1</v>
      </c>
      <c r="Q7" s="7">
        <v>0</v>
      </c>
      <c r="R7" s="7">
        <v>0</v>
      </c>
      <c r="S7" s="7">
        <v>5</v>
      </c>
      <c r="T7" s="7">
        <v>0</v>
      </c>
      <c r="U7" s="7">
        <v>0</v>
      </c>
      <c r="V7" s="7">
        <v>0</v>
      </c>
      <c r="W7" s="7">
        <v>0</v>
      </c>
      <c r="X7" s="7">
        <v>14</v>
      </c>
      <c r="Y7" s="7">
        <v>0</v>
      </c>
      <c r="Z7" s="7">
        <v>0</v>
      </c>
      <c r="AA7" s="7">
        <v>41</v>
      </c>
      <c r="AB7" s="7">
        <v>18</v>
      </c>
      <c r="AC7" s="7">
        <v>248</v>
      </c>
      <c r="AD7" s="7">
        <v>243</v>
      </c>
      <c r="AE7" s="7">
        <v>197</v>
      </c>
      <c r="AF7" s="7">
        <v>473</v>
      </c>
      <c r="AG7" s="7">
        <v>519</v>
      </c>
      <c r="AH7" s="7">
        <v>409</v>
      </c>
      <c r="AI7" s="7">
        <v>657</v>
      </c>
      <c r="AJ7" s="8">
        <v>1823</v>
      </c>
      <c r="AK7" s="8">
        <v>1869</v>
      </c>
      <c r="AL7" s="8">
        <v>1612</v>
      </c>
      <c r="AM7" s="8">
        <v>1768</v>
      </c>
      <c r="AN7" s="8">
        <v>2386</v>
      </c>
      <c r="AO7" s="8">
        <v>1884</v>
      </c>
      <c r="AP7" s="8">
        <v>1334</v>
      </c>
      <c r="AQ7" s="8">
        <v>1559</v>
      </c>
      <c r="AR7" s="7">
        <v>603</v>
      </c>
      <c r="AS7" s="7">
        <v>253</v>
      </c>
      <c r="AT7" s="7">
        <v>563</v>
      </c>
      <c r="AU7" s="7">
        <v>545</v>
      </c>
      <c r="AV7" s="7">
        <v>212</v>
      </c>
      <c r="AW7" s="7">
        <v>308</v>
      </c>
      <c r="AX7" s="7">
        <v>515</v>
      </c>
      <c r="AY7" s="7">
        <v>164</v>
      </c>
      <c r="AZ7" s="7">
        <v>50</v>
      </c>
      <c r="BA7" s="7">
        <v>151</v>
      </c>
      <c r="BB7" s="7">
        <v>650</v>
      </c>
      <c r="BC7" s="43">
        <f>144169/1000</f>
        <v>144.16900000000001</v>
      </c>
      <c r="BD7" s="43"/>
    </row>
    <row r="8" spans="1:56" x14ac:dyDescent="0.25">
      <c r="A8" s="12"/>
      <c r="B8" s="2"/>
      <c r="C8" s="2" t="s">
        <v>8</v>
      </c>
      <c r="D8" s="4">
        <v>695</v>
      </c>
      <c r="E8" s="4">
        <v>847</v>
      </c>
      <c r="F8" s="3">
        <v>1145</v>
      </c>
      <c r="G8" s="3">
        <v>1023</v>
      </c>
      <c r="H8" s="3">
        <v>1040</v>
      </c>
      <c r="I8" s="4">
        <v>937</v>
      </c>
      <c r="J8" s="3">
        <v>1014</v>
      </c>
      <c r="K8" s="4">
        <v>836</v>
      </c>
      <c r="L8" s="3">
        <v>1765</v>
      </c>
      <c r="M8" s="3">
        <v>1933</v>
      </c>
      <c r="N8" s="3">
        <v>1011</v>
      </c>
      <c r="O8" s="3">
        <v>1409</v>
      </c>
      <c r="P8" s="3">
        <v>1333</v>
      </c>
      <c r="Q8" s="4">
        <v>661</v>
      </c>
      <c r="R8" s="4">
        <v>269</v>
      </c>
      <c r="S8" s="4">
        <v>356</v>
      </c>
      <c r="T8" s="4">
        <v>54</v>
      </c>
      <c r="U8" s="4">
        <v>192</v>
      </c>
      <c r="V8" s="4">
        <v>141</v>
      </c>
      <c r="W8" s="4">
        <v>0</v>
      </c>
      <c r="X8" s="4">
        <v>42</v>
      </c>
      <c r="Y8" s="4">
        <v>138</v>
      </c>
      <c r="Z8" s="3">
        <v>1021</v>
      </c>
      <c r="AA8" s="4">
        <v>80</v>
      </c>
      <c r="AB8" s="4">
        <v>354</v>
      </c>
      <c r="AC8" s="4">
        <v>358</v>
      </c>
      <c r="AD8" s="4">
        <v>303</v>
      </c>
      <c r="AE8" s="4">
        <v>597</v>
      </c>
      <c r="AF8" s="4">
        <v>464</v>
      </c>
      <c r="AG8" s="4">
        <v>661</v>
      </c>
      <c r="AH8" s="4">
        <v>716</v>
      </c>
      <c r="AI8" s="4">
        <v>133</v>
      </c>
      <c r="AJ8" s="4">
        <v>110</v>
      </c>
      <c r="AK8" s="4">
        <v>5</v>
      </c>
      <c r="AL8" s="4">
        <v>152</v>
      </c>
      <c r="AM8" s="4">
        <v>101</v>
      </c>
      <c r="AN8" s="4">
        <v>0</v>
      </c>
      <c r="AO8" s="4">
        <v>0</v>
      </c>
      <c r="AP8" s="4">
        <v>23</v>
      </c>
      <c r="AQ8" s="4">
        <v>12</v>
      </c>
      <c r="AR8" s="4">
        <v>315</v>
      </c>
      <c r="AS8" s="4">
        <v>674</v>
      </c>
      <c r="AT8" s="4">
        <v>489</v>
      </c>
      <c r="AU8" s="4">
        <v>964</v>
      </c>
      <c r="AV8" s="3">
        <v>1557</v>
      </c>
      <c r="AW8" s="3">
        <v>1972</v>
      </c>
      <c r="AX8" s="3">
        <v>1300</v>
      </c>
      <c r="AY8" s="3">
        <v>2231</v>
      </c>
      <c r="AZ8" s="3">
        <v>2739</v>
      </c>
      <c r="BA8" s="3">
        <v>1990</v>
      </c>
      <c r="BB8" s="3">
        <v>2350</v>
      </c>
      <c r="BC8" s="42">
        <f>758328/1000</f>
        <v>758.32799999999997</v>
      </c>
      <c r="BD8" s="42"/>
    </row>
    <row r="9" spans="1:56" s="5" customFormat="1" x14ac:dyDescent="0.25">
      <c r="A9" s="14"/>
      <c r="B9" s="6"/>
      <c r="C9" s="6" t="s">
        <v>9</v>
      </c>
      <c r="D9" s="8">
        <v>1255</v>
      </c>
      <c r="E9" s="8">
        <v>1363</v>
      </c>
      <c r="F9" s="8">
        <v>1255</v>
      </c>
      <c r="G9" s="8">
        <v>1302</v>
      </c>
      <c r="H9" s="8">
        <v>1148</v>
      </c>
      <c r="I9" s="8">
        <v>1277</v>
      </c>
      <c r="J9" s="8">
        <v>1278</v>
      </c>
      <c r="K9" s="8">
        <v>1290</v>
      </c>
      <c r="L9" s="8">
        <v>1349</v>
      </c>
      <c r="M9" s="8">
        <v>1374</v>
      </c>
      <c r="N9" s="8">
        <v>1391</v>
      </c>
      <c r="O9" s="8">
        <v>1437</v>
      </c>
      <c r="P9" s="8">
        <v>1638</v>
      </c>
      <c r="Q9" s="8">
        <v>1790</v>
      </c>
      <c r="R9" s="8">
        <v>1885</v>
      </c>
      <c r="S9" s="8">
        <v>2056</v>
      </c>
      <c r="T9" s="8">
        <v>2107</v>
      </c>
      <c r="U9" s="8">
        <v>2233</v>
      </c>
      <c r="V9" s="8">
        <v>2456</v>
      </c>
      <c r="W9" s="8">
        <v>2591</v>
      </c>
      <c r="X9" s="8">
        <v>2601</v>
      </c>
      <c r="Y9" s="8">
        <v>2631</v>
      </c>
      <c r="Z9" s="8">
        <v>2603</v>
      </c>
      <c r="AA9" s="8">
        <v>2553</v>
      </c>
      <c r="AB9" s="8">
        <v>2754</v>
      </c>
      <c r="AC9" s="8">
        <v>3182</v>
      </c>
      <c r="AD9" s="8">
        <v>3485</v>
      </c>
      <c r="AE9" s="8">
        <v>3728</v>
      </c>
      <c r="AF9" s="8">
        <v>3774</v>
      </c>
      <c r="AG9" s="8">
        <v>3506</v>
      </c>
      <c r="AH9" s="8">
        <v>3321</v>
      </c>
      <c r="AI9" s="8">
        <v>3361</v>
      </c>
      <c r="AJ9" s="8">
        <v>3642</v>
      </c>
      <c r="AK9" s="8">
        <v>3829</v>
      </c>
      <c r="AL9" s="8">
        <v>3754</v>
      </c>
      <c r="AM9" s="8">
        <v>3759</v>
      </c>
      <c r="AN9" s="8">
        <v>3677</v>
      </c>
      <c r="AO9" s="8">
        <v>3551</v>
      </c>
      <c r="AP9" s="8">
        <v>3674</v>
      </c>
      <c r="AQ9" s="8">
        <v>4111</v>
      </c>
      <c r="AR9" s="8">
        <v>4025</v>
      </c>
      <c r="AS9" s="8">
        <v>3689</v>
      </c>
      <c r="AT9" s="8">
        <v>3585</v>
      </c>
      <c r="AU9" s="8">
        <v>3865</v>
      </c>
      <c r="AV9" s="8">
        <v>4160</v>
      </c>
      <c r="AW9" s="8">
        <v>4302</v>
      </c>
      <c r="AX9" s="8">
        <v>4423</v>
      </c>
      <c r="AY9" s="8">
        <v>4450</v>
      </c>
      <c r="AZ9" s="8">
        <v>4050</v>
      </c>
      <c r="BA9" s="8">
        <v>4250</v>
      </c>
      <c r="BB9" s="8">
        <v>4250</v>
      </c>
      <c r="BC9" s="43">
        <f>BC6+BC7-BC8</f>
        <v>1059.1780000000001</v>
      </c>
      <c r="BD9" s="43"/>
    </row>
    <row r="10" spans="1:56" x14ac:dyDescent="0.25">
      <c r="A10" s="12"/>
      <c r="B10" s="2" t="s">
        <v>11</v>
      </c>
      <c r="C10" s="2" t="s">
        <v>6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3">
        <v>17300</v>
      </c>
      <c r="AE10" s="3">
        <v>18020</v>
      </c>
      <c r="AF10" s="3">
        <v>23600</v>
      </c>
      <c r="AG10" s="3">
        <v>20340</v>
      </c>
      <c r="AH10" s="3">
        <v>15750</v>
      </c>
      <c r="AI10" s="3">
        <v>19300</v>
      </c>
      <c r="AJ10" s="3">
        <v>22500</v>
      </c>
      <c r="AK10" s="3">
        <v>24700</v>
      </c>
      <c r="AL10" s="3">
        <v>25900</v>
      </c>
      <c r="AM10" s="3">
        <v>24150</v>
      </c>
      <c r="AN10" s="3">
        <v>27300</v>
      </c>
      <c r="AO10" s="3">
        <v>32500</v>
      </c>
      <c r="AP10" s="3">
        <v>31300</v>
      </c>
      <c r="AQ10" s="3">
        <v>34700</v>
      </c>
      <c r="AR10" s="3">
        <v>39500</v>
      </c>
      <c r="AS10" s="3">
        <v>43500</v>
      </c>
      <c r="AT10" s="3">
        <v>52000</v>
      </c>
      <c r="AU10" s="3">
        <v>51000</v>
      </c>
      <c r="AV10" s="3">
        <v>53000</v>
      </c>
      <c r="AW10" s="3">
        <v>57000</v>
      </c>
      <c r="AX10" s="3">
        <v>59000</v>
      </c>
      <c r="AY10" s="3">
        <v>61000</v>
      </c>
      <c r="AZ10" s="3">
        <v>57800</v>
      </c>
      <c r="BA10" s="3">
        <v>69000</v>
      </c>
      <c r="BB10" s="3">
        <v>72000</v>
      </c>
      <c r="BC10" s="42">
        <f>47815447/1000</f>
        <v>47815.447</v>
      </c>
      <c r="BD10" s="42">
        <f>65848857/1000</f>
        <v>65848.857000000004</v>
      </c>
    </row>
    <row r="11" spans="1:56" s="5" customFormat="1" x14ac:dyDescent="0.25">
      <c r="A11" s="14"/>
      <c r="B11" s="6"/>
      <c r="C11" s="6" t="s">
        <v>7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441</v>
      </c>
      <c r="AF11" s="7">
        <v>62</v>
      </c>
      <c r="AG11" s="7">
        <v>63</v>
      </c>
      <c r="AH11" s="7">
        <v>126</v>
      </c>
      <c r="AI11" s="7">
        <v>279</v>
      </c>
      <c r="AJ11" s="7">
        <v>375</v>
      </c>
      <c r="AK11" s="7">
        <v>190</v>
      </c>
      <c r="AL11" s="8">
        <v>1200</v>
      </c>
      <c r="AM11" s="8">
        <v>1050</v>
      </c>
      <c r="AN11" s="7">
        <v>940</v>
      </c>
      <c r="AO11" s="8">
        <v>1591</v>
      </c>
      <c r="AP11" s="7">
        <v>730</v>
      </c>
      <c r="AQ11" s="7">
        <v>674</v>
      </c>
      <c r="AR11" s="7">
        <v>733</v>
      </c>
      <c r="AS11" s="8">
        <v>1112</v>
      </c>
      <c r="AT11" s="8">
        <v>1321</v>
      </c>
      <c r="AU11" s="7">
        <v>328</v>
      </c>
      <c r="AV11" s="7">
        <v>475</v>
      </c>
      <c r="AW11" s="7">
        <v>63</v>
      </c>
      <c r="AX11" s="7">
        <v>53</v>
      </c>
      <c r="AY11" s="7">
        <v>150</v>
      </c>
      <c r="AZ11" s="7">
        <v>44</v>
      </c>
      <c r="BA11" s="7">
        <v>174</v>
      </c>
      <c r="BB11" s="7">
        <v>175</v>
      </c>
      <c r="BC11" s="43">
        <f>40981/1000</f>
        <v>40.981000000000002</v>
      </c>
      <c r="BD11" s="43"/>
    </row>
    <row r="12" spans="1:56" x14ac:dyDescent="0.25">
      <c r="A12" s="12"/>
      <c r="B12" s="2"/>
      <c r="C12" s="2" t="s">
        <v>8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3">
        <v>2711</v>
      </c>
      <c r="AF12" s="3">
        <v>4838</v>
      </c>
      <c r="AG12" s="3">
        <v>3933</v>
      </c>
      <c r="AH12" s="3">
        <v>2478</v>
      </c>
      <c r="AI12" s="3">
        <v>3872</v>
      </c>
      <c r="AJ12" s="3">
        <v>4056</v>
      </c>
      <c r="AK12" s="3">
        <v>5434</v>
      </c>
      <c r="AL12" s="3">
        <v>3566</v>
      </c>
      <c r="AM12" s="3">
        <v>3458</v>
      </c>
      <c r="AN12" s="3">
        <v>8424</v>
      </c>
      <c r="AO12" s="3">
        <v>8760</v>
      </c>
      <c r="AP12" s="3">
        <v>8931</v>
      </c>
      <c r="AQ12" s="3">
        <v>11101</v>
      </c>
      <c r="AR12" s="3">
        <v>15469</v>
      </c>
      <c r="AS12" s="3">
        <v>14504</v>
      </c>
      <c r="AT12" s="3">
        <v>19629</v>
      </c>
      <c r="AU12" s="3">
        <v>20417</v>
      </c>
      <c r="AV12" s="3">
        <v>20137</v>
      </c>
      <c r="AW12" s="3">
        <v>25911</v>
      </c>
      <c r="AX12" s="3">
        <v>23485</v>
      </c>
      <c r="AY12" s="3">
        <v>25364</v>
      </c>
      <c r="AZ12" s="3">
        <v>29987</v>
      </c>
      <c r="BA12" s="3">
        <v>28578</v>
      </c>
      <c r="BB12" s="3">
        <v>32750</v>
      </c>
      <c r="BC12" s="42">
        <f>32985562/1000</f>
        <v>32985.561999999998</v>
      </c>
      <c r="BD12" s="42"/>
    </row>
    <row r="13" spans="1:56" s="5" customFormat="1" x14ac:dyDescent="0.25">
      <c r="A13" s="14"/>
      <c r="B13" s="6"/>
      <c r="C13" s="6" t="s">
        <v>9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8">
        <v>14016</v>
      </c>
      <c r="AE13" s="8">
        <v>14175</v>
      </c>
      <c r="AF13" s="8">
        <v>15942</v>
      </c>
      <c r="AG13" s="8">
        <v>17104</v>
      </c>
      <c r="AH13" s="8">
        <v>15406</v>
      </c>
      <c r="AI13" s="8">
        <v>16201</v>
      </c>
      <c r="AJ13" s="8">
        <v>16977</v>
      </c>
      <c r="AK13" s="8">
        <v>20046</v>
      </c>
      <c r="AL13" s="8">
        <v>21838</v>
      </c>
      <c r="AM13" s="8">
        <v>23239</v>
      </c>
      <c r="AN13" s="8">
        <v>21617</v>
      </c>
      <c r="AO13" s="8">
        <v>21692</v>
      </c>
      <c r="AP13" s="8">
        <v>22907</v>
      </c>
      <c r="AQ13" s="8">
        <v>22941</v>
      </c>
      <c r="AR13" s="8">
        <v>24734</v>
      </c>
      <c r="AS13" s="8">
        <v>26963</v>
      </c>
      <c r="AT13" s="8">
        <v>29649</v>
      </c>
      <c r="AU13" s="8">
        <v>32040</v>
      </c>
      <c r="AV13" s="8">
        <v>32187</v>
      </c>
      <c r="AW13" s="8">
        <v>31169</v>
      </c>
      <c r="AX13" s="8">
        <v>34020</v>
      </c>
      <c r="AY13" s="8">
        <v>35077</v>
      </c>
      <c r="AZ13" s="8">
        <v>34718</v>
      </c>
      <c r="BA13" s="8">
        <v>36570</v>
      </c>
      <c r="BB13" s="8">
        <v>38600</v>
      </c>
      <c r="BC13" s="43">
        <f>BC10+BC11-BC12</f>
        <v>14870.866000000002</v>
      </c>
      <c r="BD13" s="43"/>
    </row>
    <row r="14" spans="1:56" x14ac:dyDescent="0.25">
      <c r="A14" s="12"/>
      <c r="B14" s="2" t="s">
        <v>12</v>
      </c>
      <c r="C14" s="2" t="s">
        <v>6</v>
      </c>
      <c r="D14" s="3">
        <v>3667</v>
      </c>
      <c r="E14" s="3">
        <v>3779</v>
      </c>
      <c r="F14" s="3">
        <v>3903</v>
      </c>
      <c r="G14" s="3">
        <v>4315</v>
      </c>
      <c r="H14" s="3">
        <v>5154</v>
      </c>
      <c r="I14" s="3">
        <v>3945</v>
      </c>
      <c r="J14" s="3">
        <v>4619</v>
      </c>
      <c r="K14" s="3">
        <v>4523</v>
      </c>
      <c r="L14" s="3">
        <v>4348</v>
      </c>
      <c r="M14" s="3">
        <v>4521</v>
      </c>
      <c r="N14" s="3">
        <v>3668</v>
      </c>
      <c r="O14" s="3">
        <v>4170</v>
      </c>
      <c r="P14" s="3">
        <v>4510</v>
      </c>
      <c r="Q14" s="3">
        <v>4408</v>
      </c>
      <c r="R14" s="3">
        <v>4760</v>
      </c>
      <c r="S14" s="3">
        <v>5780</v>
      </c>
      <c r="T14" s="3">
        <v>5440</v>
      </c>
      <c r="U14" s="3">
        <v>5087</v>
      </c>
      <c r="V14" s="3">
        <v>5163</v>
      </c>
      <c r="W14" s="3">
        <v>6554</v>
      </c>
      <c r="X14" s="3">
        <v>5874</v>
      </c>
      <c r="Y14" s="3">
        <v>6225</v>
      </c>
      <c r="Z14" s="3">
        <v>5304</v>
      </c>
      <c r="AA14" s="3">
        <v>6120</v>
      </c>
      <c r="AB14" s="3">
        <v>5960</v>
      </c>
      <c r="AC14" s="3">
        <v>6675</v>
      </c>
      <c r="AD14" s="3">
        <v>7193</v>
      </c>
      <c r="AE14" s="3">
        <v>8024</v>
      </c>
      <c r="AF14" s="3">
        <v>7540</v>
      </c>
      <c r="AG14" s="3">
        <v>5420</v>
      </c>
      <c r="AH14" s="3">
        <v>6800</v>
      </c>
      <c r="AI14" s="3">
        <v>6868</v>
      </c>
      <c r="AJ14" s="3">
        <v>6733</v>
      </c>
      <c r="AK14" s="3">
        <v>7150</v>
      </c>
      <c r="AL14" s="3">
        <v>7640</v>
      </c>
      <c r="AM14" s="3">
        <v>6818</v>
      </c>
      <c r="AN14" s="3">
        <v>6476</v>
      </c>
      <c r="AO14" s="3">
        <v>5754</v>
      </c>
      <c r="AP14" s="3">
        <v>7876</v>
      </c>
      <c r="AQ14" s="3">
        <v>7768</v>
      </c>
      <c r="AR14" s="3">
        <v>6933</v>
      </c>
      <c r="AS14" s="3">
        <v>7067</v>
      </c>
      <c r="AT14" s="3">
        <v>7050</v>
      </c>
      <c r="AU14" s="3">
        <v>8709</v>
      </c>
      <c r="AV14" s="3">
        <v>8996</v>
      </c>
      <c r="AW14" s="3">
        <v>7874</v>
      </c>
      <c r="AX14" s="3">
        <v>7695</v>
      </c>
      <c r="AY14" s="3">
        <v>8199</v>
      </c>
      <c r="AZ14" s="3">
        <v>8570</v>
      </c>
      <c r="BA14" s="3">
        <v>7657</v>
      </c>
      <c r="BB14" s="3">
        <v>8908</v>
      </c>
      <c r="BC14" s="42">
        <f>13476994/1000</f>
        <v>13476.994000000001</v>
      </c>
      <c r="BD14" s="42">
        <f>11549881/1000</f>
        <v>11549.880999999999</v>
      </c>
    </row>
    <row r="15" spans="1:56" s="5" customFormat="1" x14ac:dyDescent="0.25">
      <c r="A15" s="14"/>
      <c r="B15" s="6"/>
      <c r="C15" s="6" t="s">
        <v>7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1</v>
      </c>
      <c r="O15" s="7">
        <v>9</v>
      </c>
      <c r="P15" s="7">
        <v>11</v>
      </c>
      <c r="Q15" s="7">
        <v>20</v>
      </c>
      <c r="R15" s="7">
        <v>40</v>
      </c>
      <c r="S15" s="7">
        <v>0</v>
      </c>
      <c r="T15" s="7">
        <v>0</v>
      </c>
      <c r="U15" s="7">
        <v>78</v>
      </c>
      <c r="V15" s="7">
        <v>736</v>
      </c>
      <c r="W15" s="7">
        <v>242</v>
      </c>
      <c r="X15" s="7">
        <v>0</v>
      </c>
      <c r="Y15" s="7">
        <v>180</v>
      </c>
      <c r="Z15" s="7">
        <v>340</v>
      </c>
      <c r="AA15" s="7">
        <v>41</v>
      </c>
      <c r="AB15" s="7">
        <v>700</v>
      </c>
      <c r="AC15" s="8">
        <v>1300</v>
      </c>
      <c r="AD15" s="7">
        <v>50</v>
      </c>
      <c r="AE15" s="7">
        <v>64</v>
      </c>
      <c r="AF15" s="7">
        <v>180</v>
      </c>
      <c r="AG15" s="7">
        <v>405</v>
      </c>
      <c r="AH15" s="7">
        <v>965</v>
      </c>
      <c r="AI15" s="7">
        <v>450</v>
      </c>
      <c r="AJ15" s="7">
        <v>716</v>
      </c>
      <c r="AK15" s="7">
        <v>980</v>
      </c>
      <c r="AL15" s="7">
        <v>895</v>
      </c>
      <c r="AM15" s="7">
        <v>770</v>
      </c>
      <c r="AN15" s="7">
        <v>624</v>
      </c>
      <c r="AO15" s="8">
        <v>1372</v>
      </c>
      <c r="AP15" s="7">
        <v>854</v>
      </c>
      <c r="AQ15" s="7">
        <v>538</v>
      </c>
      <c r="AR15" s="7">
        <v>663</v>
      </c>
      <c r="AS15" s="7">
        <v>579</v>
      </c>
      <c r="AT15" s="8">
        <v>1226</v>
      </c>
      <c r="AU15" s="7">
        <v>881</v>
      </c>
      <c r="AV15" s="7">
        <v>510</v>
      </c>
      <c r="AW15" s="7">
        <v>750</v>
      </c>
      <c r="AX15" s="7">
        <v>732</v>
      </c>
      <c r="AY15" s="7">
        <v>422</v>
      </c>
      <c r="AZ15" s="7">
        <v>675</v>
      </c>
      <c r="BA15" s="7">
        <v>725</v>
      </c>
      <c r="BB15" s="7">
        <v>500</v>
      </c>
      <c r="BC15" s="43">
        <f>580594/1000</f>
        <v>580.59400000000005</v>
      </c>
      <c r="BD15" s="43"/>
    </row>
    <row r="16" spans="1:56" x14ac:dyDescent="0.25">
      <c r="A16" s="12"/>
      <c r="B16" s="2"/>
      <c r="C16" s="2" t="s">
        <v>8</v>
      </c>
      <c r="D16" s="4">
        <v>151</v>
      </c>
      <c r="E16" s="4">
        <v>44</v>
      </c>
      <c r="F16" s="4">
        <v>0</v>
      </c>
      <c r="G16" s="4">
        <v>12</v>
      </c>
      <c r="H16" s="4">
        <v>237</v>
      </c>
      <c r="I16" s="4">
        <v>289</v>
      </c>
      <c r="J16" s="4">
        <v>32</v>
      </c>
      <c r="K16" s="4">
        <v>158</v>
      </c>
      <c r="L16" s="4">
        <v>70</v>
      </c>
      <c r="M16" s="4">
        <v>95</v>
      </c>
      <c r="N16" s="4">
        <v>143</v>
      </c>
      <c r="O16" s="4">
        <v>20</v>
      </c>
      <c r="P16" s="4">
        <v>49</v>
      </c>
      <c r="Q16" s="4">
        <v>30</v>
      </c>
      <c r="R16" s="4">
        <v>3</v>
      </c>
      <c r="S16" s="4">
        <v>182</v>
      </c>
      <c r="T16" s="4">
        <v>388</v>
      </c>
      <c r="U16" s="4">
        <v>65</v>
      </c>
      <c r="V16" s="4">
        <v>0</v>
      </c>
      <c r="W16" s="4">
        <v>0</v>
      </c>
      <c r="X16" s="4">
        <v>50</v>
      </c>
      <c r="Y16" s="4">
        <v>14</v>
      </c>
      <c r="Z16" s="4">
        <v>7</v>
      </c>
      <c r="AA16" s="4">
        <v>0</v>
      </c>
      <c r="AB16" s="4">
        <v>0</v>
      </c>
      <c r="AC16" s="4">
        <v>0</v>
      </c>
      <c r="AD16" s="4">
        <v>0</v>
      </c>
      <c r="AE16" s="4">
        <v>20</v>
      </c>
      <c r="AF16" s="4">
        <v>5</v>
      </c>
      <c r="AG16" s="4">
        <v>0</v>
      </c>
      <c r="AH16" s="4">
        <v>0</v>
      </c>
      <c r="AI16" s="4">
        <v>0</v>
      </c>
      <c r="AJ16" s="4">
        <v>0</v>
      </c>
      <c r="AK16" s="4">
        <v>0</v>
      </c>
      <c r="AL16" s="4">
        <v>11</v>
      </c>
      <c r="AM16" s="4">
        <v>8</v>
      </c>
      <c r="AN16" s="4">
        <v>10</v>
      </c>
      <c r="AO16" s="4">
        <v>5</v>
      </c>
      <c r="AP16" s="4">
        <v>46</v>
      </c>
      <c r="AQ16" s="4">
        <v>58</v>
      </c>
      <c r="AR16" s="4">
        <v>22</v>
      </c>
      <c r="AS16" s="4">
        <v>25</v>
      </c>
      <c r="AT16" s="4">
        <v>19</v>
      </c>
      <c r="AU16" s="4">
        <v>79</v>
      </c>
      <c r="AV16" s="4">
        <v>282</v>
      </c>
      <c r="AW16" s="4">
        <v>274</v>
      </c>
      <c r="AX16" s="4">
        <v>242</v>
      </c>
      <c r="AY16" s="4">
        <v>550</v>
      </c>
      <c r="AZ16" s="4">
        <v>569</v>
      </c>
      <c r="BA16" s="4">
        <v>445</v>
      </c>
      <c r="BB16" s="4">
        <v>600</v>
      </c>
      <c r="BC16" s="42">
        <f>1291598/1000</f>
        <v>1291.598</v>
      </c>
      <c r="BD16" s="42"/>
    </row>
    <row r="17" spans="1:56" s="5" customFormat="1" x14ac:dyDescent="0.25">
      <c r="A17" s="14"/>
      <c r="B17" s="6"/>
      <c r="C17" s="6" t="s">
        <v>9</v>
      </c>
      <c r="D17" s="8">
        <v>3516</v>
      </c>
      <c r="E17" s="8">
        <v>3735</v>
      </c>
      <c r="F17" s="8">
        <v>3903</v>
      </c>
      <c r="G17" s="8">
        <v>4303</v>
      </c>
      <c r="H17" s="8">
        <v>4917</v>
      </c>
      <c r="I17" s="8">
        <v>3656</v>
      </c>
      <c r="J17" s="8">
        <v>4587</v>
      </c>
      <c r="K17" s="8">
        <v>4365</v>
      </c>
      <c r="L17" s="8">
        <v>4278</v>
      </c>
      <c r="M17" s="8">
        <v>3686</v>
      </c>
      <c r="N17" s="8">
        <v>4546</v>
      </c>
      <c r="O17" s="8">
        <v>3770</v>
      </c>
      <c r="P17" s="8">
        <v>4701</v>
      </c>
      <c r="Q17" s="8">
        <v>4472</v>
      </c>
      <c r="R17" s="8">
        <v>4455</v>
      </c>
      <c r="S17" s="8">
        <v>4972</v>
      </c>
      <c r="T17" s="8">
        <v>5325</v>
      </c>
      <c r="U17" s="8">
        <v>5591</v>
      </c>
      <c r="V17" s="8">
        <v>5768</v>
      </c>
      <c r="W17" s="8">
        <v>6120</v>
      </c>
      <c r="X17" s="8">
        <v>6256</v>
      </c>
      <c r="Y17" s="8">
        <v>6392</v>
      </c>
      <c r="Z17" s="8">
        <v>6181</v>
      </c>
      <c r="AA17" s="8">
        <v>6069</v>
      </c>
      <c r="AB17" s="8">
        <v>6212</v>
      </c>
      <c r="AC17" s="8">
        <v>6675</v>
      </c>
      <c r="AD17" s="8">
        <v>7058</v>
      </c>
      <c r="AE17" s="8">
        <v>7100</v>
      </c>
      <c r="AF17" s="8">
        <v>7475</v>
      </c>
      <c r="AG17" s="8">
        <v>7643</v>
      </c>
      <c r="AH17" s="8">
        <v>7675</v>
      </c>
      <c r="AI17" s="8">
        <v>7700</v>
      </c>
      <c r="AJ17" s="8">
        <v>7750</v>
      </c>
      <c r="AK17" s="8">
        <v>7765</v>
      </c>
      <c r="AL17" s="8">
        <v>7780</v>
      </c>
      <c r="AM17" s="8">
        <v>7815</v>
      </c>
      <c r="AN17" s="8">
        <v>7850</v>
      </c>
      <c r="AO17" s="8">
        <v>7800</v>
      </c>
      <c r="AP17" s="8">
        <v>8000</v>
      </c>
      <c r="AQ17" s="8">
        <v>8025</v>
      </c>
      <c r="AR17" s="8">
        <v>8025</v>
      </c>
      <c r="AS17" s="8">
        <v>8050</v>
      </c>
      <c r="AT17" s="8">
        <v>8150</v>
      </c>
      <c r="AU17" s="8">
        <v>8700</v>
      </c>
      <c r="AV17" s="8">
        <v>9000</v>
      </c>
      <c r="AW17" s="8">
        <v>8800</v>
      </c>
      <c r="AX17" s="8">
        <v>8400</v>
      </c>
      <c r="AY17" s="8">
        <v>8350</v>
      </c>
      <c r="AZ17" s="8">
        <v>8400</v>
      </c>
      <c r="BA17" s="8">
        <v>8400</v>
      </c>
      <c r="BB17" s="8">
        <v>8400</v>
      </c>
      <c r="BC17" s="43">
        <f>BC14+BC15-BC16</f>
        <v>12765.99</v>
      </c>
      <c r="BD17" s="43"/>
    </row>
    <row r="18" spans="1:56" x14ac:dyDescent="0.25">
      <c r="A18" s="12"/>
      <c r="B18" s="2" t="s">
        <v>13</v>
      </c>
      <c r="C18" s="2" t="s">
        <v>6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170</v>
      </c>
      <c r="O18" s="4">
        <v>220</v>
      </c>
      <c r="P18" s="4">
        <v>249</v>
      </c>
      <c r="Q18" s="4">
        <v>243</v>
      </c>
      <c r="R18" s="4">
        <v>202</v>
      </c>
      <c r="S18" s="4">
        <v>277</v>
      </c>
      <c r="T18" s="4">
        <v>435</v>
      </c>
      <c r="U18" s="4">
        <v>228</v>
      </c>
      <c r="V18" s="4">
        <v>142</v>
      </c>
      <c r="W18" s="4">
        <v>182</v>
      </c>
      <c r="X18" s="4">
        <v>212</v>
      </c>
      <c r="Y18" s="4">
        <v>204</v>
      </c>
      <c r="Z18" s="4">
        <v>240</v>
      </c>
      <c r="AA18" s="4">
        <v>330</v>
      </c>
      <c r="AB18" s="4">
        <v>310</v>
      </c>
      <c r="AC18" s="4">
        <v>400</v>
      </c>
      <c r="AD18" s="4">
        <v>470</v>
      </c>
      <c r="AE18" s="4">
        <v>350</v>
      </c>
      <c r="AF18" s="4">
        <v>260</v>
      </c>
      <c r="AG18" s="4">
        <v>340</v>
      </c>
      <c r="AH18" s="4">
        <v>295</v>
      </c>
      <c r="AI18" s="4">
        <v>290</v>
      </c>
      <c r="AJ18" s="4">
        <v>280</v>
      </c>
      <c r="AK18" s="4">
        <v>400</v>
      </c>
      <c r="AL18" s="4">
        <v>350</v>
      </c>
      <c r="AM18" s="4">
        <v>350</v>
      </c>
      <c r="AN18" s="4">
        <v>435</v>
      </c>
      <c r="AO18" s="4">
        <v>547</v>
      </c>
      <c r="AP18" s="4">
        <v>540</v>
      </c>
      <c r="AQ18" s="4">
        <v>778</v>
      </c>
      <c r="AR18" s="4">
        <v>793</v>
      </c>
      <c r="AS18" s="4">
        <v>773</v>
      </c>
      <c r="AT18" s="4">
        <v>787</v>
      </c>
      <c r="AU18" s="3">
        <v>1805</v>
      </c>
      <c r="AV18" s="3">
        <v>2059</v>
      </c>
      <c r="AW18" s="3">
        <v>1523</v>
      </c>
      <c r="AX18" s="3">
        <v>1605</v>
      </c>
      <c r="AY18" s="3">
        <v>1441</v>
      </c>
      <c r="AZ18" s="3">
        <v>2004</v>
      </c>
      <c r="BA18" s="3">
        <v>1854</v>
      </c>
      <c r="BB18" s="3">
        <v>1709</v>
      </c>
      <c r="BC18" s="42">
        <f>1931135/1000</f>
        <v>1931.135</v>
      </c>
      <c r="BD18" s="42">
        <f>2016873/1000</f>
        <v>2016.873</v>
      </c>
    </row>
    <row r="19" spans="1:56" s="5" customFormat="1" x14ac:dyDescent="0.25">
      <c r="A19" s="14"/>
      <c r="B19" s="6"/>
      <c r="C19" s="6" t="s">
        <v>7</v>
      </c>
      <c r="D19" s="7">
        <v>6</v>
      </c>
      <c r="E19" s="7">
        <v>10</v>
      </c>
      <c r="F19" s="7">
        <v>17</v>
      </c>
      <c r="G19" s="7">
        <v>13</v>
      </c>
      <c r="H19" s="7">
        <v>11</v>
      </c>
      <c r="I19" s="7">
        <v>14</v>
      </c>
      <c r="J19" s="7">
        <v>11</v>
      </c>
      <c r="K19" s="7">
        <v>23</v>
      </c>
      <c r="L19" s="7">
        <v>18</v>
      </c>
      <c r="M19" s="7">
        <v>12</v>
      </c>
      <c r="N19" s="7">
        <v>10</v>
      </c>
      <c r="O19" s="7">
        <v>16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14</v>
      </c>
      <c r="AK19" s="7">
        <v>5</v>
      </c>
      <c r="AL19" s="7">
        <v>3</v>
      </c>
      <c r="AM19" s="7">
        <v>0</v>
      </c>
      <c r="AN19" s="7">
        <v>0</v>
      </c>
      <c r="AO19" s="7">
        <v>6</v>
      </c>
      <c r="AP19" s="7">
        <v>20</v>
      </c>
      <c r="AQ19" s="7">
        <v>258</v>
      </c>
      <c r="AR19" s="7">
        <v>141</v>
      </c>
      <c r="AS19" s="7">
        <v>4</v>
      </c>
      <c r="AT19" s="7">
        <v>0</v>
      </c>
      <c r="AU19" s="7">
        <v>9</v>
      </c>
      <c r="AV19" s="7">
        <v>82</v>
      </c>
      <c r="AW19" s="7">
        <v>12</v>
      </c>
      <c r="AX19" s="7">
        <v>1</v>
      </c>
      <c r="AY19" s="7">
        <v>12</v>
      </c>
      <c r="AZ19" s="7">
        <v>2</v>
      </c>
      <c r="BA19" s="7">
        <v>4</v>
      </c>
      <c r="BB19" s="7">
        <v>5</v>
      </c>
      <c r="BC19" s="43">
        <f>225/1000</f>
        <v>0.22500000000000001</v>
      </c>
      <c r="BD19" s="43"/>
    </row>
    <row r="20" spans="1:56" x14ac:dyDescent="0.25">
      <c r="A20" s="12"/>
      <c r="B20" s="2"/>
      <c r="C20" s="2" t="s">
        <v>8</v>
      </c>
      <c r="D20" s="4">
        <v>0</v>
      </c>
      <c r="E20" s="4">
        <v>1</v>
      </c>
      <c r="F20" s="4">
        <v>10</v>
      </c>
      <c r="G20" s="4">
        <v>8</v>
      </c>
      <c r="H20" s="4">
        <v>6</v>
      </c>
      <c r="I20" s="4">
        <v>3</v>
      </c>
      <c r="J20" s="4">
        <v>2</v>
      </c>
      <c r="K20" s="4">
        <v>18</v>
      </c>
      <c r="L20" s="4">
        <v>12</v>
      </c>
      <c r="M20" s="4">
        <v>0</v>
      </c>
      <c r="N20" s="4">
        <v>8</v>
      </c>
      <c r="O20" s="4">
        <v>23</v>
      </c>
      <c r="P20" s="4">
        <v>10</v>
      </c>
      <c r="Q20" s="4">
        <v>44</v>
      </c>
      <c r="R20" s="4">
        <v>0</v>
      </c>
      <c r="S20" s="4">
        <v>0</v>
      </c>
      <c r="T20" s="4">
        <v>50</v>
      </c>
      <c r="U20" s="4">
        <v>0</v>
      </c>
      <c r="V20" s="4">
        <v>0</v>
      </c>
      <c r="W20" s="4">
        <v>0</v>
      </c>
      <c r="X20" s="4">
        <v>11</v>
      </c>
      <c r="Y20" s="4">
        <v>27</v>
      </c>
      <c r="Z20" s="4">
        <v>40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4">
        <v>0</v>
      </c>
      <c r="AG20" s="4">
        <v>0</v>
      </c>
      <c r="AH20" s="4">
        <v>0</v>
      </c>
      <c r="AI20" s="4">
        <v>0</v>
      </c>
      <c r="AJ20" s="4">
        <v>2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11</v>
      </c>
      <c r="AT20" s="4">
        <v>64</v>
      </c>
      <c r="AU20" s="4">
        <v>371</v>
      </c>
      <c r="AV20" s="4">
        <v>24</v>
      </c>
      <c r="AW20" s="4">
        <v>0</v>
      </c>
      <c r="AX20" s="4">
        <v>115</v>
      </c>
      <c r="AY20" s="4">
        <v>116</v>
      </c>
      <c r="AZ20" s="4">
        <v>0</v>
      </c>
      <c r="BA20" s="4">
        <v>0</v>
      </c>
      <c r="BB20" s="4">
        <v>0</v>
      </c>
      <c r="BC20" s="42">
        <f>444/1000</f>
        <v>0.44400000000000001</v>
      </c>
      <c r="BD20" s="42"/>
    </row>
    <row r="21" spans="1:56" s="5" customFormat="1" x14ac:dyDescent="0.25">
      <c r="A21" s="14"/>
      <c r="B21" s="6"/>
      <c r="C21" s="6" t="s">
        <v>9</v>
      </c>
      <c r="D21" s="7">
        <v>6</v>
      </c>
      <c r="E21" s="7">
        <v>9</v>
      </c>
      <c r="F21" s="7">
        <v>7</v>
      </c>
      <c r="G21" s="7">
        <v>5</v>
      </c>
      <c r="H21" s="7">
        <v>5</v>
      </c>
      <c r="I21" s="7">
        <v>11</v>
      </c>
      <c r="J21" s="7">
        <v>9</v>
      </c>
      <c r="K21" s="7">
        <v>5</v>
      </c>
      <c r="L21" s="7">
        <v>6</v>
      </c>
      <c r="M21" s="7">
        <v>12</v>
      </c>
      <c r="N21" s="7">
        <v>172</v>
      </c>
      <c r="O21" s="7">
        <v>213</v>
      </c>
      <c r="P21" s="7">
        <v>239</v>
      </c>
      <c r="Q21" s="7">
        <v>199</v>
      </c>
      <c r="R21" s="7">
        <v>202</v>
      </c>
      <c r="S21" s="7">
        <v>277</v>
      </c>
      <c r="T21" s="7">
        <v>385</v>
      </c>
      <c r="U21" s="7">
        <v>228</v>
      </c>
      <c r="V21" s="7">
        <v>142</v>
      </c>
      <c r="W21" s="7">
        <v>182</v>
      </c>
      <c r="X21" s="7">
        <v>201</v>
      </c>
      <c r="Y21" s="7">
        <v>177</v>
      </c>
      <c r="Z21" s="7">
        <v>200</v>
      </c>
      <c r="AA21" s="7">
        <v>330</v>
      </c>
      <c r="AB21" s="7">
        <v>310</v>
      </c>
      <c r="AC21" s="7">
        <v>400</v>
      </c>
      <c r="AD21" s="7">
        <v>470</v>
      </c>
      <c r="AE21" s="7">
        <v>350</v>
      </c>
      <c r="AF21" s="7">
        <v>260</v>
      </c>
      <c r="AG21" s="7">
        <v>340</v>
      </c>
      <c r="AH21" s="7">
        <v>295</v>
      </c>
      <c r="AI21" s="7">
        <v>290</v>
      </c>
      <c r="AJ21" s="7">
        <v>292</v>
      </c>
      <c r="AK21" s="7">
        <v>405</v>
      </c>
      <c r="AL21" s="7">
        <v>353</v>
      </c>
      <c r="AM21" s="7">
        <v>350</v>
      </c>
      <c r="AN21" s="7">
        <v>435</v>
      </c>
      <c r="AO21" s="7">
        <v>553</v>
      </c>
      <c r="AP21" s="7">
        <v>560</v>
      </c>
      <c r="AQ21" s="8">
        <v>1000</v>
      </c>
      <c r="AR21" s="7">
        <v>950</v>
      </c>
      <c r="AS21" s="7">
        <v>750</v>
      </c>
      <c r="AT21" s="7">
        <v>750</v>
      </c>
      <c r="AU21" s="8">
        <v>1275</v>
      </c>
      <c r="AV21" s="8">
        <v>2075</v>
      </c>
      <c r="AW21" s="8">
        <v>1675</v>
      </c>
      <c r="AX21" s="8">
        <v>1475</v>
      </c>
      <c r="AY21" s="8">
        <v>1375</v>
      </c>
      <c r="AZ21" s="8">
        <v>1875</v>
      </c>
      <c r="BA21" s="8">
        <v>1875</v>
      </c>
      <c r="BB21" s="8">
        <v>1775</v>
      </c>
      <c r="BC21" s="43">
        <f>BC18+BC19-BC20</f>
        <v>1930.9159999999999</v>
      </c>
      <c r="BD21" s="43"/>
    </row>
    <row r="22" spans="1:56" s="5" customFormat="1" x14ac:dyDescent="0.25">
      <c r="A22" s="12"/>
      <c r="B22" s="2" t="s">
        <v>14</v>
      </c>
      <c r="C22" s="2" t="s">
        <v>42</v>
      </c>
      <c r="D22" s="3">
        <f>59377392/1000</f>
        <v>59377.392</v>
      </c>
      <c r="E22" s="3">
        <f>62534512/1000</f>
        <v>62534.512000000002</v>
      </c>
      <c r="F22" s="3">
        <f>63722896/1000</f>
        <v>63722.896000000001</v>
      </c>
      <c r="G22" s="3">
        <f>66368976/1000</f>
        <v>66368.975999999995</v>
      </c>
      <c r="H22" s="3">
        <f>75852864/1000</f>
        <v>75852.864000000001</v>
      </c>
      <c r="I22" s="3">
        <f>75787520/1000</f>
        <v>75787.520000000004</v>
      </c>
      <c r="J22" s="3">
        <f>77086528/1000</f>
        <v>77086.528000000006</v>
      </c>
      <c r="K22" s="3">
        <f>76610496/1000</f>
        <v>76610.495999999999</v>
      </c>
      <c r="L22" s="3">
        <f>75247088/1000</f>
        <v>75247.088000000003</v>
      </c>
      <c r="M22" s="3">
        <f>79757944/1000</f>
        <v>79757.944000000003</v>
      </c>
      <c r="N22" s="3">
        <f>80380400/1000</f>
        <v>80380.399999999994</v>
      </c>
      <c r="O22" s="3">
        <f>85106224/1000</f>
        <v>85106.224000000002</v>
      </c>
      <c r="P22" s="3">
        <f>91994032/1000</f>
        <v>91994.032000000007</v>
      </c>
      <c r="Q22" s="3">
        <f>95623680/1000</f>
        <v>95623.679999999993</v>
      </c>
      <c r="R22" s="3">
        <f>91524560/1000</f>
        <v>91524.56</v>
      </c>
      <c r="S22" s="3">
        <f>103173456/1000</f>
        <v>103173.45600000001</v>
      </c>
      <c r="T22" s="3">
        <f>120081696/1000</f>
        <v>120081.696</v>
      </c>
      <c r="U22" s="3">
        <f>129144944/1000</f>
        <v>129144.944</v>
      </c>
      <c r="V22" s="3">
        <f>138898880/1000</f>
        <v>138898.88</v>
      </c>
      <c r="W22" s="3">
        <f>148650560/1000</f>
        <v>148650.56</v>
      </c>
      <c r="X22" s="3">
        <f>155924112/1000</f>
        <v>155924.11199999999</v>
      </c>
      <c r="Y22" s="3">
        <f>186646608/1000</f>
        <v>186646.60800000001</v>
      </c>
      <c r="Z22" s="3">
        <f>216036960/1000</f>
        <v>216036.96</v>
      </c>
      <c r="AA22" s="3">
        <f>222317840/1000</f>
        <v>222317.84</v>
      </c>
      <c r="AB22" s="3">
        <f>247199472/1000</f>
        <v>247199.47200000001</v>
      </c>
      <c r="AC22" s="3">
        <f>238443008/1000</f>
        <v>238443.008</v>
      </c>
      <c r="AD22" s="3">
        <f>26850400/1000</f>
        <v>26850.400000000001</v>
      </c>
      <c r="AE22" s="3">
        <f>258294000/1000</f>
        <v>258294</v>
      </c>
      <c r="AF22" s="3">
        <f>252290000/1000</f>
        <v>252290</v>
      </c>
      <c r="AG22" s="3">
        <f>262674144/1000</f>
        <v>262674.14399999997</v>
      </c>
      <c r="AH22" s="3">
        <f>260887888/1000</f>
        <v>260887.88800000001</v>
      </c>
      <c r="AI22" s="3">
        <f>271474880/1000</f>
        <v>271474.88</v>
      </c>
      <c r="AJ22" s="3">
        <f>244530704/1000</f>
        <v>244530.704</v>
      </c>
      <c r="AK22" s="3">
        <f>292101824/1000</f>
        <v>292101.82400000002</v>
      </c>
      <c r="AL22" s="3">
        <f>303699488/1000</f>
        <v>303699.48800000001</v>
      </c>
      <c r="AM22" s="3">
        <f>317105984/1000</f>
        <v>317105.984</v>
      </c>
      <c r="AN22" s="3">
        <f>331612672/1000</f>
        <v>331612.67200000002</v>
      </c>
      <c r="AO22" s="3">
        <f>345254976/1000</f>
        <v>345254.97600000002</v>
      </c>
      <c r="AP22" s="3">
        <f>333848000/1000</f>
        <v>333848</v>
      </c>
      <c r="AQ22" s="3">
        <f>327704992/1000</f>
        <v>327704.99200000003</v>
      </c>
      <c r="AR22" s="3">
        <f>345942016/1000</f>
        <v>345942.016</v>
      </c>
      <c r="AS22" s="3">
        <f>364391008/1000</f>
        <v>364391.00799999997</v>
      </c>
      <c r="AT22" s="3">
        <f>396012000/1000</f>
        <v>396012</v>
      </c>
      <c r="AU22" s="3">
        <f>415205835/1000</f>
        <v>415205.83500000002</v>
      </c>
      <c r="AV22" s="3">
        <f>422956646/1000</f>
        <v>422956.64600000001</v>
      </c>
      <c r="AW22" s="3">
        <f>477410656/1000</f>
        <v>477410.65600000002</v>
      </c>
      <c r="AX22" s="3">
        <f>549707328/1000</f>
        <v>549707.32799999998</v>
      </c>
      <c r="AY22" s="3">
        <f>645300182/1000</f>
        <v>645300.18200000003</v>
      </c>
      <c r="AZ22" s="3">
        <f>691606147/1000</f>
        <v>691606.147</v>
      </c>
      <c r="BA22" s="3">
        <f>717463793/1000</f>
        <v>717463.79299999995</v>
      </c>
      <c r="BB22" s="24">
        <f>734006059/1000</f>
        <v>734006.05900000001</v>
      </c>
      <c r="BC22" s="43">
        <f>721077287/1000</f>
        <v>721077.28700000001</v>
      </c>
      <c r="BD22" s="43">
        <f>768090444/1000</f>
        <v>768090.44400000002</v>
      </c>
    </row>
    <row r="23" spans="1:56" x14ac:dyDescent="0.25">
      <c r="A23" s="12"/>
      <c r="B23" s="6"/>
      <c r="C23" s="6" t="s">
        <v>45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289</v>
      </c>
      <c r="AH23" s="7">
        <v>81</v>
      </c>
      <c r="AI23" s="7">
        <v>0</v>
      </c>
      <c r="AJ23" s="7">
        <v>55</v>
      </c>
      <c r="AK23" s="7">
        <v>6</v>
      </c>
      <c r="AL23" s="7">
        <v>55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15">
        <v>0</v>
      </c>
      <c r="BC23" s="42">
        <v>5.0000000000000001E-3</v>
      </c>
      <c r="BD23" s="42"/>
    </row>
    <row r="24" spans="1:56" s="5" customFormat="1" x14ac:dyDescent="0.25">
      <c r="A24" s="12"/>
      <c r="B24" s="2"/>
      <c r="C24" s="2" t="s">
        <v>44</v>
      </c>
      <c r="D24" s="4">
        <v>783</v>
      </c>
      <c r="E24" s="4">
        <v>645</v>
      </c>
      <c r="F24" s="4">
        <v>600</v>
      </c>
      <c r="G24" s="4">
        <v>453</v>
      </c>
      <c r="H24" s="4">
        <v>710</v>
      </c>
      <c r="I24" s="3">
        <v>1005</v>
      </c>
      <c r="J24" s="3">
        <v>1001</v>
      </c>
      <c r="K24" s="3">
        <v>1026</v>
      </c>
      <c r="L24" s="3">
        <v>1099</v>
      </c>
      <c r="M24" s="3">
        <v>1075</v>
      </c>
      <c r="N24" s="3">
        <v>1191</v>
      </c>
      <c r="O24" s="3">
        <v>1854</v>
      </c>
      <c r="P24" s="3">
        <v>2430</v>
      </c>
      <c r="Q24" s="3">
        <v>2650</v>
      </c>
      <c r="R24" s="3">
        <v>2418</v>
      </c>
      <c r="S24" s="3">
        <v>1244</v>
      </c>
      <c r="T24" s="3">
        <v>1798</v>
      </c>
      <c r="U24" s="3">
        <v>2391</v>
      </c>
      <c r="V24" s="3">
        <v>1877</v>
      </c>
      <c r="W24" s="3">
        <v>2333</v>
      </c>
      <c r="X24" s="3">
        <v>2305</v>
      </c>
      <c r="Y24" s="3">
        <v>2615</v>
      </c>
      <c r="Z24" s="3">
        <v>2984</v>
      </c>
      <c r="AA24" s="3">
        <v>2700</v>
      </c>
      <c r="AB24" s="3">
        <v>3439</v>
      </c>
      <c r="AC24" s="3">
        <v>2560</v>
      </c>
      <c r="AD24" s="3">
        <v>2086</v>
      </c>
      <c r="AE24" s="3">
        <v>2131</v>
      </c>
      <c r="AF24" s="3">
        <v>1371</v>
      </c>
      <c r="AG24" s="3">
        <v>1500</v>
      </c>
      <c r="AH24" s="3">
        <v>1300</v>
      </c>
      <c r="AI24" s="3">
        <v>1607</v>
      </c>
      <c r="AJ24" s="3">
        <v>2425</v>
      </c>
      <c r="AK24" s="3">
        <v>2861</v>
      </c>
      <c r="AL24" s="3">
        <v>4300</v>
      </c>
      <c r="AM24" s="3">
        <v>5800</v>
      </c>
      <c r="AN24" s="3">
        <v>5800</v>
      </c>
      <c r="AO24" s="3">
        <v>7200</v>
      </c>
      <c r="AP24" s="3">
        <v>8750</v>
      </c>
      <c r="AQ24" s="3">
        <v>11300</v>
      </c>
      <c r="AR24" s="3">
        <v>7700</v>
      </c>
      <c r="AS24" s="3">
        <v>11600</v>
      </c>
      <c r="AT24" s="3">
        <v>14000</v>
      </c>
      <c r="AU24" s="3">
        <v>15240</v>
      </c>
      <c r="AV24" s="3">
        <v>18020</v>
      </c>
      <c r="AW24" s="3">
        <v>17090</v>
      </c>
      <c r="AX24" s="3">
        <v>20850</v>
      </c>
      <c r="AY24" s="3">
        <v>19500</v>
      </c>
      <c r="AZ24" s="3">
        <v>21550</v>
      </c>
      <c r="BA24" s="3">
        <v>24300</v>
      </c>
      <c r="BB24" s="24">
        <v>26850</v>
      </c>
      <c r="BC24" s="43">
        <f>20152914/1000</f>
        <v>20152.914000000001</v>
      </c>
      <c r="BD24" s="43"/>
    </row>
    <row r="25" spans="1:56" ht="30" x14ac:dyDescent="0.25">
      <c r="A25" s="12"/>
      <c r="B25" s="6"/>
      <c r="C25" s="6" t="s">
        <v>43</v>
      </c>
      <c r="D25" s="8">
        <v>2667</v>
      </c>
      <c r="E25" s="8">
        <v>2731</v>
      </c>
      <c r="F25" s="8">
        <v>2800</v>
      </c>
      <c r="G25" s="8">
        <v>2891</v>
      </c>
      <c r="H25" s="8">
        <v>2897</v>
      </c>
      <c r="I25" s="8">
        <v>2946</v>
      </c>
      <c r="J25" s="8">
        <v>3116</v>
      </c>
      <c r="K25" s="8">
        <v>3317</v>
      </c>
      <c r="L25" s="8">
        <v>3516</v>
      </c>
      <c r="M25" s="8">
        <v>3540</v>
      </c>
      <c r="N25" s="8">
        <v>3743</v>
      </c>
      <c r="O25" s="8">
        <v>3900</v>
      </c>
      <c r="P25" s="8">
        <v>4564</v>
      </c>
      <c r="Q25" s="8">
        <v>4596</v>
      </c>
      <c r="R25" s="8">
        <v>4507</v>
      </c>
      <c r="S25" s="8">
        <v>5177</v>
      </c>
      <c r="T25" s="8">
        <v>5148</v>
      </c>
      <c r="U25" s="8">
        <v>5165</v>
      </c>
      <c r="V25" s="8">
        <v>5508</v>
      </c>
      <c r="W25" s="8">
        <v>6098</v>
      </c>
      <c r="X25" s="8">
        <v>6107</v>
      </c>
      <c r="Y25" s="8">
        <v>5832</v>
      </c>
      <c r="Z25" s="8">
        <v>6178</v>
      </c>
      <c r="AA25" s="8">
        <v>6300</v>
      </c>
      <c r="AB25" s="8">
        <v>6300</v>
      </c>
      <c r="AC25" s="8">
        <v>6300</v>
      </c>
      <c r="AD25" s="8">
        <v>6700</v>
      </c>
      <c r="AE25" s="8">
        <v>6400</v>
      </c>
      <c r="AF25" s="8">
        <v>6600</v>
      </c>
      <c r="AG25" s="8">
        <v>6800</v>
      </c>
      <c r="AH25" s="8">
        <v>7088</v>
      </c>
      <c r="AI25" s="8">
        <v>7400</v>
      </c>
      <c r="AJ25" s="8">
        <v>7500</v>
      </c>
      <c r="AK25" s="8">
        <v>7500</v>
      </c>
      <c r="AL25" s="8">
        <v>8000</v>
      </c>
      <c r="AM25" s="8">
        <v>8100</v>
      </c>
      <c r="AN25" s="8">
        <v>8500</v>
      </c>
      <c r="AO25" s="8">
        <v>8800</v>
      </c>
      <c r="AP25" s="8">
        <v>9100</v>
      </c>
      <c r="AQ25" s="8">
        <v>9100</v>
      </c>
      <c r="AR25" s="8">
        <v>9250</v>
      </c>
      <c r="AS25" s="8">
        <v>9450</v>
      </c>
      <c r="AT25" s="8">
        <v>9750</v>
      </c>
      <c r="AU25" s="8">
        <v>10400</v>
      </c>
      <c r="AV25" s="8">
        <v>10600</v>
      </c>
      <c r="AW25" s="8">
        <v>10630</v>
      </c>
      <c r="AX25" s="8">
        <v>10800</v>
      </c>
      <c r="AY25" s="8">
        <v>11400</v>
      </c>
      <c r="AZ25" s="8">
        <v>11650</v>
      </c>
      <c r="BA25" s="8">
        <v>11800</v>
      </c>
      <c r="BB25" s="25">
        <v>12000</v>
      </c>
      <c r="BC25" s="42">
        <f>BC22+BC23-BC24</f>
        <v>700924.37800000003</v>
      </c>
      <c r="BD25" s="42"/>
    </row>
    <row r="26" spans="1:56" s="5" customFormat="1" x14ac:dyDescent="0.25">
      <c r="A26" s="14"/>
      <c r="B26" s="6" t="s">
        <v>15</v>
      </c>
      <c r="C26" s="6" t="s">
        <v>6</v>
      </c>
      <c r="D26" s="7">
        <v>350</v>
      </c>
      <c r="E26" s="7">
        <v>250</v>
      </c>
      <c r="F26" s="7">
        <v>256</v>
      </c>
      <c r="G26" s="7">
        <v>100</v>
      </c>
      <c r="H26" s="7">
        <v>226</v>
      </c>
      <c r="I26" s="7">
        <v>222</v>
      </c>
      <c r="J26" s="7">
        <v>299</v>
      </c>
      <c r="K26" s="7">
        <v>365</v>
      </c>
      <c r="L26" s="7">
        <v>694</v>
      </c>
      <c r="M26" s="8">
        <v>1146</v>
      </c>
      <c r="N26" s="8">
        <v>1735</v>
      </c>
      <c r="O26" s="8">
        <v>2034</v>
      </c>
      <c r="P26" s="7">
        <v>694</v>
      </c>
      <c r="Q26" s="8">
        <v>2031</v>
      </c>
      <c r="R26" s="8">
        <v>2858</v>
      </c>
      <c r="S26" s="8">
        <v>1788</v>
      </c>
      <c r="T26" s="8">
        <v>3216</v>
      </c>
      <c r="U26" s="8">
        <v>2066</v>
      </c>
      <c r="V26" s="8">
        <v>2691</v>
      </c>
      <c r="W26" s="8">
        <v>2879</v>
      </c>
      <c r="X26" s="8">
        <v>2676</v>
      </c>
      <c r="Y26" s="8">
        <v>2217</v>
      </c>
      <c r="Z26" s="8">
        <v>1849</v>
      </c>
      <c r="AA26" s="8">
        <v>2100</v>
      </c>
      <c r="AB26" s="8">
        <v>2030</v>
      </c>
      <c r="AC26" s="8">
        <v>4300</v>
      </c>
      <c r="AD26" s="8">
        <v>5600</v>
      </c>
      <c r="AE26" s="8">
        <v>6100</v>
      </c>
      <c r="AF26" s="8">
        <v>5800</v>
      </c>
      <c r="AG26" s="8">
        <v>5550</v>
      </c>
      <c r="AH26" s="8">
        <v>3300</v>
      </c>
      <c r="AI26" s="8">
        <v>3078</v>
      </c>
      <c r="AJ26" s="8">
        <v>2739</v>
      </c>
      <c r="AK26" s="8">
        <v>2107</v>
      </c>
      <c r="AL26" s="8">
        <v>2138</v>
      </c>
      <c r="AM26" s="8">
        <v>1526</v>
      </c>
      <c r="AN26" s="8">
        <v>3195</v>
      </c>
      <c r="AO26" s="8">
        <v>2380</v>
      </c>
      <c r="AP26" s="8">
        <v>2188</v>
      </c>
      <c r="AQ26" s="8">
        <v>2403</v>
      </c>
      <c r="AR26" s="8">
        <v>1660</v>
      </c>
      <c r="AS26" s="8">
        <v>3250</v>
      </c>
      <c r="AT26" s="8">
        <v>2925</v>
      </c>
      <c r="AU26" s="8">
        <v>5851</v>
      </c>
      <c r="AV26" s="8">
        <v>5845</v>
      </c>
      <c r="AW26" s="8">
        <v>4873</v>
      </c>
      <c r="AX26" s="8">
        <v>2234</v>
      </c>
      <c r="AY26" s="8">
        <v>3825</v>
      </c>
      <c r="AZ26" s="8">
        <v>5880</v>
      </c>
      <c r="BA26" s="8">
        <v>5026</v>
      </c>
      <c r="BB26" s="8">
        <v>5900</v>
      </c>
      <c r="BC26" s="43">
        <f>5960043/1000</f>
        <v>5960.0429999999997</v>
      </c>
      <c r="BD26" s="43">
        <f>4418388/1000</f>
        <v>4418.3879999999999</v>
      </c>
    </row>
    <row r="27" spans="1:56" x14ac:dyDescent="0.25">
      <c r="A27" s="12"/>
      <c r="B27" s="2"/>
      <c r="C27" s="2" t="s">
        <v>7</v>
      </c>
      <c r="D27" s="3">
        <v>1885</v>
      </c>
      <c r="E27" s="3">
        <v>2192</v>
      </c>
      <c r="F27" s="3">
        <v>2176</v>
      </c>
      <c r="G27" s="3">
        <v>2609</v>
      </c>
      <c r="H27" s="3">
        <v>1876</v>
      </c>
      <c r="I27" s="3">
        <v>2381</v>
      </c>
      <c r="J27" s="3">
        <v>2429</v>
      </c>
      <c r="K27" s="3">
        <v>2614</v>
      </c>
      <c r="L27" s="3">
        <v>2346</v>
      </c>
      <c r="M27" s="3">
        <v>1958</v>
      </c>
      <c r="N27" s="3">
        <v>1710</v>
      </c>
      <c r="O27" s="3">
        <v>1797</v>
      </c>
      <c r="P27" s="3">
        <v>3011</v>
      </c>
      <c r="Q27" s="3">
        <v>2510</v>
      </c>
      <c r="R27" s="3">
        <v>1946</v>
      </c>
      <c r="S27" s="3">
        <v>3752</v>
      </c>
      <c r="T27" s="3">
        <v>2729</v>
      </c>
      <c r="U27" s="3">
        <v>3621</v>
      </c>
      <c r="V27" s="3">
        <v>3931</v>
      </c>
      <c r="W27" s="3">
        <v>4780</v>
      </c>
      <c r="X27" s="3">
        <v>3910</v>
      </c>
      <c r="Y27" s="3">
        <v>4382</v>
      </c>
      <c r="Z27" s="3">
        <v>4000</v>
      </c>
      <c r="AA27" s="3">
        <v>4196</v>
      </c>
      <c r="AB27" s="3">
        <v>4690</v>
      </c>
      <c r="AC27" s="3">
        <v>2200</v>
      </c>
      <c r="AD27" s="3">
        <v>2800</v>
      </c>
      <c r="AE27" s="3">
        <v>1270</v>
      </c>
      <c r="AF27" s="3">
        <v>1100</v>
      </c>
      <c r="AG27" s="3">
        <v>1900</v>
      </c>
      <c r="AH27" s="3">
        <v>4444</v>
      </c>
      <c r="AI27" s="3">
        <v>4165</v>
      </c>
      <c r="AJ27" s="3">
        <v>5825</v>
      </c>
      <c r="AK27" s="3">
        <v>5775</v>
      </c>
      <c r="AL27" s="3">
        <v>6575</v>
      </c>
      <c r="AM27" s="3">
        <v>5809</v>
      </c>
      <c r="AN27" s="3">
        <v>5111</v>
      </c>
      <c r="AO27" s="3">
        <v>6183</v>
      </c>
      <c r="AP27" s="3">
        <v>7074</v>
      </c>
      <c r="AQ27" s="3">
        <v>7698</v>
      </c>
      <c r="AR27" s="3">
        <v>7177</v>
      </c>
      <c r="AS27" s="3">
        <v>6675</v>
      </c>
      <c r="AT27" s="3">
        <v>6563</v>
      </c>
      <c r="AU27" s="3">
        <v>4898</v>
      </c>
      <c r="AV27" s="3">
        <v>4904</v>
      </c>
      <c r="AW27" s="3">
        <v>6235</v>
      </c>
      <c r="AX27" s="3">
        <v>7997</v>
      </c>
      <c r="AY27" s="3">
        <v>6772</v>
      </c>
      <c r="AZ27" s="3">
        <v>6403</v>
      </c>
      <c r="BA27" s="3">
        <v>7126</v>
      </c>
      <c r="BB27" s="3">
        <v>6500</v>
      </c>
      <c r="BC27" s="42">
        <f>5740453/1000</f>
        <v>5740.4530000000004</v>
      </c>
      <c r="BD27" s="42"/>
    </row>
    <row r="28" spans="1:56" s="5" customFormat="1" x14ac:dyDescent="0.25">
      <c r="A28" s="14"/>
      <c r="B28" s="6"/>
      <c r="C28" s="6" t="s">
        <v>8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3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1</v>
      </c>
      <c r="AJ28" s="7">
        <v>0</v>
      </c>
      <c r="AK28" s="7">
        <v>0</v>
      </c>
      <c r="AL28" s="7">
        <v>1</v>
      </c>
      <c r="AM28" s="7">
        <v>1</v>
      </c>
      <c r="AN28" s="7">
        <v>54</v>
      </c>
      <c r="AO28" s="7">
        <v>3</v>
      </c>
      <c r="AP28" s="7">
        <v>7</v>
      </c>
      <c r="AQ28" s="7">
        <v>4</v>
      </c>
      <c r="AR28" s="7">
        <v>3</v>
      </c>
      <c r="AS28" s="7">
        <v>5</v>
      </c>
      <c r="AT28" s="7">
        <v>5</v>
      </c>
      <c r="AU28" s="8">
        <v>1378</v>
      </c>
      <c r="AV28" s="7">
        <v>15</v>
      </c>
      <c r="AW28" s="7">
        <v>807</v>
      </c>
      <c r="AX28" s="7">
        <v>4</v>
      </c>
      <c r="AY28" s="7">
        <v>770</v>
      </c>
      <c r="AZ28" s="7">
        <v>400</v>
      </c>
      <c r="BA28" s="8">
        <v>1162</v>
      </c>
      <c r="BB28" s="8">
        <v>1700</v>
      </c>
      <c r="BC28" s="43">
        <f>2350720/1000</f>
        <v>2350.7199999999998</v>
      </c>
      <c r="BD28" s="43"/>
    </row>
    <row r="29" spans="1:56" x14ac:dyDescent="0.25">
      <c r="A29" s="12"/>
      <c r="B29" s="2"/>
      <c r="C29" s="2" t="s">
        <v>9</v>
      </c>
      <c r="D29" s="3">
        <v>2235</v>
      </c>
      <c r="E29" s="3">
        <v>2442</v>
      </c>
      <c r="F29" s="3">
        <v>2432</v>
      </c>
      <c r="G29" s="3">
        <v>2559</v>
      </c>
      <c r="H29" s="3">
        <v>2109</v>
      </c>
      <c r="I29" s="3">
        <v>2476</v>
      </c>
      <c r="J29" s="3">
        <v>2676</v>
      </c>
      <c r="K29" s="3">
        <v>2820</v>
      </c>
      <c r="L29" s="3">
        <v>3037</v>
      </c>
      <c r="M29" s="3">
        <v>3219</v>
      </c>
      <c r="N29" s="3">
        <v>3689</v>
      </c>
      <c r="O29" s="3">
        <v>3973</v>
      </c>
      <c r="P29" s="3">
        <v>3764</v>
      </c>
      <c r="Q29" s="3">
        <v>4322</v>
      </c>
      <c r="R29" s="3">
        <v>4695</v>
      </c>
      <c r="S29" s="3">
        <v>5598</v>
      </c>
      <c r="T29" s="3">
        <v>5823</v>
      </c>
      <c r="U29" s="3">
        <v>5955</v>
      </c>
      <c r="V29" s="3">
        <v>6789</v>
      </c>
      <c r="W29" s="3">
        <v>7100</v>
      </c>
      <c r="X29" s="3">
        <v>6600</v>
      </c>
      <c r="Y29" s="3">
        <v>6300</v>
      </c>
      <c r="Z29" s="3">
        <v>6300</v>
      </c>
      <c r="AA29" s="3">
        <v>6400</v>
      </c>
      <c r="AB29" s="3">
        <v>6430</v>
      </c>
      <c r="AC29" s="3">
        <v>6800</v>
      </c>
      <c r="AD29" s="3">
        <v>8000</v>
      </c>
      <c r="AE29" s="3">
        <v>7100</v>
      </c>
      <c r="AF29" s="3">
        <v>7800</v>
      </c>
      <c r="AG29" s="3">
        <v>7400</v>
      </c>
      <c r="AH29" s="3">
        <v>7844</v>
      </c>
      <c r="AI29" s="3">
        <v>7175</v>
      </c>
      <c r="AJ29" s="3">
        <v>7839</v>
      </c>
      <c r="AK29" s="3">
        <v>8075</v>
      </c>
      <c r="AL29" s="3">
        <v>8029</v>
      </c>
      <c r="AM29" s="3">
        <v>8214</v>
      </c>
      <c r="AN29" s="3">
        <v>8281</v>
      </c>
      <c r="AO29" s="3">
        <v>8560</v>
      </c>
      <c r="AP29" s="3">
        <v>8955</v>
      </c>
      <c r="AQ29" s="3">
        <v>9547</v>
      </c>
      <c r="AR29" s="3">
        <v>9511</v>
      </c>
      <c r="AS29" s="3">
        <v>9802</v>
      </c>
      <c r="AT29" s="3">
        <v>9690</v>
      </c>
      <c r="AU29" s="3">
        <v>9700</v>
      </c>
      <c r="AV29" s="3">
        <v>9900</v>
      </c>
      <c r="AW29" s="3">
        <v>10450</v>
      </c>
      <c r="AX29" s="3">
        <v>10300</v>
      </c>
      <c r="AY29" s="3">
        <v>10300</v>
      </c>
      <c r="AZ29" s="3">
        <v>10700</v>
      </c>
      <c r="BA29" s="3">
        <v>11000</v>
      </c>
      <c r="BB29" s="3">
        <v>10800</v>
      </c>
      <c r="BC29" s="42">
        <f>BC26+BC27-BC28</f>
        <v>9349.7759999999998</v>
      </c>
      <c r="BD29" s="42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2"/>
  <sheetViews>
    <sheetView zoomScaleNormal="100" workbookViewId="0">
      <pane xSplit="6" ySplit="15" topLeftCell="BA16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">
        <v>2013</v>
      </c>
    </row>
    <row r="2" spans="1:56" s="5" customFormat="1" x14ac:dyDescent="0.25">
      <c r="A2" s="14" t="s">
        <v>18</v>
      </c>
      <c r="B2" s="6" t="s">
        <v>5</v>
      </c>
      <c r="C2" s="6" t="s">
        <v>6</v>
      </c>
      <c r="D2" s="7">
        <v>663</v>
      </c>
      <c r="E2" s="7">
        <v>742</v>
      </c>
      <c r="F2" s="7">
        <v>848</v>
      </c>
      <c r="G2" s="7">
        <v>919</v>
      </c>
      <c r="H2" s="8">
        <v>1342</v>
      </c>
      <c r="I2" s="8">
        <v>1511</v>
      </c>
      <c r="J2" s="8">
        <v>1685</v>
      </c>
      <c r="K2" s="8">
        <v>1883</v>
      </c>
      <c r="L2" s="8">
        <v>2076</v>
      </c>
      <c r="M2" s="8">
        <v>1883</v>
      </c>
      <c r="N2" s="8">
        <v>2634</v>
      </c>
      <c r="O2" s="8">
        <v>2946</v>
      </c>
      <c r="P2" s="8">
        <v>2528</v>
      </c>
      <c r="Q2" s="8">
        <v>2879</v>
      </c>
      <c r="R2" s="8">
        <v>2620</v>
      </c>
      <c r="S2" s="8">
        <v>3645</v>
      </c>
      <c r="T2" s="8">
        <v>3759</v>
      </c>
      <c r="U2" s="8">
        <v>4250</v>
      </c>
      <c r="V2" s="8">
        <v>4033</v>
      </c>
      <c r="W2" s="8">
        <v>5276</v>
      </c>
      <c r="X2" s="8">
        <v>5753</v>
      </c>
      <c r="Y2" s="8">
        <v>6673</v>
      </c>
      <c r="Z2" s="8">
        <v>6513</v>
      </c>
      <c r="AA2" s="8">
        <v>5931</v>
      </c>
      <c r="AB2" s="8">
        <v>6778</v>
      </c>
      <c r="AC2" s="8">
        <v>6970</v>
      </c>
      <c r="AD2" s="8">
        <v>5912</v>
      </c>
      <c r="AE2" s="8">
        <v>7065</v>
      </c>
      <c r="AF2" s="8">
        <v>5450</v>
      </c>
      <c r="AG2" s="8">
        <v>6571</v>
      </c>
      <c r="AH2" s="8">
        <v>7067</v>
      </c>
      <c r="AI2" s="8">
        <v>7413</v>
      </c>
      <c r="AJ2" s="8">
        <v>4883</v>
      </c>
      <c r="AK2" s="8">
        <v>6755</v>
      </c>
      <c r="AL2" s="8">
        <v>7190</v>
      </c>
      <c r="AM2" s="8">
        <v>7281</v>
      </c>
      <c r="AN2" s="8">
        <v>7542</v>
      </c>
      <c r="AO2" s="8">
        <v>7180</v>
      </c>
      <c r="AP2" s="8">
        <v>8952</v>
      </c>
      <c r="AQ2" s="8">
        <v>9161</v>
      </c>
      <c r="AR2" s="8">
        <v>6827</v>
      </c>
      <c r="AS2" s="8">
        <v>8389</v>
      </c>
      <c r="AT2" s="8">
        <v>8999</v>
      </c>
      <c r="AU2" s="8">
        <v>9587</v>
      </c>
      <c r="AV2" s="8">
        <v>8837</v>
      </c>
      <c r="AW2" s="8">
        <v>9332</v>
      </c>
      <c r="AX2" s="8">
        <v>8990</v>
      </c>
      <c r="AY2" s="8">
        <v>11649</v>
      </c>
      <c r="AZ2" s="8">
        <v>10592</v>
      </c>
      <c r="BA2" s="8">
        <v>9561</v>
      </c>
      <c r="BB2" s="8">
        <f>10688700/1000</f>
        <v>10688.7</v>
      </c>
      <c r="BC2" s="43">
        <f>13060100/1000</f>
        <v>13060.1</v>
      </c>
      <c r="BD2" s="43">
        <f>14193800/1000</f>
        <v>14193.8</v>
      </c>
    </row>
    <row r="3" spans="1:56" x14ac:dyDescent="0.25">
      <c r="A3" s="12"/>
      <c r="B3" s="2"/>
      <c r="C3" s="2" t="s">
        <v>7</v>
      </c>
      <c r="D3" s="4">
        <v>504</v>
      </c>
      <c r="E3" s="4">
        <v>696</v>
      </c>
      <c r="F3" s="4">
        <v>734</v>
      </c>
      <c r="G3" s="4">
        <v>552</v>
      </c>
      <c r="H3" s="4">
        <v>420</v>
      </c>
      <c r="I3" s="4">
        <v>565</v>
      </c>
      <c r="J3" s="4">
        <v>531</v>
      </c>
      <c r="K3" s="4">
        <v>747</v>
      </c>
      <c r="L3" s="4">
        <v>803</v>
      </c>
      <c r="M3" s="4">
        <v>644</v>
      </c>
      <c r="N3" s="4">
        <v>267</v>
      </c>
      <c r="O3" s="4">
        <v>234</v>
      </c>
      <c r="P3" s="4">
        <v>868</v>
      </c>
      <c r="Q3" s="3">
        <v>1273</v>
      </c>
      <c r="R3" s="3">
        <v>1032</v>
      </c>
      <c r="S3" s="4">
        <v>697</v>
      </c>
      <c r="T3" s="4">
        <v>660</v>
      </c>
      <c r="U3" s="4">
        <v>386</v>
      </c>
      <c r="V3" s="4">
        <v>677</v>
      </c>
      <c r="W3" s="4">
        <v>994</v>
      </c>
      <c r="X3" s="3">
        <v>1363</v>
      </c>
      <c r="Y3" s="4">
        <v>822</v>
      </c>
      <c r="Z3" s="4">
        <v>759</v>
      </c>
      <c r="AA3" s="4">
        <v>226</v>
      </c>
      <c r="AB3" s="4">
        <v>612</v>
      </c>
      <c r="AC3" s="4">
        <v>415</v>
      </c>
      <c r="AD3" s="4">
        <v>642</v>
      </c>
      <c r="AE3" s="4">
        <v>235</v>
      </c>
      <c r="AF3" s="4">
        <v>975</v>
      </c>
      <c r="AG3" s="4">
        <v>568</v>
      </c>
      <c r="AH3" s="4">
        <v>522</v>
      </c>
      <c r="AI3" s="4">
        <v>213</v>
      </c>
      <c r="AJ3" s="3">
        <v>1255</v>
      </c>
      <c r="AK3" s="4">
        <v>552</v>
      </c>
      <c r="AL3" s="3">
        <v>1078</v>
      </c>
      <c r="AM3" s="4">
        <v>823</v>
      </c>
      <c r="AN3" s="4">
        <v>857</v>
      </c>
      <c r="AO3" s="3">
        <v>1475</v>
      </c>
      <c r="AP3" s="4">
        <v>899</v>
      </c>
      <c r="AQ3" s="3">
        <v>1017</v>
      </c>
      <c r="AR3" s="3">
        <v>2746</v>
      </c>
      <c r="AS3" s="3">
        <v>3951</v>
      </c>
      <c r="AT3" s="3">
        <v>3946</v>
      </c>
      <c r="AU3" s="3">
        <v>2029</v>
      </c>
      <c r="AV3" s="3">
        <v>2371</v>
      </c>
      <c r="AW3" s="3">
        <v>1928</v>
      </c>
      <c r="AX3" s="3">
        <v>2102</v>
      </c>
      <c r="AY3" s="3">
        <v>3182</v>
      </c>
      <c r="AZ3" s="3">
        <v>1843</v>
      </c>
      <c r="BA3" s="3">
        <v>2099</v>
      </c>
      <c r="BB3" s="3">
        <f>1076342/1000</f>
        <v>1076.3420000000001</v>
      </c>
      <c r="BC3" s="42"/>
      <c r="BD3" s="42"/>
    </row>
    <row r="4" spans="1:56" s="5" customFormat="1" x14ac:dyDescent="0.25">
      <c r="A4" s="14"/>
      <c r="B4" s="6"/>
      <c r="C4" s="6" t="s">
        <v>8</v>
      </c>
      <c r="D4" s="7">
        <v>1</v>
      </c>
      <c r="E4" s="7">
        <v>1</v>
      </c>
      <c r="F4" s="7">
        <v>1</v>
      </c>
      <c r="G4" s="7">
        <v>3</v>
      </c>
      <c r="H4" s="7">
        <v>3</v>
      </c>
      <c r="I4" s="7">
        <v>16</v>
      </c>
      <c r="J4" s="7">
        <v>2</v>
      </c>
      <c r="K4" s="7">
        <v>5</v>
      </c>
      <c r="L4" s="7">
        <v>6</v>
      </c>
      <c r="M4" s="7">
        <v>2</v>
      </c>
      <c r="N4" s="7">
        <v>5</v>
      </c>
      <c r="O4" s="7">
        <v>29</v>
      </c>
      <c r="P4" s="7">
        <v>12</v>
      </c>
      <c r="Q4" s="7">
        <v>5</v>
      </c>
      <c r="R4" s="7">
        <v>4</v>
      </c>
      <c r="S4" s="7">
        <v>233</v>
      </c>
      <c r="T4" s="7">
        <v>180</v>
      </c>
      <c r="U4" s="7">
        <v>323</v>
      </c>
      <c r="V4" s="7">
        <v>192</v>
      </c>
      <c r="W4" s="7">
        <v>344</v>
      </c>
      <c r="X4" s="8">
        <v>1056</v>
      </c>
      <c r="Y4" s="8">
        <v>1135</v>
      </c>
      <c r="Z4" s="7">
        <v>489</v>
      </c>
      <c r="AA4" s="7">
        <v>429</v>
      </c>
      <c r="AB4" s="7">
        <v>570</v>
      </c>
      <c r="AC4" s="7">
        <v>653</v>
      </c>
      <c r="AD4" s="7">
        <v>143</v>
      </c>
      <c r="AE4" s="7">
        <v>369</v>
      </c>
      <c r="AF4" s="7">
        <v>11</v>
      </c>
      <c r="AG4" s="7">
        <v>25</v>
      </c>
      <c r="AH4" s="7">
        <v>142</v>
      </c>
      <c r="AI4" s="7">
        <v>964</v>
      </c>
      <c r="AJ4" s="7">
        <v>200</v>
      </c>
      <c r="AK4" s="7">
        <v>523</v>
      </c>
      <c r="AL4" s="7">
        <v>360</v>
      </c>
      <c r="AM4" s="7">
        <v>604</v>
      </c>
      <c r="AN4" s="7">
        <v>340</v>
      </c>
      <c r="AO4" s="7">
        <v>134</v>
      </c>
      <c r="AP4" s="7">
        <v>829</v>
      </c>
      <c r="AQ4" s="7">
        <v>456</v>
      </c>
      <c r="AR4" s="7">
        <v>122</v>
      </c>
      <c r="AS4" s="7">
        <v>199</v>
      </c>
      <c r="AT4" s="7">
        <v>314</v>
      </c>
      <c r="AU4" s="7">
        <v>369</v>
      </c>
      <c r="AV4" s="7">
        <v>238</v>
      </c>
      <c r="AW4" s="7">
        <v>253</v>
      </c>
      <c r="AX4" s="7">
        <v>314</v>
      </c>
      <c r="AY4" s="7">
        <v>942</v>
      </c>
      <c r="AZ4" s="7">
        <v>372</v>
      </c>
      <c r="BA4" s="7">
        <v>129</v>
      </c>
      <c r="BB4" s="8">
        <f>1069792/1000</f>
        <v>1069.7919999999999</v>
      </c>
      <c r="BC4" s="43"/>
      <c r="BD4" s="43"/>
    </row>
    <row r="5" spans="1:56" x14ac:dyDescent="0.25">
      <c r="A5" s="12"/>
      <c r="B5" s="2"/>
      <c r="C5" s="2" t="s">
        <v>9</v>
      </c>
      <c r="D5" s="3">
        <v>1114</v>
      </c>
      <c r="E5" s="3">
        <v>1332</v>
      </c>
      <c r="F5" s="3">
        <v>1690</v>
      </c>
      <c r="G5" s="3">
        <v>1471</v>
      </c>
      <c r="H5" s="3">
        <v>1701</v>
      </c>
      <c r="I5" s="3">
        <v>2073</v>
      </c>
      <c r="J5" s="3">
        <v>2211</v>
      </c>
      <c r="K5" s="3">
        <v>2663</v>
      </c>
      <c r="L5" s="3">
        <v>2828</v>
      </c>
      <c r="M5" s="3">
        <v>2580</v>
      </c>
      <c r="N5" s="3">
        <v>2942</v>
      </c>
      <c r="O5" s="3">
        <v>3049</v>
      </c>
      <c r="P5" s="3">
        <v>3352</v>
      </c>
      <c r="Q5" s="3">
        <v>4031</v>
      </c>
      <c r="R5" s="3">
        <v>3766</v>
      </c>
      <c r="S5" s="3">
        <v>3609</v>
      </c>
      <c r="T5" s="3">
        <v>3936</v>
      </c>
      <c r="U5" s="3">
        <v>4341</v>
      </c>
      <c r="V5" s="3">
        <v>4459</v>
      </c>
      <c r="W5" s="3">
        <v>5561</v>
      </c>
      <c r="X5" s="3">
        <v>6172</v>
      </c>
      <c r="Y5" s="3">
        <v>6449</v>
      </c>
      <c r="Z5" s="3">
        <v>6351</v>
      </c>
      <c r="AA5" s="3">
        <v>6340</v>
      </c>
      <c r="AB5" s="3">
        <v>6444</v>
      </c>
      <c r="AC5" s="3">
        <v>6688</v>
      </c>
      <c r="AD5" s="3">
        <v>6642</v>
      </c>
      <c r="AE5" s="3">
        <v>6883</v>
      </c>
      <c r="AF5" s="3">
        <v>6654</v>
      </c>
      <c r="AG5" s="3">
        <v>6972</v>
      </c>
      <c r="AH5" s="3">
        <v>7057</v>
      </c>
      <c r="AI5" s="3">
        <v>6675</v>
      </c>
      <c r="AJ5" s="3">
        <v>6209</v>
      </c>
      <c r="AK5" s="3">
        <v>7454</v>
      </c>
      <c r="AL5" s="3">
        <v>7785</v>
      </c>
      <c r="AM5" s="3">
        <v>7482</v>
      </c>
      <c r="AN5" s="3">
        <v>7810</v>
      </c>
      <c r="AO5" s="3">
        <v>8599</v>
      </c>
      <c r="AP5" s="3">
        <v>9029</v>
      </c>
      <c r="AQ5" s="3">
        <v>9055</v>
      </c>
      <c r="AR5" s="3">
        <v>10123</v>
      </c>
      <c r="AS5" s="3">
        <v>11965</v>
      </c>
      <c r="AT5" s="3">
        <v>12576</v>
      </c>
      <c r="AU5" s="3">
        <v>11215</v>
      </c>
      <c r="AV5" s="3">
        <v>10311</v>
      </c>
      <c r="AW5" s="3">
        <v>10808</v>
      </c>
      <c r="AX5" s="3">
        <v>11442</v>
      </c>
      <c r="AY5" s="3">
        <v>13769</v>
      </c>
      <c r="AZ5" s="3">
        <v>11687</v>
      </c>
      <c r="BA5" s="3">
        <v>11606</v>
      </c>
      <c r="BB5" s="3">
        <f>BB2+BB3-BB4</f>
        <v>10695.250000000002</v>
      </c>
      <c r="BC5" s="42"/>
      <c r="BD5" s="42"/>
    </row>
    <row r="6" spans="1:56" s="5" customFormat="1" x14ac:dyDescent="0.25">
      <c r="A6" s="14"/>
      <c r="B6" s="6" t="s">
        <v>10</v>
      </c>
      <c r="C6" s="6" t="s">
        <v>7</v>
      </c>
      <c r="D6" s="7">
        <v>292</v>
      </c>
      <c r="E6" s="7">
        <v>433</v>
      </c>
      <c r="F6" s="7">
        <v>331</v>
      </c>
      <c r="G6" s="7">
        <v>466</v>
      </c>
      <c r="H6" s="7">
        <v>404</v>
      </c>
      <c r="I6" s="7">
        <v>434</v>
      </c>
      <c r="J6" s="7">
        <v>404</v>
      </c>
      <c r="K6" s="7">
        <v>361</v>
      </c>
      <c r="L6" s="7">
        <v>347</v>
      </c>
      <c r="M6" s="7">
        <v>333</v>
      </c>
      <c r="N6" s="7">
        <v>340</v>
      </c>
      <c r="O6" s="7">
        <v>354</v>
      </c>
      <c r="P6" s="7">
        <v>327</v>
      </c>
      <c r="Q6" s="7">
        <v>320</v>
      </c>
      <c r="R6" s="7">
        <v>225</v>
      </c>
      <c r="S6" s="7">
        <v>254</v>
      </c>
      <c r="T6" s="7">
        <v>215</v>
      </c>
      <c r="U6" s="7">
        <v>239</v>
      </c>
      <c r="V6" s="7">
        <v>255</v>
      </c>
      <c r="W6" s="7">
        <v>289</v>
      </c>
      <c r="X6" s="7">
        <v>276</v>
      </c>
      <c r="Y6" s="7">
        <v>190</v>
      </c>
      <c r="Z6" s="7">
        <v>248</v>
      </c>
      <c r="AA6" s="7">
        <v>243</v>
      </c>
      <c r="AB6" s="7">
        <v>216</v>
      </c>
      <c r="AC6" s="7">
        <v>287</v>
      </c>
      <c r="AD6" s="7">
        <v>151</v>
      </c>
      <c r="AE6" s="7">
        <v>210</v>
      </c>
      <c r="AF6" s="7">
        <v>187</v>
      </c>
      <c r="AG6" s="7">
        <v>204</v>
      </c>
      <c r="AH6" s="7">
        <v>187</v>
      </c>
      <c r="AI6" s="7">
        <v>200</v>
      </c>
      <c r="AJ6" s="7">
        <v>210</v>
      </c>
      <c r="AK6" s="7">
        <v>210</v>
      </c>
      <c r="AL6" s="7">
        <v>265</v>
      </c>
      <c r="AM6" s="7">
        <v>300</v>
      </c>
      <c r="AN6" s="7">
        <v>260</v>
      </c>
      <c r="AO6" s="7">
        <v>325</v>
      </c>
      <c r="AP6" s="7">
        <v>329</v>
      </c>
      <c r="AQ6" s="7">
        <v>286</v>
      </c>
      <c r="AR6" s="7">
        <v>352</v>
      </c>
      <c r="AS6" s="7">
        <v>400</v>
      </c>
      <c r="AT6" s="7">
        <v>460</v>
      </c>
      <c r="AU6" s="7">
        <v>375</v>
      </c>
      <c r="AV6" s="7">
        <v>365</v>
      </c>
      <c r="AW6" s="7">
        <v>152</v>
      </c>
      <c r="AX6" s="7">
        <v>105</v>
      </c>
      <c r="AY6" s="7">
        <v>40</v>
      </c>
      <c r="AZ6" s="7">
        <v>20</v>
      </c>
      <c r="BA6" s="7">
        <v>10</v>
      </c>
      <c r="BB6" s="7">
        <v>12</v>
      </c>
      <c r="BC6" s="43">
        <f>1807/1000</f>
        <v>1.8069999999999999</v>
      </c>
      <c r="BD6" s="43"/>
    </row>
    <row r="7" spans="1:56" x14ac:dyDescent="0.25">
      <c r="A7" s="12"/>
      <c r="B7" s="2"/>
      <c r="C7" s="2" t="s">
        <v>8</v>
      </c>
      <c r="D7" s="4">
        <v>12</v>
      </c>
      <c r="E7" s="4">
        <v>1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P7" s="4">
        <v>0</v>
      </c>
      <c r="Q7" s="4">
        <v>0</v>
      </c>
      <c r="R7" s="4">
        <v>0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  <c r="AF7" s="4">
        <v>0</v>
      </c>
      <c r="AG7" s="4">
        <v>0</v>
      </c>
      <c r="AH7" s="4">
        <v>0</v>
      </c>
      <c r="AI7" s="4">
        <v>0</v>
      </c>
      <c r="AJ7" s="4">
        <v>0</v>
      </c>
      <c r="AK7" s="4">
        <v>0</v>
      </c>
      <c r="AL7" s="4">
        <v>0</v>
      </c>
      <c r="AM7" s="4">
        <v>0</v>
      </c>
      <c r="AN7" s="4">
        <v>0</v>
      </c>
      <c r="AO7" s="4">
        <v>0</v>
      </c>
      <c r="AP7" s="4">
        <v>0</v>
      </c>
      <c r="AQ7" s="4">
        <v>0</v>
      </c>
      <c r="AR7" s="4">
        <v>0</v>
      </c>
      <c r="AS7" s="4">
        <v>0</v>
      </c>
      <c r="AT7" s="4">
        <v>0</v>
      </c>
      <c r="AU7" s="4">
        <v>8</v>
      </c>
      <c r="AV7" s="4">
        <v>2</v>
      </c>
      <c r="AW7" s="4">
        <v>0</v>
      </c>
      <c r="AX7" s="4">
        <v>0</v>
      </c>
      <c r="AY7" s="4">
        <v>0</v>
      </c>
      <c r="AZ7" s="4">
        <v>0</v>
      </c>
      <c r="BA7" s="4">
        <v>0</v>
      </c>
      <c r="BB7" s="4">
        <v>0</v>
      </c>
      <c r="BC7" s="42">
        <f>129/1000</f>
        <v>0.129</v>
      </c>
      <c r="BD7" s="42"/>
    </row>
    <row r="8" spans="1:56" s="5" customFormat="1" x14ac:dyDescent="0.25">
      <c r="A8" s="14"/>
      <c r="B8" s="6"/>
      <c r="C8" s="6" t="s">
        <v>9</v>
      </c>
      <c r="D8" s="7">
        <v>326</v>
      </c>
      <c r="E8" s="7">
        <v>375</v>
      </c>
      <c r="F8" s="7">
        <v>360</v>
      </c>
      <c r="G8" s="7">
        <v>430</v>
      </c>
      <c r="H8" s="7">
        <v>415</v>
      </c>
      <c r="I8" s="7">
        <v>400</v>
      </c>
      <c r="J8" s="7">
        <v>410</v>
      </c>
      <c r="K8" s="7">
        <v>390</v>
      </c>
      <c r="L8" s="7">
        <v>375</v>
      </c>
      <c r="M8" s="7">
        <v>350</v>
      </c>
      <c r="N8" s="7">
        <v>345</v>
      </c>
      <c r="O8" s="7">
        <v>350</v>
      </c>
      <c r="P8" s="7">
        <v>335</v>
      </c>
      <c r="Q8" s="7">
        <v>320</v>
      </c>
      <c r="R8" s="7">
        <v>245</v>
      </c>
      <c r="S8" s="7">
        <v>244</v>
      </c>
      <c r="T8" s="7">
        <v>215</v>
      </c>
      <c r="U8" s="7">
        <v>240</v>
      </c>
      <c r="V8" s="7">
        <v>255</v>
      </c>
      <c r="W8" s="7">
        <v>280</v>
      </c>
      <c r="X8" s="7">
        <v>270</v>
      </c>
      <c r="Y8" s="7">
        <v>185</v>
      </c>
      <c r="Z8" s="7">
        <v>253</v>
      </c>
      <c r="AA8" s="7">
        <v>253</v>
      </c>
      <c r="AB8" s="7">
        <v>221</v>
      </c>
      <c r="AC8" s="7">
        <v>248</v>
      </c>
      <c r="AD8" s="7">
        <v>198</v>
      </c>
      <c r="AE8" s="7">
        <v>210</v>
      </c>
      <c r="AF8" s="7">
        <v>187</v>
      </c>
      <c r="AG8" s="7">
        <v>208</v>
      </c>
      <c r="AH8" s="7">
        <v>187</v>
      </c>
      <c r="AI8" s="7">
        <v>200</v>
      </c>
      <c r="AJ8" s="7">
        <v>200</v>
      </c>
      <c r="AK8" s="7">
        <v>220</v>
      </c>
      <c r="AL8" s="7">
        <v>260</v>
      </c>
      <c r="AM8" s="7">
        <v>295</v>
      </c>
      <c r="AN8" s="7">
        <v>260</v>
      </c>
      <c r="AO8" s="7">
        <v>325</v>
      </c>
      <c r="AP8" s="7">
        <v>330</v>
      </c>
      <c r="AQ8" s="7">
        <v>286</v>
      </c>
      <c r="AR8" s="7">
        <v>350</v>
      </c>
      <c r="AS8" s="7">
        <v>400</v>
      </c>
      <c r="AT8" s="7">
        <v>390</v>
      </c>
      <c r="AU8" s="7">
        <v>375</v>
      </c>
      <c r="AV8" s="7">
        <v>350</v>
      </c>
      <c r="AW8" s="7">
        <v>200</v>
      </c>
      <c r="AX8" s="7">
        <v>135</v>
      </c>
      <c r="AY8" s="7">
        <v>50</v>
      </c>
      <c r="AZ8" s="7">
        <v>25</v>
      </c>
      <c r="BA8" s="7">
        <v>12</v>
      </c>
      <c r="BB8" s="7">
        <v>12</v>
      </c>
      <c r="BC8" s="43"/>
      <c r="BD8" s="43"/>
    </row>
    <row r="9" spans="1:56" x14ac:dyDescent="0.25">
      <c r="A9" s="12"/>
      <c r="B9" s="2" t="s">
        <v>11</v>
      </c>
      <c r="C9" s="2" t="s">
        <v>6</v>
      </c>
      <c r="D9" s="4">
        <v>0</v>
      </c>
      <c r="E9" s="4">
        <v>0</v>
      </c>
      <c r="F9" s="4">
        <v>0</v>
      </c>
      <c r="G9" s="4">
        <v>0</v>
      </c>
      <c r="H9" s="4">
        <v>190</v>
      </c>
      <c r="I9" s="4">
        <v>219</v>
      </c>
      <c r="J9" s="4">
        <v>245</v>
      </c>
      <c r="K9" s="4">
        <v>220</v>
      </c>
      <c r="L9" s="4">
        <v>246</v>
      </c>
      <c r="M9" s="4">
        <v>210</v>
      </c>
      <c r="N9" s="4">
        <v>283</v>
      </c>
      <c r="O9" s="4">
        <v>280</v>
      </c>
      <c r="P9" s="4">
        <v>375</v>
      </c>
      <c r="Q9" s="4">
        <v>397</v>
      </c>
      <c r="R9" s="4">
        <v>301</v>
      </c>
      <c r="S9" s="4">
        <v>367</v>
      </c>
      <c r="T9" s="4">
        <v>250</v>
      </c>
      <c r="U9" s="4">
        <v>580</v>
      </c>
      <c r="V9" s="4">
        <v>516</v>
      </c>
      <c r="W9" s="4">
        <v>657</v>
      </c>
      <c r="X9" s="4">
        <v>690</v>
      </c>
      <c r="Y9" s="4">
        <v>607</v>
      </c>
      <c r="Z9" s="4">
        <v>848</v>
      </c>
      <c r="AA9" s="4">
        <v>735</v>
      </c>
      <c r="AB9" s="4">
        <v>917</v>
      </c>
      <c r="AC9" s="3">
        <v>1012</v>
      </c>
      <c r="AD9" s="4">
        <v>960</v>
      </c>
      <c r="AE9" s="3">
        <v>1270</v>
      </c>
      <c r="AF9" s="3">
        <v>1153</v>
      </c>
      <c r="AG9" s="3">
        <v>1219</v>
      </c>
      <c r="AH9" s="3">
        <v>1262</v>
      </c>
      <c r="AI9" s="3">
        <v>1460</v>
      </c>
      <c r="AJ9" s="3">
        <v>1455</v>
      </c>
      <c r="AK9" s="3">
        <v>1851</v>
      </c>
      <c r="AL9" s="3">
        <v>2251</v>
      </c>
      <c r="AM9" s="3">
        <v>2293</v>
      </c>
      <c r="AN9" s="3">
        <v>2165</v>
      </c>
      <c r="AO9" s="3">
        <v>2738</v>
      </c>
      <c r="AP9" s="3">
        <v>2737</v>
      </c>
      <c r="AQ9" s="3">
        <v>2776</v>
      </c>
      <c r="AR9" s="3">
        <v>2703</v>
      </c>
      <c r="AS9" s="3">
        <v>1635</v>
      </c>
      <c r="AT9" s="3">
        <v>2336</v>
      </c>
      <c r="AU9" s="3">
        <v>2263</v>
      </c>
      <c r="AV9" s="3">
        <v>3042</v>
      </c>
      <c r="AW9" s="3">
        <v>3156</v>
      </c>
      <c r="AX9" s="3">
        <v>3466</v>
      </c>
      <c r="AY9" s="3">
        <v>2696</v>
      </c>
      <c r="AZ9" s="3">
        <v>3336</v>
      </c>
      <c r="BA9" s="3">
        <v>3507</v>
      </c>
      <c r="BB9" s="3">
        <v>4345</v>
      </c>
      <c r="BC9" s="42">
        <f>4246300/1000</f>
        <v>4246.3</v>
      </c>
      <c r="BD9" s="42">
        <f>5086400/1000</f>
        <v>5086.3999999999996</v>
      </c>
    </row>
    <row r="10" spans="1:56" s="5" customFormat="1" x14ac:dyDescent="0.25">
      <c r="A10" s="14"/>
      <c r="B10" s="6"/>
      <c r="C10" s="6" t="s">
        <v>7</v>
      </c>
      <c r="D10" s="7">
        <v>0</v>
      </c>
      <c r="E10" s="7">
        <v>0</v>
      </c>
      <c r="F10" s="7">
        <v>0</v>
      </c>
      <c r="G10" s="7">
        <v>0</v>
      </c>
      <c r="H10" s="7">
        <v>448</v>
      </c>
      <c r="I10" s="7">
        <v>464</v>
      </c>
      <c r="J10" s="7">
        <v>443</v>
      </c>
      <c r="K10" s="7">
        <v>363</v>
      </c>
      <c r="L10" s="7">
        <v>339</v>
      </c>
      <c r="M10" s="7">
        <v>473</v>
      </c>
      <c r="N10" s="7">
        <v>428</v>
      </c>
      <c r="O10" s="7">
        <v>403</v>
      </c>
      <c r="P10" s="7">
        <v>299</v>
      </c>
      <c r="Q10" s="7">
        <v>340</v>
      </c>
      <c r="R10" s="7">
        <v>346</v>
      </c>
      <c r="S10" s="7">
        <v>370</v>
      </c>
      <c r="T10" s="7">
        <v>392</v>
      </c>
      <c r="U10" s="7">
        <v>263</v>
      </c>
      <c r="V10" s="7">
        <v>350</v>
      </c>
      <c r="W10" s="7">
        <v>422</v>
      </c>
      <c r="X10" s="7">
        <v>401</v>
      </c>
      <c r="Y10" s="7">
        <v>424</v>
      </c>
      <c r="Z10" s="7">
        <v>419</v>
      </c>
      <c r="AA10" s="7">
        <v>280</v>
      </c>
      <c r="AB10" s="7">
        <v>229</v>
      </c>
      <c r="AC10" s="7">
        <v>175</v>
      </c>
      <c r="AD10" s="7">
        <v>217</v>
      </c>
      <c r="AE10" s="7">
        <v>151</v>
      </c>
      <c r="AF10" s="7">
        <v>159</v>
      </c>
      <c r="AG10" s="7">
        <v>287</v>
      </c>
      <c r="AH10" s="7">
        <v>151</v>
      </c>
      <c r="AI10" s="7">
        <v>72</v>
      </c>
      <c r="AJ10" s="7">
        <v>226</v>
      </c>
      <c r="AK10" s="7">
        <v>57</v>
      </c>
      <c r="AL10" s="7">
        <v>67</v>
      </c>
      <c r="AM10" s="7">
        <v>70</v>
      </c>
      <c r="AN10" s="7">
        <v>231</v>
      </c>
      <c r="AO10" s="7">
        <v>149</v>
      </c>
      <c r="AP10" s="7">
        <v>254</v>
      </c>
      <c r="AQ10" s="7">
        <v>455</v>
      </c>
      <c r="AR10" s="7">
        <v>431</v>
      </c>
      <c r="AS10" s="7">
        <v>982</v>
      </c>
      <c r="AT10" s="7">
        <v>651</v>
      </c>
      <c r="AU10" s="7">
        <v>613</v>
      </c>
      <c r="AV10" s="7">
        <v>386</v>
      </c>
      <c r="AW10" s="7">
        <v>349</v>
      </c>
      <c r="AX10" s="7">
        <v>234</v>
      </c>
      <c r="AY10" s="7">
        <v>309</v>
      </c>
      <c r="AZ10" s="7">
        <v>387</v>
      </c>
      <c r="BA10" s="7">
        <v>375</v>
      </c>
      <c r="BB10" s="7">
        <v>350</v>
      </c>
      <c r="BC10" s="43">
        <f>290366/1000</f>
        <v>290.36599999999999</v>
      </c>
      <c r="BD10" s="43"/>
    </row>
    <row r="11" spans="1:56" x14ac:dyDescent="0.25">
      <c r="A11" s="12"/>
      <c r="B11" s="2"/>
      <c r="C11" s="2" t="s">
        <v>8</v>
      </c>
      <c r="D11" s="4">
        <v>0</v>
      </c>
      <c r="E11" s="4">
        <v>0</v>
      </c>
      <c r="F11" s="4">
        <v>0</v>
      </c>
      <c r="G11" s="4">
        <v>0</v>
      </c>
      <c r="H11" s="4">
        <v>87</v>
      </c>
      <c r="I11" s="4">
        <v>59</v>
      </c>
      <c r="J11" s="4">
        <v>98</v>
      </c>
      <c r="K11" s="4">
        <v>43</v>
      </c>
      <c r="L11" s="4">
        <v>31</v>
      </c>
      <c r="M11" s="4">
        <v>30</v>
      </c>
      <c r="N11" s="4">
        <v>22</v>
      </c>
      <c r="O11" s="4">
        <v>38</v>
      </c>
      <c r="P11" s="4">
        <v>30</v>
      </c>
      <c r="Q11" s="4">
        <v>30</v>
      </c>
      <c r="R11" s="4">
        <v>8</v>
      </c>
      <c r="S11" s="4">
        <v>22</v>
      </c>
      <c r="T11" s="4">
        <v>25</v>
      </c>
      <c r="U11" s="4">
        <v>64</v>
      </c>
      <c r="V11" s="4">
        <v>91</v>
      </c>
      <c r="W11" s="4">
        <v>54</v>
      </c>
      <c r="X11" s="4">
        <v>142</v>
      </c>
      <c r="Y11" s="4">
        <v>83</v>
      </c>
      <c r="Z11" s="4">
        <v>117</v>
      </c>
      <c r="AA11" s="4">
        <v>61</v>
      </c>
      <c r="AB11" s="4">
        <v>124</v>
      </c>
      <c r="AC11" s="4">
        <v>173</v>
      </c>
      <c r="AD11" s="4">
        <v>147</v>
      </c>
      <c r="AE11" s="4">
        <v>186</v>
      </c>
      <c r="AF11" s="4">
        <v>273</v>
      </c>
      <c r="AG11" s="4">
        <v>192</v>
      </c>
      <c r="AH11" s="4">
        <v>213</v>
      </c>
      <c r="AI11" s="4">
        <v>252</v>
      </c>
      <c r="AJ11" s="4">
        <v>211</v>
      </c>
      <c r="AK11" s="4">
        <v>489</v>
      </c>
      <c r="AL11" s="4">
        <v>542</v>
      </c>
      <c r="AM11" s="4">
        <v>599</v>
      </c>
      <c r="AN11" s="4">
        <v>478</v>
      </c>
      <c r="AO11" s="4">
        <v>769</v>
      </c>
      <c r="AP11" s="4">
        <v>876</v>
      </c>
      <c r="AQ11" s="4">
        <v>949</v>
      </c>
      <c r="AR11" s="4">
        <v>747</v>
      </c>
      <c r="AS11" s="4">
        <v>502</v>
      </c>
      <c r="AT11" s="4">
        <v>726</v>
      </c>
      <c r="AU11" s="4">
        <v>914</v>
      </c>
      <c r="AV11" s="3">
        <v>1124</v>
      </c>
      <c r="AW11" s="3">
        <v>1326</v>
      </c>
      <c r="AX11" s="3">
        <v>1683</v>
      </c>
      <c r="AY11" s="3">
        <v>1753</v>
      </c>
      <c r="AZ11" s="3">
        <v>2017</v>
      </c>
      <c r="BA11" s="3">
        <v>2247</v>
      </c>
      <c r="BB11" s="3">
        <v>2825</v>
      </c>
      <c r="BC11" s="42">
        <f>2650762/1000</f>
        <v>2650.7620000000002</v>
      </c>
      <c r="BD11" s="42"/>
    </row>
    <row r="12" spans="1:56" s="5" customFormat="1" x14ac:dyDescent="0.25">
      <c r="A12" s="14"/>
      <c r="B12" s="6"/>
      <c r="C12" s="6" t="s">
        <v>9</v>
      </c>
      <c r="D12" s="7">
        <v>0</v>
      </c>
      <c r="E12" s="7">
        <v>0</v>
      </c>
      <c r="F12" s="7">
        <v>0</v>
      </c>
      <c r="G12" s="7">
        <v>0</v>
      </c>
      <c r="H12" s="7">
        <v>546</v>
      </c>
      <c r="I12" s="7">
        <v>610</v>
      </c>
      <c r="J12" s="7">
        <v>555</v>
      </c>
      <c r="K12" s="7">
        <v>553</v>
      </c>
      <c r="L12" s="7">
        <v>561</v>
      </c>
      <c r="M12" s="7">
        <v>664</v>
      </c>
      <c r="N12" s="7">
        <v>659</v>
      </c>
      <c r="O12" s="7">
        <v>652</v>
      </c>
      <c r="P12" s="7">
        <v>632</v>
      </c>
      <c r="Q12" s="7">
        <v>663</v>
      </c>
      <c r="R12" s="7">
        <v>652</v>
      </c>
      <c r="S12" s="7">
        <v>718</v>
      </c>
      <c r="T12" s="7">
        <v>629</v>
      </c>
      <c r="U12" s="7">
        <v>761</v>
      </c>
      <c r="V12" s="7">
        <v>774</v>
      </c>
      <c r="W12" s="7">
        <v>972</v>
      </c>
      <c r="X12" s="7">
        <v>965</v>
      </c>
      <c r="Y12" s="7">
        <v>996</v>
      </c>
      <c r="Z12" s="8">
        <v>1081</v>
      </c>
      <c r="AA12" s="7">
        <v>979</v>
      </c>
      <c r="AB12" s="7">
        <v>964</v>
      </c>
      <c r="AC12" s="7">
        <v>954</v>
      </c>
      <c r="AD12" s="8">
        <v>1166</v>
      </c>
      <c r="AE12" s="8">
        <v>1210</v>
      </c>
      <c r="AF12" s="8">
        <v>1007</v>
      </c>
      <c r="AG12" s="8">
        <v>1294</v>
      </c>
      <c r="AH12" s="8">
        <v>1181</v>
      </c>
      <c r="AI12" s="8">
        <v>1270</v>
      </c>
      <c r="AJ12" s="8">
        <v>1535</v>
      </c>
      <c r="AK12" s="8">
        <v>1424</v>
      </c>
      <c r="AL12" s="8">
        <v>1743</v>
      </c>
      <c r="AM12" s="8">
        <v>1827</v>
      </c>
      <c r="AN12" s="8">
        <v>1961</v>
      </c>
      <c r="AO12" s="8">
        <v>2063</v>
      </c>
      <c r="AP12" s="8">
        <v>2064</v>
      </c>
      <c r="AQ12" s="8">
        <v>2213</v>
      </c>
      <c r="AR12" s="8">
        <v>2219</v>
      </c>
      <c r="AS12" s="8">
        <v>2197</v>
      </c>
      <c r="AT12" s="8">
        <v>2296</v>
      </c>
      <c r="AU12" s="8">
        <v>2070</v>
      </c>
      <c r="AV12" s="8">
        <v>2046</v>
      </c>
      <c r="AW12" s="8">
        <v>1996</v>
      </c>
      <c r="AX12" s="8">
        <v>1978</v>
      </c>
      <c r="AY12" s="8">
        <v>1777</v>
      </c>
      <c r="AZ12" s="8">
        <v>1681</v>
      </c>
      <c r="BA12" s="8">
        <v>1674</v>
      </c>
      <c r="BB12" s="8">
        <v>1825</v>
      </c>
      <c r="BC12" s="43">
        <f>BC9+BC10-BC11</f>
        <v>1885.904</v>
      </c>
      <c r="BD12" s="43"/>
    </row>
    <row r="13" spans="1:56" x14ac:dyDescent="0.25">
      <c r="A13" s="12"/>
      <c r="B13" s="2" t="s">
        <v>12</v>
      </c>
      <c r="C13" s="2" t="s">
        <v>7</v>
      </c>
      <c r="D13" s="4">
        <v>48</v>
      </c>
      <c r="E13" s="4">
        <v>39</v>
      </c>
      <c r="F13" s="4">
        <v>39</v>
      </c>
      <c r="G13" s="4">
        <v>47</v>
      </c>
      <c r="H13" s="4">
        <v>46</v>
      </c>
      <c r="I13" s="4">
        <v>54</v>
      </c>
      <c r="J13" s="4">
        <v>39</v>
      </c>
      <c r="K13" s="4">
        <v>41</v>
      </c>
      <c r="L13" s="4">
        <v>42</v>
      </c>
      <c r="M13" s="4">
        <v>42</v>
      </c>
      <c r="N13" s="4">
        <v>48</v>
      </c>
      <c r="O13" s="4">
        <v>71</v>
      </c>
      <c r="P13" s="4">
        <v>66</v>
      </c>
      <c r="Q13" s="4">
        <v>66</v>
      </c>
      <c r="R13" s="4">
        <v>56</v>
      </c>
      <c r="S13" s="4">
        <v>60</v>
      </c>
      <c r="T13" s="4">
        <v>66</v>
      </c>
      <c r="U13" s="4">
        <v>89</v>
      </c>
      <c r="V13" s="4">
        <v>89</v>
      </c>
      <c r="W13" s="4">
        <v>90</v>
      </c>
      <c r="X13" s="4">
        <v>99</v>
      </c>
      <c r="Y13" s="4">
        <v>99</v>
      </c>
      <c r="Z13" s="4">
        <v>99</v>
      </c>
      <c r="AA13" s="4">
        <v>105</v>
      </c>
      <c r="AB13" s="4">
        <v>108</v>
      </c>
      <c r="AC13" s="4">
        <v>87</v>
      </c>
      <c r="AD13" s="4">
        <v>85</v>
      </c>
      <c r="AE13" s="4">
        <v>113</v>
      </c>
      <c r="AF13" s="4">
        <v>115</v>
      </c>
      <c r="AG13" s="4">
        <v>155</v>
      </c>
      <c r="AH13" s="4">
        <v>189</v>
      </c>
      <c r="AI13" s="4">
        <v>175</v>
      </c>
      <c r="AJ13" s="4">
        <v>184</v>
      </c>
      <c r="AK13" s="4">
        <v>187</v>
      </c>
      <c r="AL13" s="4">
        <v>217</v>
      </c>
      <c r="AM13" s="4">
        <v>225</v>
      </c>
      <c r="AN13" s="4">
        <v>240</v>
      </c>
      <c r="AO13" s="4">
        <v>245</v>
      </c>
      <c r="AP13" s="4">
        <v>248</v>
      </c>
      <c r="AQ13" s="4">
        <v>251</v>
      </c>
      <c r="AR13" s="4">
        <v>255</v>
      </c>
      <c r="AS13" s="4">
        <v>229</v>
      </c>
      <c r="AT13" s="4">
        <v>242</v>
      </c>
      <c r="AU13" s="4">
        <v>285</v>
      </c>
      <c r="AV13" s="4">
        <v>321</v>
      </c>
      <c r="AW13" s="4">
        <v>333</v>
      </c>
      <c r="AX13" s="4">
        <v>341</v>
      </c>
      <c r="AY13" s="4">
        <v>388</v>
      </c>
      <c r="AZ13" s="4">
        <v>329</v>
      </c>
      <c r="BA13" s="4">
        <v>363</v>
      </c>
      <c r="BB13" s="4">
        <v>340</v>
      </c>
      <c r="BC13" s="42">
        <f>365764/1000</f>
        <v>365.76400000000001</v>
      </c>
      <c r="BD13" s="42"/>
    </row>
    <row r="14" spans="1:56" s="5" customFormat="1" x14ac:dyDescent="0.25">
      <c r="A14" s="14"/>
      <c r="B14" s="6"/>
      <c r="C14" s="6" t="s">
        <v>9</v>
      </c>
      <c r="D14" s="7">
        <v>48</v>
      </c>
      <c r="E14" s="7">
        <v>39</v>
      </c>
      <c r="F14" s="7">
        <v>39</v>
      </c>
      <c r="G14" s="7">
        <v>47</v>
      </c>
      <c r="H14" s="7">
        <v>46</v>
      </c>
      <c r="I14" s="7">
        <v>54</v>
      </c>
      <c r="J14" s="7">
        <v>39</v>
      </c>
      <c r="K14" s="7">
        <v>41</v>
      </c>
      <c r="L14" s="7">
        <v>42</v>
      </c>
      <c r="M14" s="7">
        <v>42</v>
      </c>
      <c r="N14" s="7">
        <v>48</v>
      </c>
      <c r="O14" s="7">
        <v>71</v>
      </c>
      <c r="P14" s="7">
        <v>66</v>
      </c>
      <c r="Q14" s="7">
        <v>66</v>
      </c>
      <c r="R14" s="7">
        <v>56</v>
      </c>
      <c r="S14" s="7">
        <v>60</v>
      </c>
      <c r="T14" s="7">
        <v>66</v>
      </c>
      <c r="U14" s="7">
        <v>89</v>
      </c>
      <c r="V14" s="7">
        <v>89</v>
      </c>
      <c r="W14" s="7">
        <v>90</v>
      </c>
      <c r="X14" s="7">
        <v>99</v>
      </c>
      <c r="Y14" s="7">
        <v>99</v>
      </c>
      <c r="Z14" s="7">
        <v>99</v>
      </c>
      <c r="AA14" s="7">
        <v>105</v>
      </c>
      <c r="AB14" s="7">
        <v>108</v>
      </c>
      <c r="AC14" s="7">
        <v>87</v>
      </c>
      <c r="AD14" s="7">
        <v>85</v>
      </c>
      <c r="AE14" s="7">
        <v>113</v>
      </c>
      <c r="AF14" s="7">
        <v>115</v>
      </c>
      <c r="AG14" s="7">
        <v>155</v>
      </c>
      <c r="AH14" s="7">
        <v>189</v>
      </c>
      <c r="AI14" s="7">
        <v>175</v>
      </c>
      <c r="AJ14" s="7">
        <v>184</v>
      </c>
      <c r="AK14" s="7">
        <v>187</v>
      </c>
      <c r="AL14" s="7">
        <v>217</v>
      </c>
      <c r="AM14" s="7">
        <v>225</v>
      </c>
      <c r="AN14" s="7">
        <v>240</v>
      </c>
      <c r="AO14" s="7">
        <v>245</v>
      </c>
      <c r="AP14" s="7">
        <v>248</v>
      </c>
      <c r="AQ14" s="7">
        <v>251</v>
      </c>
      <c r="AR14" s="7">
        <v>255</v>
      </c>
      <c r="AS14" s="7">
        <v>229</v>
      </c>
      <c r="AT14" s="7">
        <v>242</v>
      </c>
      <c r="AU14" s="7">
        <v>285</v>
      </c>
      <c r="AV14" s="7">
        <v>321</v>
      </c>
      <c r="AW14" s="7">
        <v>333</v>
      </c>
      <c r="AX14" s="7">
        <v>341</v>
      </c>
      <c r="AY14" s="7">
        <v>388</v>
      </c>
      <c r="AZ14" s="7">
        <v>329</v>
      </c>
      <c r="BA14" s="7">
        <v>363</v>
      </c>
      <c r="BB14" s="7">
        <v>340</v>
      </c>
      <c r="BC14" s="43"/>
      <c r="BD14" s="43"/>
    </row>
    <row r="15" spans="1:56" s="5" customFormat="1" x14ac:dyDescent="0.25">
      <c r="A15" s="12"/>
      <c r="B15" s="2" t="s">
        <v>14</v>
      </c>
      <c r="C15" s="2" t="s">
        <v>42</v>
      </c>
      <c r="D15" s="4">
        <v>146</v>
      </c>
      <c r="E15" s="4">
        <v>127</v>
      </c>
      <c r="F15" s="4">
        <v>127</v>
      </c>
      <c r="G15" s="4">
        <v>133</v>
      </c>
      <c r="H15" s="4">
        <v>145</v>
      </c>
      <c r="I15" s="4">
        <v>131</v>
      </c>
      <c r="J15" s="4">
        <v>147</v>
      </c>
      <c r="K15" s="4">
        <v>135</v>
      </c>
      <c r="L15" s="4">
        <v>135</v>
      </c>
      <c r="M15" s="4">
        <v>134</v>
      </c>
      <c r="N15" s="4">
        <v>97</v>
      </c>
      <c r="O15" s="4">
        <v>149</v>
      </c>
      <c r="P15" s="4">
        <v>146</v>
      </c>
      <c r="Q15" s="4">
        <v>114</v>
      </c>
      <c r="R15" s="4">
        <v>108</v>
      </c>
      <c r="S15" s="4">
        <v>120</v>
      </c>
      <c r="T15" s="4">
        <v>156</v>
      </c>
      <c r="U15" s="4">
        <v>155</v>
      </c>
      <c r="V15" s="4">
        <v>123</v>
      </c>
      <c r="W15" s="4">
        <v>133</v>
      </c>
      <c r="X15" s="4">
        <v>108</v>
      </c>
      <c r="Y15" s="4">
        <v>141</v>
      </c>
      <c r="Z15" s="4">
        <v>128</v>
      </c>
      <c r="AA15" s="4">
        <v>135</v>
      </c>
      <c r="AB15" s="4">
        <v>116</v>
      </c>
      <c r="AC15" s="4">
        <v>52</v>
      </c>
      <c r="AD15" s="4">
        <v>122</v>
      </c>
      <c r="AE15" s="4">
        <v>147</v>
      </c>
      <c r="AF15" s="4">
        <v>114</v>
      </c>
      <c r="AG15" s="4">
        <v>117</v>
      </c>
      <c r="AH15" s="4">
        <v>147</v>
      </c>
      <c r="AI15" s="4">
        <v>151</v>
      </c>
      <c r="AJ15" s="4">
        <v>123</v>
      </c>
      <c r="AK15" s="4">
        <v>123</v>
      </c>
      <c r="AL15" s="4">
        <v>182</v>
      </c>
      <c r="AM15" s="4">
        <v>164</v>
      </c>
      <c r="AN15" s="4">
        <v>157</v>
      </c>
      <c r="AO15" s="4">
        <v>105</v>
      </c>
      <c r="AP15" s="4">
        <v>95</v>
      </c>
      <c r="AQ15" s="4">
        <v>73</v>
      </c>
      <c r="AR15" s="4">
        <v>121</v>
      </c>
      <c r="AS15" s="4">
        <v>88</v>
      </c>
      <c r="AT15" s="4">
        <v>54</v>
      </c>
      <c r="AU15" s="4">
        <v>98</v>
      </c>
      <c r="AV15" s="4">
        <v>105</v>
      </c>
      <c r="AW15" s="4">
        <v>105</v>
      </c>
      <c r="AX15" s="4">
        <v>135</v>
      </c>
      <c r="AY15" s="4">
        <v>126</v>
      </c>
      <c r="AZ15" s="4">
        <v>50</v>
      </c>
      <c r="BA15" s="4">
        <v>125</v>
      </c>
      <c r="BB15" s="13">
        <v>125</v>
      </c>
      <c r="BC15" s="43">
        <f>775000/1000</f>
        <v>775</v>
      </c>
      <c r="BD15" s="43">
        <f>598700/1000</f>
        <v>598.70000000000005</v>
      </c>
    </row>
    <row r="16" spans="1:56" x14ac:dyDescent="0.25">
      <c r="A16" s="12"/>
      <c r="B16" s="6"/>
      <c r="C16" s="6" t="s">
        <v>45</v>
      </c>
      <c r="D16" s="7">
        <v>689</v>
      </c>
      <c r="E16" s="7">
        <v>755</v>
      </c>
      <c r="F16" s="7">
        <v>760</v>
      </c>
      <c r="G16" s="7">
        <v>766</v>
      </c>
      <c r="H16" s="7">
        <v>818</v>
      </c>
      <c r="I16" s="7">
        <v>825</v>
      </c>
      <c r="J16" s="7">
        <v>893</v>
      </c>
      <c r="K16" s="7">
        <v>870</v>
      </c>
      <c r="L16" s="7">
        <v>946</v>
      </c>
      <c r="M16" s="7">
        <v>999</v>
      </c>
      <c r="N16" s="7">
        <v>901</v>
      </c>
      <c r="O16" s="7">
        <v>918</v>
      </c>
      <c r="P16" s="7">
        <v>945</v>
      </c>
      <c r="Q16" s="7">
        <v>987</v>
      </c>
      <c r="R16" s="7">
        <v>795</v>
      </c>
      <c r="S16" s="8">
        <v>1030</v>
      </c>
      <c r="T16" s="8">
        <v>1015</v>
      </c>
      <c r="U16" s="8">
        <v>1050</v>
      </c>
      <c r="V16" s="8">
        <v>1046</v>
      </c>
      <c r="W16" s="7">
        <v>989</v>
      </c>
      <c r="X16" s="7">
        <v>922</v>
      </c>
      <c r="Y16" s="7">
        <v>929</v>
      </c>
      <c r="Z16" s="8">
        <v>1099</v>
      </c>
      <c r="AA16" s="7">
        <v>993</v>
      </c>
      <c r="AB16" s="8">
        <v>1070</v>
      </c>
      <c r="AC16" s="8">
        <v>1145</v>
      </c>
      <c r="AD16" s="8">
        <v>1119</v>
      </c>
      <c r="AE16" s="7">
        <v>928</v>
      </c>
      <c r="AF16" s="7">
        <v>711</v>
      </c>
      <c r="AG16" s="7">
        <v>824</v>
      </c>
      <c r="AH16" s="8">
        <v>1109</v>
      </c>
      <c r="AI16" s="7">
        <v>961</v>
      </c>
      <c r="AJ16" s="8">
        <v>1110</v>
      </c>
      <c r="AK16" s="8">
        <v>1155</v>
      </c>
      <c r="AL16" s="8">
        <v>1090</v>
      </c>
      <c r="AM16" s="8">
        <v>1156</v>
      </c>
      <c r="AN16" s="8">
        <v>1062</v>
      </c>
      <c r="AO16" s="8">
        <v>1056</v>
      </c>
      <c r="AP16" s="8">
        <v>1129</v>
      </c>
      <c r="AQ16" s="8">
        <v>1207</v>
      </c>
      <c r="AR16" s="8">
        <v>1211</v>
      </c>
      <c r="AS16" s="8">
        <v>1235</v>
      </c>
      <c r="AT16" s="8">
        <v>1329</v>
      </c>
      <c r="AU16" s="8">
        <v>1323</v>
      </c>
      <c r="AV16" s="8">
        <v>1274</v>
      </c>
      <c r="AW16" s="8">
        <v>1445</v>
      </c>
      <c r="AX16" s="8">
        <v>1294</v>
      </c>
      <c r="AY16" s="8">
        <v>1417</v>
      </c>
      <c r="AZ16" s="8">
        <v>1350</v>
      </c>
      <c r="BA16" s="8">
        <v>1300</v>
      </c>
      <c r="BB16" s="25">
        <v>1300</v>
      </c>
      <c r="BC16" s="42">
        <f>1128903/1000</f>
        <v>1128.903</v>
      </c>
      <c r="BD16" s="42"/>
    </row>
    <row r="17" spans="1:56" s="5" customFormat="1" x14ac:dyDescent="0.25">
      <c r="A17" s="12"/>
      <c r="B17" s="2"/>
      <c r="C17" s="2" t="s">
        <v>44</v>
      </c>
      <c r="D17" s="4">
        <v>8</v>
      </c>
      <c r="E17" s="4">
        <v>11</v>
      </c>
      <c r="F17" s="4">
        <v>0</v>
      </c>
      <c r="G17" s="4">
        <v>15</v>
      </c>
      <c r="H17" s="4">
        <v>18</v>
      </c>
      <c r="I17" s="4">
        <v>16</v>
      </c>
      <c r="J17" s="4">
        <v>21</v>
      </c>
      <c r="K17" s="4">
        <v>23</v>
      </c>
      <c r="L17" s="4">
        <v>16</v>
      </c>
      <c r="M17" s="4">
        <v>15</v>
      </c>
      <c r="N17" s="4">
        <v>12</v>
      </c>
      <c r="O17" s="4">
        <v>18</v>
      </c>
      <c r="P17" s="4">
        <v>64</v>
      </c>
      <c r="Q17" s="4">
        <v>20</v>
      </c>
      <c r="R17" s="4">
        <v>43</v>
      </c>
      <c r="S17" s="4">
        <v>62</v>
      </c>
      <c r="T17" s="4">
        <v>58</v>
      </c>
      <c r="U17" s="4">
        <v>114</v>
      </c>
      <c r="V17" s="4">
        <v>143</v>
      </c>
      <c r="W17" s="4">
        <v>32</v>
      </c>
      <c r="X17" s="4">
        <v>64</v>
      </c>
      <c r="Y17" s="4">
        <v>95</v>
      </c>
      <c r="Z17" s="4">
        <v>97</v>
      </c>
      <c r="AA17" s="4">
        <v>73</v>
      </c>
      <c r="AB17" s="4">
        <v>71</v>
      </c>
      <c r="AC17" s="4">
        <v>67</v>
      </c>
      <c r="AD17" s="4">
        <v>101</v>
      </c>
      <c r="AE17" s="4">
        <v>76</v>
      </c>
      <c r="AF17" s="4">
        <v>53</v>
      </c>
      <c r="AG17" s="4">
        <v>33</v>
      </c>
      <c r="AH17" s="4">
        <v>29</v>
      </c>
      <c r="AI17" s="4">
        <v>36</v>
      </c>
      <c r="AJ17" s="4">
        <v>42</v>
      </c>
      <c r="AK17" s="4">
        <v>43</v>
      </c>
      <c r="AL17" s="4">
        <v>50</v>
      </c>
      <c r="AM17" s="4">
        <v>34</v>
      </c>
      <c r="AN17" s="4">
        <v>19</v>
      </c>
      <c r="AO17" s="4">
        <v>21</v>
      </c>
      <c r="AP17" s="4">
        <v>13</v>
      </c>
      <c r="AQ17" s="4">
        <v>13</v>
      </c>
      <c r="AR17" s="4">
        <v>13</v>
      </c>
      <c r="AS17" s="4">
        <v>14</v>
      </c>
      <c r="AT17" s="4">
        <v>18</v>
      </c>
      <c r="AU17" s="4">
        <v>12</v>
      </c>
      <c r="AV17" s="4">
        <v>21</v>
      </c>
      <c r="AW17" s="4">
        <v>79</v>
      </c>
      <c r="AX17" s="4">
        <v>41</v>
      </c>
      <c r="AY17" s="4">
        <v>77</v>
      </c>
      <c r="AZ17" s="4">
        <v>60</v>
      </c>
      <c r="BA17" s="4">
        <v>70</v>
      </c>
      <c r="BB17" s="13">
        <v>70</v>
      </c>
      <c r="BC17" s="43">
        <f>553/1000</f>
        <v>0.55300000000000005</v>
      </c>
      <c r="BD17" s="43"/>
    </row>
    <row r="18" spans="1:56" ht="30" x14ac:dyDescent="0.25">
      <c r="A18" s="12"/>
      <c r="B18" s="6"/>
      <c r="C18" s="6" t="s">
        <v>43</v>
      </c>
      <c r="D18" s="7">
        <f>D15+D16-D17</f>
        <v>827</v>
      </c>
      <c r="E18" s="7">
        <f t="shared" ref="E18:BC18" si="0">E15+E16-E17</f>
        <v>871</v>
      </c>
      <c r="F18" s="7">
        <f t="shared" si="0"/>
        <v>887</v>
      </c>
      <c r="G18" s="7">
        <f t="shared" si="0"/>
        <v>884</v>
      </c>
      <c r="H18" s="7">
        <f t="shared" si="0"/>
        <v>945</v>
      </c>
      <c r="I18" s="7">
        <f t="shared" si="0"/>
        <v>940</v>
      </c>
      <c r="J18" s="7">
        <f t="shared" si="0"/>
        <v>1019</v>
      </c>
      <c r="K18" s="7">
        <f t="shared" si="0"/>
        <v>982</v>
      </c>
      <c r="L18" s="7">
        <f t="shared" si="0"/>
        <v>1065</v>
      </c>
      <c r="M18" s="7">
        <f t="shared" si="0"/>
        <v>1118</v>
      </c>
      <c r="N18" s="7">
        <f t="shared" si="0"/>
        <v>986</v>
      </c>
      <c r="O18" s="7">
        <f t="shared" si="0"/>
        <v>1049</v>
      </c>
      <c r="P18" s="7">
        <f t="shared" si="0"/>
        <v>1027</v>
      </c>
      <c r="Q18" s="7">
        <f t="shared" si="0"/>
        <v>1081</v>
      </c>
      <c r="R18" s="7">
        <f t="shared" si="0"/>
        <v>860</v>
      </c>
      <c r="S18" s="7">
        <f t="shared" si="0"/>
        <v>1088</v>
      </c>
      <c r="T18" s="7">
        <f t="shared" si="0"/>
        <v>1113</v>
      </c>
      <c r="U18" s="7">
        <f t="shared" si="0"/>
        <v>1091</v>
      </c>
      <c r="V18" s="7">
        <f t="shared" si="0"/>
        <v>1026</v>
      </c>
      <c r="W18" s="7">
        <f t="shared" si="0"/>
        <v>1090</v>
      </c>
      <c r="X18" s="7">
        <f t="shared" si="0"/>
        <v>966</v>
      </c>
      <c r="Y18" s="7">
        <f t="shared" si="0"/>
        <v>975</v>
      </c>
      <c r="Z18" s="7">
        <f t="shared" si="0"/>
        <v>1130</v>
      </c>
      <c r="AA18" s="7">
        <f t="shared" si="0"/>
        <v>1055</v>
      </c>
      <c r="AB18" s="7">
        <f t="shared" si="0"/>
        <v>1115</v>
      </c>
      <c r="AC18" s="7">
        <f t="shared" si="0"/>
        <v>1130</v>
      </c>
      <c r="AD18" s="7">
        <f t="shared" si="0"/>
        <v>1140</v>
      </c>
      <c r="AE18" s="7">
        <f t="shared" si="0"/>
        <v>999</v>
      </c>
      <c r="AF18" s="7">
        <f t="shared" si="0"/>
        <v>772</v>
      </c>
      <c r="AG18" s="7">
        <f t="shared" si="0"/>
        <v>908</v>
      </c>
      <c r="AH18" s="7">
        <f t="shared" si="0"/>
        <v>1227</v>
      </c>
      <c r="AI18" s="7">
        <f t="shared" si="0"/>
        <v>1076</v>
      </c>
      <c r="AJ18" s="7">
        <f t="shared" si="0"/>
        <v>1191</v>
      </c>
      <c r="AK18" s="7">
        <f t="shared" si="0"/>
        <v>1235</v>
      </c>
      <c r="AL18" s="7">
        <f t="shared" si="0"/>
        <v>1222</v>
      </c>
      <c r="AM18" s="7">
        <f t="shared" si="0"/>
        <v>1286</v>
      </c>
      <c r="AN18" s="7">
        <f t="shared" si="0"/>
        <v>1200</v>
      </c>
      <c r="AO18" s="7">
        <f t="shared" si="0"/>
        <v>1140</v>
      </c>
      <c r="AP18" s="7">
        <f t="shared" si="0"/>
        <v>1211</v>
      </c>
      <c r="AQ18" s="7">
        <f t="shared" si="0"/>
        <v>1267</v>
      </c>
      <c r="AR18" s="7">
        <f t="shared" si="0"/>
        <v>1319</v>
      </c>
      <c r="AS18" s="7">
        <f t="shared" si="0"/>
        <v>1309</v>
      </c>
      <c r="AT18" s="7">
        <f t="shared" si="0"/>
        <v>1365</v>
      </c>
      <c r="AU18" s="7">
        <f t="shared" si="0"/>
        <v>1409</v>
      </c>
      <c r="AV18" s="7">
        <f t="shared" si="0"/>
        <v>1358</v>
      </c>
      <c r="AW18" s="7">
        <f t="shared" si="0"/>
        <v>1471</v>
      </c>
      <c r="AX18" s="7">
        <f t="shared" si="0"/>
        <v>1388</v>
      </c>
      <c r="AY18" s="7">
        <f t="shared" si="0"/>
        <v>1466</v>
      </c>
      <c r="AZ18" s="7">
        <f t="shared" si="0"/>
        <v>1340</v>
      </c>
      <c r="BA18" s="7">
        <f t="shared" si="0"/>
        <v>1355</v>
      </c>
      <c r="BB18" s="7">
        <f t="shared" si="0"/>
        <v>1355</v>
      </c>
      <c r="BC18" s="7">
        <f t="shared" si="0"/>
        <v>1903.35</v>
      </c>
      <c r="BD18" s="42"/>
    </row>
    <row r="19" spans="1:56" s="5" customFormat="1" x14ac:dyDescent="0.25">
      <c r="A19" s="14"/>
      <c r="B19" s="6" t="s">
        <v>15</v>
      </c>
      <c r="C19" s="6" t="s">
        <v>6</v>
      </c>
      <c r="D19" s="8">
        <v>14108</v>
      </c>
      <c r="E19" s="8">
        <v>7713</v>
      </c>
      <c r="F19" s="8">
        <v>15392</v>
      </c>
      <c r="G19" s="8">
        <v>19690</v>
      </c>
      <c r="H19" s="8">
        <v>16349</v>
      </c>
      <c r="I19" s="8">
        <v>17674</v>
      </c>
      <c r="J19" s="8">
        <v>22516</v>
      </c>
      <c r="K19" s="8">
        <v>16137</v>
      </c>
      <c r="L19" s="8">
        <v>17689</v>
      </c>
      <c r="M19" s="8">
        <v>18267</v>
      </c>
      <c r="N19" s="8">
        <v>9024</v>
      </c>
      <c r="O19" s="8">
        <v>14412</v>
      </c>
      <c r="P19" s="8">
        <v>14514</v>
      </c>
      <c r="Q19" s="8">
        <v>16159</v>
      </c>
      <c r="R19" s="8">
        <v>13295</v>
      </c>
      <c r="S19" s="8">
        <v>17078</v>
      </c>
      <c r="T19" s="8">
        <v>23587</v>
      </c>
      <c r="U19" s="8">
        <v>19862</v>
      </c>
      <c r="V19" s="8">
        <v>21145</v>
      </c>
      <c r="W19" s="8">
        <v>17185</v>
      </c>
      <c r="X19" s="8">
        <v>19291</v>
      </c>
      <c r="Y19" s="8">
        <v>24802</v>
      </c>
      <c r="Z19" s="8">
        <v>26715</v>
      </c>
      <c r="AA19" s="8">
        <v>26465</v>
      </c>
      <c r="AB19" s="8">
        <v>21188</v>
      </c>
      <c r="AC19" s="8">
        <v>24252</v>
      </c>
      <c r="AD19" s="8">
        <v>31359</v>
      </c>
      <c r="AE19" s="8">
        <v>25945</v>
      </c>
      <c r="AF19" s="8">
        <v>15913</v>
      </c>
      <c r="AG19" s="8">
        <v>24796</v>
      </c>
      <c r="AH19" s="8">
        <v>32098</v>
      </c>
      <c r="AI19" s="8">
        <v>31946</v>
      </c>
      <c r="AJ19" s="8">
        <v>29871</v>
      </c>
      <c r="AK19" s="8">
        <v>27226</v>
      </c>
      <c r="AL19" s="8">
        <v>22920</v>
      </c>
      <c r="AM19" s="8">
        <v>24989</v>
      </c>
      <c r="AN19" s="8">
        <v>29801</v>
      </c>
      <c r="AO19" s="8">
        <v>24280</v>
      </c>
      <c r="AP19" s="8">
        <v>24082</v>
      </c>
      <c r="AQ19" s="8">
        <v>26941</v>
      </c>
      <c r="AR19" s="8">
        <v>26519</v>
      </c>
      <c r="AS19" s="8">
        <v>20568</v>
      </c>
      <c r="AT19" s="8">
        <v>16198</v>
      </c>
      <c r="AU19" s="8">
        <v>23049</v>
      </c>
      <c r="AV19" s="8">
        <v>24796</v>
      </c>
      <c r="AW19" s="8">
        <v>25748</v>
      </c>
      <c r="AX19" s="8">
        <v>25265</v>
      </c>
      <c r="AY19" s="8">
        <v>20054</v>
      </c>
      <c r="AZ19" s="8">
        <v>28611</v>
      </c>
      <c r="BA19" s="8">
        <v>26848</v>
      </c>
      <c r="BB19" s="8">
        <v>23167</v>
      </c>
      <c r="BC19" s="43">
        <f>25261400/1000</f>
        <v>25261.4</v>
      </c>
      <c r="BD19" s="43">
        <f>27205200/1000</f>
        <v>27205.200000000001</v>
      </c>
    </row>
    <row r="20" spans="1:56" x14ac:dyDescent="0.25">
      <c r="A20" s="12"/>
      <c r="B20" s="2"/>
      <c r="C20" s="2" t="s">
        <v>7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2</v>
      </c>
      <c r="AC20" s="4">
        <v>14</v>
      </c>
      <c r="AD20" s="4">
        <v>38</v>
      </c>
      <c r="AE20" s="4">
        <v>34</v>
      </c>
      <c r="AF20" s="4">
        <v>46</v>
      </c>
      <c r="AG20" s="4">
        <v>36</v>
      </c>
      <c r="AH20" s="4">
        <v>52</v>
      </c>
      <c r="AI20" s="4">
        <v>95</v>
      </c>
      <c r="AJ20" s="4">
        <v>113</v>
      </c>
      <c r="AK20" s="4">
        <v>151</v>
      </c>
      <c r="AL20" s="4">
        <v>136</v>
      </c>
      <c r="AM20" s="4">
        <v>158</v>
      </c>
      <c r="AN20" s="4">
        <v>241</v>
      </c>
      <c r="AO20" s="4">
        <v>132</v>
      </c>
      <c r="AP20" s="4">
        <v>152</v>
      </c>
      <c r="AQ20" s="4">
        <v>190</v>
      </c>
      <c r="AR20" s="4">
        <v>199</v>
      </c>
      <c r="AS20" s="4">
        <v>341</v>
      </c>
      <c r="AT20" s="4">
        <v>382</v>
      </c>
      <c r="AU20" s="4">
        <v>233</v>
      </c>
      <c r="AV20" s="4">
        <v>253</v>
      </c>
      <c r="AW20" s="4">
        <v>290</v>
      </c>
      <c r="AX20" s="4">
        <v>322</v>
      </c>
      <c r="AY20" s="4">
        <v>390</v>
      </c>
      <c r="AZ20" s="4">
        <v>378</v>
      </c>
      <c r="BA20" s="4">
        <v>403</v>
      </c>
      <c r="BB20" s="4">
        <v>400</v>
      </c>
      <c r="BC20" s="42">
        <f>64358/1000</f>
        <v>64.358000000000004</v>
      </c>
      <c r="BD20" s="42"/>
    </row>
    <row r="21" spans="1:56" s="5" customFormat="1" x14ac:dyDescent="0.25">
      <c r="A21" s="14"/>
      <c r="B21" s="6"/>
      <c r="C21" s="6" t="s">
        <v>8</v>
      </c>
      <c r="D21" s="8">
        <v>9614</v>
      </c>
      <c r="E21" s="8">
        <v>9744</v>
      </c>
      <c r="F21" s="8">
        <v>9018</v>
      </c>
      <c r="G21" s="8">
        <v>16181</v>
      </c>
      <c r="H21" s="8">
        <v>10875</v>
      </c>
      <c r="I21" s="8">
        <v>15918</v>
      </c>
      <c r="J21" s="8">
        <v>14024</v>
      </c>
      <c r="K21" s="8">
        <v>9145</v>
      </c>
      <c r="L21" s="8">
        <v>8323</v>
      </c>
      <c r="M21" s="8">
        <v>9430</v>
      </c>
      <c r="N21" s="8">
        <v>11846</v>
      </c>
      <c r="O21" s="8">
        <v>13710</v>
      </c>
      <c r="P21" s="8">
        <v>15692</v>
      </c>
      <c r="Q21" s="8">
        <v>11414</v>
      </c>
      <c r="R21" s="8">
        <v>10739</v>
      </c>
      <c r="S21" s="8">
        <v>12253</v>
      </c>
      <c r="T21" s="8">
        <v>13446</v>
      </c>
      <c r="U21" s="8">
        <v>15997</v>
      </c>
      <c r="V21" s="8">
        <v>13061</v>
      </c>
      <c r="W21" s="8">
        <v>15883</v>
      </c>
      <c r="X21" s="8">
        <v>16262</v>
      </c>
      <c r="Y21" s="8">
        <v>18447</v>
      </c>
      <c r="Z21" s="8">
        <v>21368</v>
      </c>
      <c r="AA21" s="8">
        <v>21765</v>
      </c>
      <c r="AB21" s="8">
        <v>17543</v>
      </c>
      <c r="AC21" s="8">
        <v>17697</v>
      </c>
      <c r="AD21" s="8">
        <v>20783</v>
      </c>
      <c r="AE21" s="8">
        <v>23518</v>
      </c>
      <c r="AF21" s="8">
        <v>12429</v>
      </c>
      <c r="AG21" s="8">
        <v>16885</v>
      </c>
      <c r="AH21" s="8">
        <v>21731</v>
      </c>
      <c r="AI21" s="8">
        <v>24481</v>
      </c>
      <c r="AJ21" s="8">
        <v>19709</v>
      </c>
      <c r="AK21" s="8">
        <v>19100</v>
      </c>
      <c r="AL21" s="8">
        <v>20851</v>
      </c>
      <c r="AM21" s="8">
        <v>16342</v>
      </c>
      <c r="AN21" s="8">
        <v>19501</v>
      </c>
      <c r="AO21" s="8">
        <v>20134</v>
      </c>
      <c r="AP21" s="8">
        <v>14705</v>
      </c>
      <c r="AQ21" s="8">
        <v>19165</v>
      </c>
      <c r="AR21" s="8">
        <v>17316</v>
      </c>
      <c r="AS21" s="8">
        <v>16272</v>
      </c>
      <c r="AT21" s="8">
        <v>9432</v>
      </c>
      <c r="AU21" s="8">
        <v>15843</v>
      </c>
      <c r="AV21" s="8">
        <v>14872</v>
      </c>
      <c r="AW21" s="8">
        <v>16020</v>
      </c>
      <c r="AX21" s="8">
        <v>19434</v>
      </c>
      <c r="AY21" s="8">
        <v>16116</v>
      </c>
      <c r="AZ21" s="8">
        <v>18812</v>
      </c>
      <c r="BA21" s="8">
        <v>19023</v>
      </c>
      <c r="BB21" s="8">
        <v>17000</v>
      </c>
      <c r="BC21" s="43">
        <f>16335086/1000</f>
        <v>16335.085999999999</v>
      </c>
      <c r="BD21" s="43"/>
    </row>
    <row r="22" spans="1:56" x14ac:dyDescent="0.25">
      <c r="A22" s="12"/>
      <c r="B22" s="2"/>
      <c r="C22" s="2" t="s">
        <v>9</v>
      </c>
      <c r="D22" s="3">
        <v>4256</v>
      </c>
      <c r="E22" s="3">
        <v>3882</v>
      </c>
      <c r="F22" s="3">
        <v>3756</v>
      </c>
      <c r="G22" s="3">
        <v>4266</v>
      </c>
      <c r="H22" s="3">
        <v>4016</v>
      </c>
      <c r="I22" s="3">
        <v>4284</v>
      </c>
      <c r="J22" s="3">
        <v>4365</v>
      </c>
      <c r="K22" s="3">
        <v>4250</v>
      </c>
      <c r="L22" s="3">
        <v>4486</v>
      </c>
      <c r="M22" s="3">
        <v>4568</v>
      </c>
      <c r="N22" s="3">
        <v>4650</v>
      </c>
      <c r="O22" s="3">
        <v>4795</v>
      </c>
      <c r="P22" s="3">
        <v>4764</v>
      </c>
      <c r="Q22" s="3">
        <v>4601</v>
      </c>
      <c r="R22" s="3">
        <v>4607</v>
      </c>
      <c r="S22" s="3">
        <v>4641</v>
      </c>
      <c r="T22" s="3">
        <v>5045</v>
      </c>
      <c r="U22" s="3">
        <v>5068</v>
      </c>
      <c r="V22" s="3">
        <v>5290</v>
      </c>
      <c r="W22" s="3">
        <v>5490</v>
      </c>
      <c r="X22" s="3">
        <v>5240</v>
      </c>
      <c r="Y22" s="3">
        <v>5152</v>
      </c>
      <c r="Z22" s="3">
        <v>5087</v>
      </c>
      <c r="AA22" s="3">
        <v>5483</v>
      </c>
      <c r="AB22" s="3">
        <v>5239</v>
      </c>
      <c r="AC22" s="3">
        <v>5598</v>
      </c>
      <c r="AD22" s="3">
        <v>6452</v>
      </c>
      <c r="AE22" s="3">
        <v>7887</v>
      </c>
      <c r="AF22" s="3">
        <v>5803</v>
      </c>
      <c r="AG22" s="3">
        <v>6537</v>
      </c>
      <c r="AH22" s="3">
        <v>6576</v>
      </c>
      <c r="AI22" s="3">
        <v>7779</v>
      </c>
      <c r="AJ22" s="3">
        <v>8148</v>
      </c>
      <c r="AK22" s="3">
        <v>9352</v>
      </c>
      <c r="AL22" s="3">
        <v>7643</v>
      </c>
      <c r="AM22" s="3">
        <v>7758</v>
      </c>
      <c r="AN22" s="3">
        <v>8222</v>
      </c>
      <c r="AO22" s="3">
        <v>7315</v>
      </c>
      <c r="AP22" s="3">
        <v>8113</v>
      </c>
      <c r="AQ22" s="3">
        <v>8092</v>
      </c>
      <c r="AR22" s="3">
        <v>7043</v>
      </c>
      <c r="AS22" s="3">
        <v>7746</v>
      </c>
      <c r="AT22" s="3">
        <v>7972</v>
      </c>
      <c r="AU22" s="3">
        <v>7179</v>
      </c>
      <c r="AV22" s="3">
        <v>8240</v>
      </c>
      <c r="AW22" s="3">
        <v>8242</v>
      </c>
      <c r="AX22" s="3">
        <v>8986</v>
      </c>
      <c r="AY22" s="3">
        <v>6787</v>
      </c>
      <c r="AZ22" s="3">
        <v>8036</v>
      </c>
      <c r="BA22" s="3">
        <v>6955</v>
      </c>
      <c r="BB22" s="3">
        <v>8400</v>
      </c>
      <c r="BC22" s="42">
        <f>BC19+BC20-BC21</f>
        <v>8990.6720000000023</v>
      </c>
      <c r="BD22" s="42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9"/>
  <sheetViews>
    <sheetView zoomScaleNormal="100" workbookViewId="0">
      <pane xSplit="6" ySplit="15" topLeftCell="AW82" activePane="bottomRight" state="frozen"/>
      <selection pane="topRight" activeCell="G1" sqref="G1"/>
      <selection pane="bottomLeft" activeCell="A16" sqref="A16"/>
      <selection pane="bottomRight" activeCell="AW70" sqref="AW70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s="5" customFormat="1" x14ac:dyDescent="0.25">
      <c r="A2" s="14" t="s">
        <v>19</v>
      </c>
      <c r="B2" s="6" t="s">
        <v>5</v>
      </c>
      <c r="C2" s="6" t="s">
        <v>6</v>
      </c>
      <c r="D2" s="8">
        <v>14348</v>
      </c>
      <c r="E2" s="8">
        <v>21345</v>
      </c>
      <c r="F2" s="8">
        <v>20892</v>
      </c>
      <c r="G2" s="8">
        <v>20580</v>
      </c>
      <c r="H2" s="8">
        <v>22690</v>
      </c>
      <c r="I2" s="8">
        <v>23660</v>
      </c>
      <c r="J2" s="8">
        <v>27613</v>
      </c>
      <c r="K2" s="8">
        <v>29715</v>
      </c>
      <c r="L2" s="8">
        <v>26861</v>
      </c>
      <c r="M2" s="8">
        <v>27826</v>
      </c>
      <c r="N2" s="8">
        <v>33030</v>
      </c>
      <c r="O2" s="8">
        <v>35850</v>
      </c>
      <c r="P2" s="8">
        <v>32100</v>
      </c>
      <c r="Q2" s="8">
        <v>38630</v>
      </c>
      <c r="R2" s="8">
        <v>42920</v>
      </c>
      <c r="S2" s="8">
        <v>47220</v>
      </c>
      <c r="T2" s="8">
        <v>48160</v>
      </c>
      <c r="U2" s="8">
        <v>49390</v>
      </c>
      <c r="V2" s="8">
        <v>55945</v>
      </c>
      <c r="W2" s="8">
        <v>60035</v>
      </c>
      <c r="X2" s="8">
        <v>62600</v>
      </c>
      <c r="Y2" s="8">
        <v>59205</v>
      </c>
      <c r="Z2" s="8">
        <v>60560</v>
      </c>
      <c r="AA2" s="8">
        <v>68205</v>
      </c>
      <c r="AB2" s="8">
        <v>73410</v>
      </c>
      <c r="AC2" s="8">
        <v>63826</v>
      </c>
      <c r="AD2" s="8">
        <v>70856</v>
      </c>
      <c r="AE2" s="8">
        <v>79240</v>
      </c>
      <c r="AF2" s="8">
        <v>77351</v>
      </c>
      <c r="AG2" s="8">
        <v>78928</v>
      </c>
      <c r="AH2" s="8">
        <v>96820</v>
      </c>
      <c r="AI2" s="8">
        <v>98770</v>
      </c>
      <c r="AJ2" s="8">
        <v>95380</v>
      </c>
      <c r="AK2" s="8">
        <v>102700</v>
      </c>
      <c r="AL2" s="8">
        <v>99280</v>
      </c>
      <c r="AM2" s="8">
        <v>112000</v>
      </c>
      <c r="AN2" s="8">
        <v>127470</v>
      </c>
      <c r="AO2" s="8">
        <v>104309</v>
      </c>
      <c r="AP2" s="8">
        <v>132954</v>
      </c>
      <c r="AQ2" s="8">
        <v>128086</v>
      </c>
      <c r="AR2" s="8">
        <v>106000</v>
      </c>
      <c r="AS2" s="8">
        <v>114088</v>
      </c>
      <c r="AT2" s="8">
        <v>121300</v>
      </c>
      <c r="AU2" s="8">
        <v>115830</v>
      </c>
      <c r="AV2" s="8">
        <v>130290</v>
      </c>
      <c r="AW2" s="8">
        <v>139365</v>
      </c>
      <c r="AX2" s="8">
        <v>151600</v>
      </c>
      <c r="AY2" s="8">
        <v>152300</v>
      </c>
      <c r="AZ2" s="8">
        <v>165900</v>
      </c>
      <c r="BA2" s="8">
        <v>158000</v>
      </c>
      <c r="BB2" s="47">
        <f>192904232/1000</f>
        <v>192904.23199999999</v>
      </c>
      <c r="BC2" s="43">
        <f>208234649/1000</f>
        <v>208234.649</v>
      </c>
      <c r="BD2" s="43">
        <f>218623645/1000</f>
        <v>218623.64499999999</v>
      </c>
    </row>
    <row r="3" spans="1:56" x14ac:dyDescent="0.25">
      <c r="A3" s="12"/>
      <c r="B3" s="2"/>
      <c r="C3" s="2" t="s">
        <v>7</v>
      </c>
      <c r="D3" s="4">
        <v>33</v>
      </c>
      <c r="E3" s="4">
        <v>212</v>
      </c>
      <c r="F3" s="4">
        <v>264</v>
      </c>
      <c r="G3" s="4">
        <v>212</v>
      </c>
      <c r="H3" s="4">
        <v>101</v>
      </c>
      <c r="I3" s="4">
        <v>31</v>
      </c>
      <c r="J3" s="4">
        <v>63</v>
      </c>
      <c r="K3" s="4">
        <v>113</v>
      </c>
      <c r="L3" s="4">
        <v>1</v>
      </c>
      <c r="M3" s="4">
        <v>0</v>
      </c>
      <c r="N3" s="4">
        <v>0</v>
      </c>
      <c r="O3" s="4">
        <v>0</v>
      </c>
      <c r="P3" s="4">
        <v>955</v>
      </c>
      <c r="Q3" s="3">
        <v>2058</v>
      </c>
      <c r="R3" s="4">
        <v>496</v>
      </c>
      <c r="S3" s="4">
        <v>0</v>
      </c>
      <c r="T3" s="4">
        <v>0</v>
      </c>
      <c r="U3" s="4">
        <v>59</v>
      </c>
      <c r="V3" s="3">
        <v>3032</v>
      </c>
      <c r="W3" s="3">
        <v>1966</v>
      </c>
      <c r="X3" s="4">
        <v>772</v>
      </c>
      <c r="Y3" s="3">
        <v>1245</v>
      </c>
      <c r="Z3" s="3">
        <v>2441</v>
      </c>
      <c r="AA3" s="4">
        <v>131</v>
      </c>
      <c r="AB3" s="4">
        <v>100</v>
      </c>
      <c r="AC3" s="4">
        <v>374</v>
      </c>
      <c r="AD3" s="3">
        <v>1551</v>
      </c>
      <c r="AE3" s="4">
        <v>217</v>
      </c>
      <c r="AF3" s="4">
        <v>0</v>
      </c>
      <c r="AG3" s="4">
        <v>442</v>
      </c>
      <c r="AH3" s="4">
        <v>0</v>
      </c>
      <c r="AI3" s="4">
        <v>0</v>
      </c>
      <c r="AJ3" s="4">
        <v>0</v>
      </c>
      <c r="AK3" s="4">
        <v>0</v>
      </c>
      <c r="AL3" s="3">
        <v>4287</v>
      </c>
      <c r="AM3" s="3">
        <v>1476</v>
      </c>
      <c r="AN3" s="4">
        <v>75</v>
      </c>
      <c r="AO3" s="4">
        <v>287</v>
      </c>
      <c r="AP3" s="4">
        <v>262</v>
      </c>
      <c r="AQ3" s="4">
        <v>71</v>
      </c>
      <c r="AR3" s="4">
        <v>89</v>
      </c>
      <c r="AS3" s="4">
        <v>39</v>
      </c>
      <c r="AT3" s="4">
        <v>29</v>
      </c>
      <c r="AU3" s="4">
        <v>2</v>
      </c>
      <c r="AV3" s="4">
        <v>2</v>
      </c>
      <c r="AW3" s="4">
        <v>62</v>
      </c>
      <c r="AX3" s="4">
        <v>16</v>
      </c>
      <c r="AY3" s="4">
        <v>41</v>
      </c>
      <c r="AZ3" s="4">
        <v>47</v>
      </c>
      <c r="BA3" s="3">
        <v>1296</v>
      </c>
      <c r="BB3" s="44">
        <f>5930095/1000</f>
        <v>5930.0950000000003</v>
      </c>
      <c r="BC3" s="42"/>
      <c r="BD3" s="42"/>
    </row>
    <row r="4" spans="1:56" s="5" customFormat="1" x14ac:dyDescent="0.25">
      <c r="A4" s="14"/>
      <c r="B4" s="6"/>
      <c r="C4" s="6" t="s">
        <v>8</v>
      </c>
      <c r="D4" s="7">
        <v>14</v>
      </c>
      <c r="E4" s="7">
        <v>0</v>
      </c>
      <c r="F4" s="7">
        <v>19</v>
      </c>
      <c r="G4" s="7">
        <v>98</v>
      </c>
      <c r="H4" s="7">
        <v>285</v>
      </c>
      <c r="I4" s="7">
        <v>232</v>
      </c>
      <c r="J4" s="7">
        <v>123</v>
      </c>
      <c r="K4" s="7">
        <v>25</v>
      </c>
      <c r="L4" s="7">
        <v>35</v>
      </c>
      <c r="M4" s="7">
        <v>0</v>
      </c>
      <c r="N4" s="7">
        <v>31</v>
      </c>
      <c r="O4" s="7">
        <v>300</v>
      </c>
      <c r="P4" s="7">
        <v>200</v>
      </c>
      <c r="Q4" s="7">
        <v>150</v>
      </c>
      <c r="R4" s="7">
        <v>225</v>
      </c>
      <c r="S4" s="7">
        <v>225</v>
      </c>
      <c r="T4" s="7">
        <v>125</v>
      </c>
      <c r="U4" s="7">
        <v>75</v>
      </c>
      <c r="V4" s="7">
        <v>50</v>
      </c>
      <c r="W4" s="7">
        <v>75</v>
      </c>
      <c r="X4" s="7">
        <v>125</v>
      </c>
      <c r="Y4" s="7">
        <v>100</v>
      </c>
      <c r="Z4" s="7">
        <v>50</v>
      </c>
      <c r="AA4" s="7">
        <v>330</v>
      </c>
      <c r="AB4" s="8">
        <v>5240</v>
      </c>
      <c r="AC4" s="8">
        <v>6400</v>
      </c>
      <c r="AD4" s="8">
        <v>3750</v>
      </c>
      <c r="AE4" s="8">
        <v>4510</v>
      </c>
      <c r="AF4" s="8">
        <v>4008</v>
      </c>
      <c r="AG4" s="8">
        <v>3085</v>
      </c>
      <c r="AH4" s="8">
        <v>6880</v>
      </c>
      <c r="AI4" s="8">
        <v>9974</v>
      </c>
      <c r="AJ4" s="8">
        <v>11463</v>
      </c>
      <c r="AK4" s="8">
        <v>11594</v>
      </c>
      <c r="AL4" s="8">
        <v>1333</v>
      </c>
      <c r="AM4" s="7">
        <v>157</v>
      </c>
      <c r="AN4" s="8">
        <v>3892</v>
      </c>
      <c r="AO4" s="8">
        <v>6173</v>
      </c>
      <c r="AP4" s="8">
        <v>3338</v>
      </c>
      <c r="AQ4" s="8">
        <v>9935</v>
      </c>
      <c r="AR4" s="8">
        <v>7276</v>
      </c>
      <c r="AS4" s="8">
        <v>8611</v>
      </c>
      <c r="AT4" s="8">
        <v>15244</v>
      </c>
      <c r="AU4" s="8">
        <v>7553</v>
      </c>
      <c r="AV4" s="8">
        <v>7589</v>
      </c>
      <c r="AW4" s="8">
        <v>3727</v>
      </c>
      <c r="AX4" s="8">
        <v>5269</v>
      </c>
      <c r="AY4" s="7">
        <v>549</v>
      </c>
      <c r="AZ4" s="7">
        <v>172</v>
      </c>
      <c r="BA4" s="7">
        <v>151</v>
      </c>
      <c r="BB4" s="47">
        <f>136123/1000</f>
        <v>136.12299999999999</v>
      </c>
      <c r="BC4" s="43"/>
      <c r="BD4" s="43"/>
    </row>
    <row r="5" spans="1:56" x14ac:dyDescent="0.25">
      <c r="A5" s="12"/>
      <c r="B5" s="2"/>
      <c r="C5" s="2" t="s">
        <v>9</v>
      </c>
      <c r="D5" s="3">
        <v>16398</v>
      </c>
      <c r="E5" s="3">
        <v>17262</v>
      </c>
      <c r="F5" s="3">
        <v>21276</v>
      </c>
      <c r="G5" s="3">
        <v>20957</v>
      </c>
      <c r="H5" s="3">
        <v>23420</v>
      </c>
      <c r="I5" s="3">
        <v>24475</v>
      </c>
      <c r="J5" s="3">
        <v>26359</v>
      </c>
      <c r="K5" s="3">
        <v>28339</v>
      </c>
      <c r="L5" s="3">
        <v>26721</v>
      </c>
      <c r="M5" s="3">
        <v>27426</v>
      </c>
      <c r="N5" s="3">
        <v>30609</v>
      </c>
      <c r="O5" s="3">
        <v>33498</v>
      </c>
      <c r="P5" s="3">
        <v>32801</v>
      </c>
      <c r="Q5" s="3">
        <v>38269</v>
      </c>
      <c r="R5" s="3">
        <v>38540</v>
      </c>
      <c r="S5" s="3">
        <v>43570</v>
      </c>
      <c r="T5" s="3">
        <v>47223</v>
      </c>
      <c r="U5" s="3">
        <v>49090</v>
      </c>
      <c r="V5" s="3">
        <v>48600</v>
      </c>
      <c r="W5" s="3">
        <v>53300</v>
      </c>
      <c r="X5" s="3">
        <v>61800</v>
      </c>
      <c r="Y5" s="3">
        <v>62000</v>
      </c>
      <c r="Z5" s="3">
        <v>61400</v>
      </c>
      <c r="AA5" s="3">
        <v>61800</v>
      </c>
      <c r="AB5" s="3">
        <v>61200</v>
      </c>
      <c r="AC5" s="3">
        <v>59700</v>
      </c>
      <c r="AD5" s="3">
        <v>64100</v>
      </c>
      <c r="AE5" s="3">
        <v>67300</v>
      </c>
      <c r="AF5" s="3">
        <v>69000</v>
      </c>
      <c r="AG5" s="3">
        <v>74200</v>
      </c>
      <c r="AH5" s="3">
        <v>79850</v>
      </c>
      <c r="AI5" s="3">
        <v>83200</v>
      </c>
      <c r="AJ5" s="3">
        <v>87800</v>
      </c>
      <c r="AK5" s="3">
        <v>92900</v>
      </c>
      <c r="AL5" s="3">
        <v>97000</v>
      </c>
      <c r="AM5" s="3">
        <v>101200</v>
      </c>
      <c r="AN5" s="3">
        <v>105750</v>
      </c>
      <c r="AO5" s="3">
        <v>109500</v>
      </c>
      <c r="AP5" s="3">
        <v>113920</v>
      </c>
      <c r="AQ5" s="3">
        <v>117300</v>
      </c>
      <c r="AR5" s="3">
        <v>120240</v>
      </c>
      <c r="AS5" s="3">
        <v>123100</v>
      </c>
      <c r="AT5" s="3">
        <v>125900</v>
      </c>
      <c r="AU5" s="3">
        <v>128400</v>
      </c>
      <c r="AV5" s="3">
        <v>131000</v>
      </c>
      <c r="AW5" s="3">
        <v>137000</v>
      </c>
      <c r="AX5" s="3">
        <v>145000</v>
      </c>
      <c r="AY5" s="3">
        <v>149000</v>
      </c>
      <c r="AZ5" s="3">
        <v>152000</v>
      </c>
      <c r="BA5" s="3">
        <v>159000</v>
      </c>
      <c r="BB5" s="44">
        <f>BB2+BB3-BB4</f>
        <v>198698.204</v>
      </c>
      <c r="BC5" s="42"/>
      <c r="BD5" s="42"/>
    </row>
    <row r="6" spans="1:56" s="5" customFormat="1" x14ac:dyDescent="0.25">
      <c r="A6" s="14"/>
      <c r="B6" s="6" t="s">
        <v>10</v>
      </c>
      <c r="C6" s="6" t="s">
        <v>6</v>
      </c>
      <c r="D6" s="8">
        <v>4900</v>
      </c>
      <c r="E6" s="8">
        <v>3700</v>
      </c>
      <c r="F6" s="8">
        <v>3400</v>
      </c>
      <c r="G6" s="8">
        <v>5500</v>
      </c>
      <c r="H6" s="8">
        <v>7600</v>
      </c>
      <c r="I6" s="8">
        <v>9600</v>
      </c>
      <c r="J6" s="8">
        <v>10700</v>
      </c>
      <c r="K6" s="8">
        <v>10800</v>
      </c>
      <c r="L6" s="8">
        <v>10800</v>
      </c>
      <c r="M6" s="8">
        <v>9550</v>
      </c>
      <c r="N6" s="8">
        <v>10500</v>
      </c>
      <c r="O6" s="8">
        <v>9700</v>
      </c>
      <c r="P6" s="8">
        <v>9000</v>
      </c>
      <c r="Q6" s="8">
        <v>11700</v>
      </c>
      <c r="R6" s="8">
        <v>11300</v>
      </c>
      <c r="S6" s="8">
        <v>10900</v>
      </c>
      <c r="T6" s="8">
        <v>9500</v>
      </c>
      <c r="U6" s="8">
        <v>9400</v>
      </c>
      <c r="V6" s="8">
        <v>9950</v>
      </c>
      <c r="W6" s="8">
        <v>10100</v>
      </c>
      <c r="X6" s="8">
        <v>12400</v>
      </c>
      <c r="Y6" s="8">
        <v>13600</v>
      </c>
      <c r="Z6" s="8">
        <v>16500</v>
      </c>
      <c r="AA6" s="8">
        <v>21300</v>
      </c>
      <c r="AB6" s="8">
        <v>28700</v>
      </c>
      <c r="AC6" s="8">
        <v>19000</v>
      </c>
      <c r="AD6" s="8">
        <v>16300</v>
      </c>
      <c r="AE6" s="8">
        <v>19500</v>
      </c>
      <c r="AF6" s="8">
        <v>19100</v>
      </c>
      <c r="AG6" s="8">
        <v>17400</v>
      </c>
      <c r="AH6" s="8">
        <v>20700</v>
      </c>
      <c r="AI6" s="8">
        <v>26100</v>
      </c>
      <c r="AJ6" s="8">
        <v>20700</v>
      </c>
      <c r="AK6" s="8">
        <v>17200</v>
      </c>
      <c r="AL6" s="8">
        <v>19900</v>
      </c>
      <c r="AM6" s="8">
        <v>21900</v>
      </c>
      <c r="AN6" s="8">
        <v>19300</v>
      </c>
      <c r="AO6" s="8">
        <v>21100</v>
      </c>
      <c r="AP6" s="8">
        <v>20700</v>
      </c>
      <c r="AQ6" s="8">
        <v>17600</v>
      </c>
      <c r="AR6" s="8">
        <v>20300</v>
      </c>
      <c r="AS6" s="8">
        <v>24400</v>
      </c>
      <c r="AT6" s="8">
        <v>25200</v>
      </c>
      <c r="AU6" s="8">
        <v>23800</v>
      </c>
      <c r="AV6" s="8">
        <v>30300</v>
      </c>
      <c r="AW6" s="8">
        <v>28400</v>
      </c>
      <c r="AX6" s="8">
        <v>35500</v>
      </c>
      <c r="AY6" s="8">
        <v>37000</v>
      </c>
      <c r="AZ6" s="8">
        <v>36700</v>
      </c>
      <c r="BA6" s="8">
        <v>32000</v>
      </c>
      <c r="BB6" s="47">
        <v>29500</v>
      </c>
      <c r="BC6" s="43">
        <f>6588959/1000</f>
        <v>6588.9589999999998</v>
      </c>
      <c r="BD6" s="43">
        <f>6835975/1000</f>
        <v>6835.9750000000004</v>
      </c>
    </row>
    <row r="7" spans="1:56" x14ac:dyDescent="0.25">
      <c r="A7" s="12"/>
      <c r="B7" s="2"/>
      <c r="C7" s="2" t="s">
        <v>7</v>
      </c>
      <c r="D7" s="4">
        <v>300</v>
      </c>
      <c r="E7" s="4">
        <v>200</v>
      </c>
      <c r="F7" s="4">
        <v>400</v>
      </c>
      <c r="G7" s="4">
        <v>800</v>
      </c>
      <c r="H7" s="4">
        <v>700</v>
      </c>
      <c r="I7" s="4">
        <v>500</v>
      </c>
      <c r="J7" s="4">
        <v>500</v>
      </c>
      <c r="K7" s="4">
        <v>300</v>
      </c>
      <c r="L7" s="4">
        <v>300</v>
      </c>
      <c r="M7" s="4">
        <v>400</v>
      </c>
      <c r="N7" s="4">
        <v>500</v>
      </c>
      <c r="O7" s="4">
        <v>700</v>
      </c>
      <c r="P7" s="3">
        <v>2000</v>
      </c>
      <c r="Q7" s="3">
        <v>1800</v>
      </c>
      <c r="R7" s="4">
        <v>700</v>
      </c>
      <c r="S7" s="4">
        <v>900</v>
      </c>
      <c r="T7" s="4">
        <v>650</v>
      </c>
      <c r="U7" s="3">
        <v>1600</v>
      </c>
      <c r="V7" s="3">
        <v>2125</v>
      </c>
      <c r="W7" s="3">
        <v>4100</v>
      </c>
      <c r="X7" s="3">
        <v>3550</v>
      </c>
      <c r="Y7" s="3">
        <v>2199</v>
      </c>
      <c r="Z7" s="3">
        <v>1085</v>
      </c>
      <c r="AA7" s="4">
        <v>664</v>
      </c>
      <c r="AB7" s="4">
        <v>85</v>
      </c>
      <c r="AC7" s="4">
        <v>1</v>
      </c>
      <c r="AD7" s="4">
        <v>16</v>
      </c>
      <c r="AE7" s="4">
        <v>86</v>
      </c>
      <c r="AF7" s="3">
        <v>1448</v>
      </c>
      <c r="AG7" s="3">
        <v>1873</v>
      </c>
      <c r="AH7" s="3">
        <v>2205</v>
      </c>
      <c r="AI7" s="3">
        <v>1630</v>
      </c>
      <c r="AJ7" s="4">
        <v>242</v>
      </c>
      <c r="AK7" s="4">
        <v>808</v>
      </c>
      <c r="AL7" s="3">
        <v>4060</v>
      </c>
      <c r="AM7" s="3">
        <v>2908</v>
      </c>
      <c r="AN7" s="3">
        <v>3491</v>
      </c>
      <c r="AO7" s="3">
        <v>1725</v>
      </c>
      <c r="AP7" s="4">
        <v>332</v>
      </c>
      <c r="AQ7" s="4">
        <v>117</v>
      </c>
      <c r="AR7" s="4">
        <v>230</v>
      </c>
      <c r="AS7" s="4">
        <v>449</v>
      </c>
      <c r="AT7" s="3">
        <v>3127</v>
      </c>
      <c r="AU7" s="3">
        <v>8832</v>
      </c>
      <c r="AV7" s="3">
        <v>6385</v>
      </c>
      <c r="AW7" s="3">
        <v>19284</v>
      </c>
      <c r="AX7" s="3">
        <v>10588</v>
      </c>
      <c r="AY7" s="3">
        <v>11530</v>
      </c>
      <c r="AZ7" s="3">
        <v>6996</v>
      </c>
      <c r="BA7" s="3">
        <v>10903</v>
      </c>
      <c r="BB7" s="44">
        <v>15000</v>
      </c>
      <c r="BC7" s="42">
        <f>3576324/1000</f>
        <v>3576.3240000000001</v>
      </c>
      <c r="BD7" s="42"/>
    </row>
    <row r="8" spans="1:56" s="5" customFormat="1" x14ac:dyDescent="0.25">
      <c r="A8" s="14"/>
      <c r="B8" s="6"/>
      <c r="C8" s="6" t="s">
        <v>8</v>
      </c>
      <c r="D8" s="7">
        <v>100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100</v>
      </c>
      <c r="M8" s="7">
        <v>100</v>
      </c>
      <c r="N8" s="7">
        <v>100</v>
      </c>
      <c r="O8" s="7">
        <v>100</v>
      </c>
      <c r="P8" s="7">
        <v>100</v>
      </c>
      <c r="Q8" s="7">
        <v>100</v>
      </c>
      <c r="R8" s="7">
        <v>200</v>
      </c>
      <c r="S8" s="7">
        <v>250</v>
      </c>
      <c r="T8" s="7">
        <v>200</v>
      </c>
      <c r="U8" s="7">
        <v>100</v>
      </c>
      <c r="V8" s="7">
        <v>15</v>
      </c>
      <c r="W8" s="7">
        <v>12</v>
      </c>
      <c r="X8" s="7">
        <v>6</v>
      </c>
      <c r="Y8" s="7">
        <v>0</v>
      </c>
      <c r="Z8" s="7">
        <v>75</v>
      </c>
      <c r="AA8" s="7">
        <v>760</v>
      </c>
      <c r="AB8" s="7">
        <v>944</v>
      </c>
      <c r="AC8" s="8">
        <v>2799</v>
      </c>
      <c r="AD8" s="8">
        <v>3169</v>
      </c>
      <c r="AE8" s="8">
        <v>2322</v>
      </c>
      <c r="AF8" s="8">
        <v>1636</v>
      </c>
      <c r="AG8" s="7">
        <v>865</v>
      </c>
      <c r="AH8" s="7">
        <v>928</v>
      </c>
      <c r="AI8" s="7">
        <v>602</v>
      </c>
      <c r="AJ8" s="7">
        <v>684</v>
      </c>
      <c r="AK8" s="7">
        <v>749</v>
      </c>
      <c r="AL8" s="7">
        <v>183</v>
      </c>
      <c r="AM8" s="7">
        <v>20</v>
      </c>
      <c r="AN8" s="7">
        <v>10</v>
      </c>
      <c r="AO8" s="7">
        <v>25</v>
      </c>
      <c r="AP8" s="7">
        <v>676</v>
      </c>
      <c r="AQ8" s="8">
        <v>1692</v>
      </c>
      <c r="AR8" s="7">
        <v>442</v>
      </c>
      <c r="AS8" s="7">
        <v>342</v>
      </c>
      <c r="AT8" s="7">
        <v>751</v>
      </c>
      <c r="AU8" s="7">
        <v>173</v>
      </c>
      <c r="AV8" s="7">
        <v>30</v>
      </c>
      <c r="AW8" s="7">
        <v>36</v>
      </c>
      <c r="AX8" s="7">
        <v>88</v>
      </c>
      <c r="AY8" s="7">
        <v>62</v>
      </c>
      <c r="AZ8" s="7">
        <v>84</v>
      </c>
      <c r="BA8" s="7">
        <v>23</v>
      </c>
      <c r="BB8" s="47">
        <v>50</v>
      </c>
      <c r="BC8" s="43">
        <f>48020/1000</f>
        <v>48.02</v>
      </c>
      <c r="BD8" s="43"/>
    </row>
    <row r="9" spans="1:56" x14ac:dyDescent="0.25">
      <c r="A9" s="12"/>
      <c r="B9" s="2"/>
      <c r="C9" s="2" t="s">
        <v>9</v>
      </c>
      <c r="D9" s="3">
        <v>5900</v>
      </c>
      <c r="E9" s="3">
        <v>4100</v>
      </c>
      <c r="F9" s="3">
        <v>3600</v>
      </c>
      <c r="G9" s="3">
        <v>5900</v>
      </c>
      <c r="H9" s="3">
        <v>7900</v>
      </c>
      <c r="I9" s="3">
        <v>9700</v>
      </c>
      <c r="J9" s="3">
        <v>10800</v>
      </c>
      <c r="K9" s="3">
        <v>10900</v>
      </c>
      <c r="L9" s="3">
        <v>10900</v>
      </c>
      <c r="M9" s="3">
        <v>9950</v>
      </c>
      <c r="N9" s="3">
        <v>10500</v>
      </c>
      <c r="O9" s="3">
        <v>10800</v>
      </c>
      <c r="P9" s="3">
        <v>10900</v>
      </c>
      <c r="Q9" s="3">
        <v>10600</v>
      </c>
      <c r="R9" s="3">
        <v>11400</v>
      </c>
      <c r="S9" s="3">
        <v>11500</v>
      </c>
      <c r="T9" s="3">
        <v>11600</v>
      </c>
      <c r="U9" s="3">
        <v>12200</v>
      </c>
      <c r="V9" s="3">
        <v>13100</v>
      </c>
      <c r="W9" s="3">
        <v>14100</v>
      </c>
      <c r="X9" s="3">
        <v>15100</v>
      </c>
      <c r="Y9" s="3">
        <v>16200</v>
      </c>
      <c r="Z9" s="3">
        <v>16600</v>
      </c>
      <c r="AA9" s="3">
        <v>16300</v>
      </c>
      <c r="AB9" s="3">
        <v>16800</v>
      </c>
      <c r="AC9" s="3">
        <v>18000</v>
      </c>
      <c r="AD9" s="3">
        <v>19500</v>
      </c>
      <c r="AE9" s="3">
        <v>20500</v>
      </c>
      <c r="AF9" s="3">
        <v>20500</v>
      </c>
      <c r="AG9" s="3">
        <v>20300</v>
      </c>
      <c r="AH9" s="3">
        <v>20000</v>
      </c>
      <c r="AI9" s="3">
        <v>20850</v>
      </c>
      <c r="AJ9" s="3">
        <v>21900</v>
      </c>
      <c r="AK9" s="3">
        <v>21300</v>
      </c>
      <c r="AL9" s="3">
        <v>19550</v>
      </c>
      <c r="AM9" s="3">
        <v>18825</v>
      </c>
      <c r="AN9" s="3">
        <v>19325</v>
      </c>
      <c r="AO9" s="3">
        <v>18450</v>
      </c>
      <c r="AP9" s="3">
        <v>17975</v>
      </c>
      <c r="AQ9" s="3">
        <v>20575</v>
      </c>
      <c r="AR9" s="3">
        <v>22725</v>
      </c>
      <c r="AS9" s="3">
        <v>25400</v>
      </c>
      <c r="AT9" s="3">
        <v>28950</v>
      </c>
      <c r="AU9" s="3">
        <v>30950</v>
      </c>
      <c r="AV9" s="3">
        <v>37250</v>
      </c>
      <c r="AW9" s="3">
        <v>43500</v>
      </c>
      <c r="AX9" s="3">
        <v>48000</v>
      </c>
      <c r="AY9" s="3">
        <v>48500</v>
      </c>
      <c r="AZ9" s="3">
        <v>41750</v>
      </c>
      <c r="BA9" s="3">
        <v>50000</v>
      </c>
      <c r="BB9" s="44">
        <v>47000</v>
      </c>
      <c r="BC9" s="42">
        <f>BC6+BC7-BC8</f>
        <v>10117.262999999999</v>
      </c>
      <c r="BD9" s="42"/>
    </row>
    <row r="10" spans="1:56" s="5" customFormat="1" x14ac:dyDescent="0.25">
      <c r="A10" s="14"/>
      <c r="B10" s="6" t="s">
        <v>11</v>
      </c>
      <c r="C10" s="6" t="s">
        <v>6</v>
      </c>
      <c r="D10" s="7">
        <v>0</v>
      </c>
      <c r="E10" s="7">
        <v>0</v>
      </c>
      <c r="F10" s="7">
        <v>0</v>
      </c>
      <c r="G10" s="7">
        <v>0</v>
      </c>
      <c r="H10" s="8">
        <v>7870</v>
      </c>
      <c r="I10" s="8">
        <v>6140</v>
      </c>
      <c r="J10" s="8">
        <v>8270</v>
      </c>
      <c r="K10" s="8">
        <v>8270</v>
      </c>
      <c r="L10" s="8">
        <v>8040</v>
      </c>
      <c r="M10" s="8">
        <v>7630</v>
      </c>
      <c r="N10" s="8">
        <v>8710</v>
      </c>
      <c r="O10" s="8">
        <v>8610</v>
      </c>
      <c r="P10" s="8">
        <v>6450</v>
      </c>
      <c r="Q10" s="8">
        <v>8370</v>
      </c>
      <c r="R10" s="8">
        <v>7470</v>
      </c>
      <c r="S10" s="8">
        <v>7240</v>
      </c>
      <c r="T10" s="8">
        <v>6640</v>
      </c>
      <c r="U10" s="8">
        <v>7260</v>
      </c>
      <c r="V10" s="8">
        <v>7565</v>
      </c>
      <c r="W10" s="8">
        <v>7460</v>
      </c>
      <c r="X10" s="8">
        <v>7940</v>
      </c>
      <c r="Y10" s="8">
        <v>9325</v>
      </c>
      <c r="Z10" s="8">
        <v>9030</v>
      </c>
      <c r="AA10" s="8">
        <v>9760</v>
      </c>
      <c r="AB10" s="8">
        <v>9695</v>
      </c>
      <c r="AC10" s="8">
        <v>10509</v>
      </c>
      <c r="AD10" s="8">
        <v>11614</v>
      </c>
      <c r="AE10" s="8">
        <v>12184</v>
      </c>
      <c r="AF10" s="8">
        <v>11645</v>
      </c>
      <c r="AG10" s="8">
        <v>10227</v>
      </c>
      <c r="AH10" s="8">
        <v>11000</v>
      </c>
      <c r="AI10" s="8">
        <v>9710</v>
      </c>
      <c r="AJ10" s="8">
        <v>10300</v>
      </c>
      <c r="AK10" s="8">
        <v>15310</v>
      </c>
      <c r="AL10" s="8">
        <v>16000</v>
      </c>
      <c r="AM10" s="8">
        <v>13500</v>
      </c>
      <c r="AN10" s="8">
        <v>13220</v>
      </c>
      <c r="AO10" s="8">
        <v>14728</v>
      </c>
      <c r="AP10" s="8">
        <v>15152</v>
      </c>
      <c r="AQ10" s="8">
        <v>14290</v>
      </c>
      <c r="AR10" s="8">
        <v>15400</v>
      </c>
      <c r="AS10" s="8">
        <v>15410</v>
      </c>
      <c r="AT10" s="8">
        <v>16510</v>
      </c>
      <c r="AU10" s="8">
        <v>15394</v>
      </c>
      <c r="AV10" s="8">
        <v>17400</v>
      </c>
      <c r="AW10" s="8">
        <v>16350</v>
      </c>
      <c r="AX10" s="8">
        <v>15074</v>
      </c>
      <c r="AY10" s="8">
        <v>13400</v>
      </c>
      <c r="AZ10" s="8">
        <v>15540</v>
      </c>
      <c r="BA10" s="8">
        <v>14980</v>
      </c>
      <c r="BB10" s="47">
        <v>15200</v>
      </c>
      <c r="BC10" s="43">
        <f>14485105/1000</f>
        <v>14485.105</v>
      </c>
      <c r="BD10" s="43">
        <f>12800159/1000</f>
        <v>12800.159</v>
      </c>
    </row>
    <row r="11" spans="1:56" x14ac:dyDescent="0.25">
      <c r="A11" s="12"/>
      <c r="B11" s="2"/>
      <c r="C11" s="2" t="s">
        <v>7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2</v>
      </c>
      <c r="P11" s="4">
        <v>255</v>
      </c>
      <c r="Q11" s="4">
        <v>619</v>
      </c>
      <c r="R11" s="4">
        <v>36</v>
      </c>
      <c r="S11" s="4">
        <v>25</v>
      </c>
      <c r="T11" s="4">
        <v>253</v>
      </c>
      <c r="U11" s="4">
        <v>188</v>
      </c>
      <c r="V11" s="4">
        <v>261</v>
      </c>
      <c r="W11" s="4">
        <v>810</v>
      </c>
      <c r="X11" s="4">
        <v>540</v>
      </c>
      <c r="Y11" s="4">
        <v>530</v>
      </c>
      <c r="Z11" s="4">
        <v>30</v>
      </c>
      <c r="AA11" s="4">
        <v>0</v>
      </c>
      <c r="AB11" s="4">
        <v>0</v>
      </c>
      <c r="AC11" s="4">
        <v>280</v>
      </c>
      <c r="AD11" s="4">
        <v>190</v>
      </c>
      <c r="AE11" s="4">
        <v>208</v>
      </c>
      <c r="AF11" s="4">
        <v>33</v>
      </c>
      <c r="AG11" s="4">
        <v>1</v>
      </c>
      <c r="AH11" s="4">
        <v>1</v>
      </c>
      <c r="AI11" s="4">
        <v>136</v>
      </c>
      <c r="AJ11" s="4">
        <v>150</v>
      </c>
      <c r="AK11" s="4">
        <v>125</v>
      </c>
      <c r="AL11" s="4">
        <v>155</v>
      </c>
      <c r="AM11" s="4">
        <v>795</v>
      </c>
      <c r="AN11" s="3">
        <v>2274</v>
      </c>
      <c r="AO11" s="3">
        <v>2940</v>
      </c>
      <c r="AP11" s="3">
        <v>3850</v>
      </c>
      <c r="AQ11" s="3">
        <v>10100</v>
      </c>
      <c r="AR11" s="3">
        <v>13245</v>
      </c>
      <c r="AS11" s="3">
        <v>10385</v>
      </c>
      <c r="AT11" s="3">
        <v>21417</v>
      </c>
      <c r="AU11" s="3">
        <v>16933</v>
      </c>
      <c r="AV11" s="3">
        <v>25802</v>
      </c>
      <c r="AW11" s="3">
        <v>28317</v>
      </c>
      <c r="AX11" s="3">
        <v>28726</v>
      </c>
      <c r="AY11" s="3">
        <v>37816</v>
      </c>
      <c r="AZ11" s="3">
        <v>41098</v>
      </c>
      <c r="BA11" s="3">
        <v>50338</v>
      </c>
      <c r="BB11" s="44">
        <v>57000</v>
      </c>
      <c r="BC11" s="42">
        <f>54834369/1000</f>
        <v>54834.368999999999</v>
      </c>
      <c r="BD11" s="42"/>
    </row>
    <row r="12" spans="1:56" s="5" customFormat="1" x14ac:dyDescent="0.25">
      <c r="A12" s="14"/>
      <c r="B12" s="6"/>
      <c r="C12" s="6" t="s">
        <v>8</v>
      </c>
      <c r="D12" s="7">
        <v>0</v>
      </c>
      <c r="E12" s="7">
        <v>0</v>
      </c>
      <c r="F12" s="7">
        <v>0</v>
      </c>
      <c r="G12" s="7">
        <v>0</v>
      </c>
      <c r="H12" s="7">
        <v>577</v>
      </c>
      <c r="I12" s="7">
        <v>550</v>
      </c>
      <c r="J12" s="7">
        <v>565</v>
      </c>
      <c r="K12" s="7">
        <v>571</v>
      </c>
      <c r="L12" s="7">
        <v>488</v>
      </c>
      <c r="M12" s="7">
        <v>424</v>
      </c>
      <c r="N12" s="7">
        <v>460</v>
      </c>
      <c r="O12" s="7">
        <v>370</v>
      </c>
      <c r="P12" s="7">
        <v>310</v>
      </c>
      <c r="Q12" s="7">
        <v>340</v>
      </c>
      <c r="R12" s="7">
        <v>330</v>
      </c>
      <c r="S12" s="7">
        <v>178</v>
      </c>
      <c r="T12" s="7">
        <v>115</v>
      </c>
      <c r="U12" s="7">
        <v>90</v>
      </c>
      <c r="V12" s="7">
        <v>274</v>
      </c>
      <c r="W12" s="7">
        <v>207</v>
      </c>
      <c r="X12" s="7">
        <v>143</v>
      </c>
      <c r="Y12" s="7">
        <v>110</v>
      </c>
      <c r="Z12" s="7">
        <v>320</v>
      </c>
      <c r="AA12" s="7">
        <v>800</v>
      </c>
      <c r="AB12" s="8">
        <v>1080</v>
      </c>
      <c r="AC12" s="8">
        <v>1260</v>
      </c>
      <c r="AD12" s="8">
        <v>1750</v>
      </c>
      <c r="AE12" s="8">
        <v>1482</v>
      </c>
      <c r="AF12" s="8">
        <v>1209</v>
      </c>
      <c r="AG12" s="8">
        <v>1107</v>
      </c>
      <c r="AH12" s="8">
        <v>1288</v>
      </c>
      <c r="AI12" s="8">
        <v>1090</v>
      </c>
      <c r="AJ12" s="7">
        <v>300</v>
      </c>
      <c r="AK12" s="8">
        <v>1100</v>
      </c>
      <c r="AL12" s="7">
        <v>394</v>
      </c>
      <c r="AM12" s="7">
        <v>222</v>
      </c>
      <c r="AN12" s="7">
        <v>195</v>
      </c>
      <c r="AO12" s="7">
        <v>168</v>
      </c>
      <c r="AP12" s="7">
        <v>187</v>
      </c>
      <c r="AQ12" s="7">
        <v>230</v>
      </c>
      <c r="AR12" s="7">
        <v>208</v>
      </c>
      <c r="AS12" s="7">
        <v>300</v>
      </c>
      <c r="AT12" s="7">
        <v>265</v>
      </c>
      <c r="AU12" s="7">
        <v>319</v>
      </c>
      <c r="AV12" s="7">
        <v>390</v>
      </c>
      <c r="AW12" s="7">
        <v>354</v>
      </c>
      <c r="AX12" s="7">
        <v>446</v>
      </c>
      <c r="AY12" s="7">
        <v>453</v>
      </c>
      <c r="AZ12" s="7">
        <v>400</v>
      </c>
      <c r="BA12" s="7">
        <v>184</v>
      </c>
      <c r="BB12" s="47">
        <v>300</v>
      </c>
      <c r="BC12" s="43">
        <f>219090/1000</f>
        <v>219.09</v>
      </c>
      <c r="BD12" s="43"/>
    </row>
    <row r="13" spans="1:56" x14ac:dyDescent="0.25">
      <c r="A13" s="12"/>
      <c r="B13" s="2"/>
      <c r="C13" s="2" t="s">
        <v>9</v>
      </c>
      <c r="D13" s="4">
        <v>0</v>
      </c>
      <c r="E13" s="4">
        <v>0</v>
      </c>
      <c r="F13" s="4">
        <v>0</v>
      </c>
      <c r="G13" s="4">
        <v>0</v>
      </c>
      <c r="H13" s="3">
        <v>7293</v>
      </c>
      <c r="I13" s="3">
        <v>5590</v>
      </c>
      <c r="J13" s="3">
        <v>7705</v>
      </c>
      <c r="K13" s="3">
        <v>7699</v>
      </c>
      <c r="L13" s="3">
        <v>7552</v>
      </c>
      <c r="M13" s="3">
        <v>7206</v>
      </c>
      <c r="N13" s="3">
        <v>8250</v>
      </c>
      <c r="O13" s="3">
        <v>8242</v>
      </c>
      <c r="P13" s="3">
        <v>6395</v>
      </c>
      <c r="Q13" s="3">
        <v>8649</v>
      </c>
      <c r="R13" s="3">
        <v>7176</v>
      </c>
      <c r="S13" s="3">
        <v>7087</v>
      </c>
      <c r="T13" s="3">
        <v>6778</v>
      </c>
      <c r="U13" s="3">
        <v>7358</v>
      </c>
      <c r="V13" s="3">
        <v>7552</v>
      </c>
      <c r="W13" s="3">
        <v>8063</v>
      </c>
      <c r="X13" s="3">
        <v>8337</v>
      </c>
      <c r="Y13" s="3">
        <v>9745</v>
      </c>
      <c r="Z13" s="3">
        <v>8740</v>
      </c>
      <c r="AA13" s="3">
        <v>8960</v>
      </c>
      <c r="AB13" s="3">
        <v>8615</v>
      </c>
      <c r="AC13" s="3">
        <v>9529</v>
      </c>
      <c r="AD13" s="3">
        <v>10054</v>
      </c>
      <c r="AE13" s="3">
        <v>10910</v>
      </c>
      <c r="AF13" s="3">
        <v>10469</v>
      </c>
      <c r="AG13" s="3">
        <v>9121</v>
      </c>
      <c r="AH13" s="3">
        <v>9713</v>
      </c>
      <c r="AI13" s="3">
        <v>8756</v>
      </c>
      <c r="AJ13" s="3">
        <v>10150</v>
      </c>
      <c r="AK13" s="3">
        <v>14335</v>
      </c>
      <c r="AL13" s="3">
        <v>15761</v>
      </c>
      <c r="AM13" s="3">
        <v>14073</v>
      </c>
      <c r="AN13" s="3">
        <v>14309</v>
      </c>
      <c r="AO13" s="3">
        <v>15472</v>
      </c>
      <c r="AP13" s="3">
        <v>19929</v>
      </c>
      <c r="AQ13" s="3">
        <v>22894</v>
      </c>
      <c r="AR13" s="3">
        <v>26697</v>
      </c>
      <c r="AS13" s="3">
        <v>28310</v>
      </c>
      <c r="AT13" s="3">
        <v>35290</v>
      </c>
      <c r="AU13" s="3">
        <v>34375</v>
      </c>
      <c r="AV13" s="3">
        <v>40212</v>
      </c>
      <c r="AW13" s="3">
        <v>44440</v>
      </c>
      <c r="AX13" s="3">
        <v>46120</v>
      </c>
      <c r="AY13" s="3">
        <v>49818</v>
      </c>
      <c r="AZ13" s="3">
        <v>51435</v>
      </c>
      <c r="BA13" s="3">
        <v>59430</v>
      </c>
      <c r="BB13" s="44">
        <v>68450</v>
      </c>
      <c r="BC13" s="42">
        <f>BC10+BC11-BC12</f>
        <v>69100.384000000005</v>
      </c>
      <c r="BD13" s="42"/>
    </row>
    <row r="14" spans="1:56" s="5" customFormat="1" x14ac:dyDescent="0.25">
      <c r="A14" s="14"/>
      <c r="B14" s="6" t="s">
        <v>12</v>
      </c>
      <c r="C14" s="6" t="s">
        <v>6</v>
      </c>
      <c r="D14" s="8">
        <v>41811</v>
      </c>
      <c r="E14" s="8">
        <v>37548</v>
      </c>
      <c r="F14" s="8">
        <v>44090</v>
      </c>
      <c r="G14" s="8">
        <v>51636</v>
      </c>
      <c r="H14" s="8">
        <v>58100</v>
      </c>
      <c r="I14" s="8">
        <v>61405</v>
      </c>
      <c r="J14" s="8">
        <v>66773</v>
      </c>
      <c r="K14" s="8">
        <v>65580</v>
      </c>
      <c r="L14" s="8">
        <v>66170</v>
      </c>
      <c r="M14" s="8">
        <v>66546</v>
      </c>
      <c r="N14" s="8">
        <v>76993</v>
      </c>
      <c r="O14" s="8">
        <v>80643</v>
      </c>
      <c r="P14" s="8">
        <v>79348</v>
      </c>
      <c r="Q14" s="8">
        <v>85215</v>
      </c>
      <c r="R14" s="8">
        <v>86733</v>
      </c>
      <c r="S14" s="8">
        <v>87892</v>
      </c>
      <c r="T14" s="8">
        <v>88063</v>
      </c>
      <c r="U14" s="8">
        <v>89996</v>
      </c>
      <c r="V14" s="8">
        <v>95850</v>
      </c>
      <c r="W14" s="8">
        <v>100625</v>
      </c>
      <c r="X14" s="8">
        <v>97934</v>
      </c>
      <c r="Y14" s="8">
        <v>100768</v>
      </c>
      <c r="Z14" s="8">
        <v>113117</v>
      </c>
      <c r="AA14" s="8">
        <v>118206</v>
      </c>
      <c r="AB14" s="8">
        <v>124779</v>
      </c>
      <c r="AC14" s="8">
        <v>117999</v>
      </c>
      <c r="AD14" s="8">
        <v>120557</v>
      </c>
      <c r="AE14" s="8">
        <v>121716</v>
      </c>
      <c r="AF14" s="8">
        <v>118377</v>
      </c>
      <c r="AG14" s="8">
        <v>126091</v>
      </c>
      <c r="AH14" s="8">
        <v>132532</v>
      </c>
      <c r="AI14" s="8">
        <v>128667</v>
      </c>
      <c r="AJ14" s="8">
        <v>130354</v>
      </c>
      <c r="AK14" s="8">
        <v>124390</v>
      </c>
      <c r="AL14" s="8">
        <v>123151</v>
      </c>
      <c r="AM14" s="8">
        <v>129650</v>
      </c>
      <c r="AN14" s="8">
        <v>136570</v>
      </c>
      <c r="AO14" s="8">
        <v>140490</v>
      </c>
      <c r="AP14" s="8">
        <v>139100</v>
      </c>
      <c r="AQ14" s="8">
        <v>138936</v>
      </c>
      <c r="AR14" s="8">
        <v>131536</v>
      </c>
      <c r="AS14" s="8">
        <v>124306</v>
      </c>
      <c r="AT14" s="8">
        <v>122180</v>
      </c>
      <c r="AU14" s="8">
        <v>112462</v>
      </c>
      <c r="AV14" s="8">
        <v>125363</v>
      </c>
      <c r="AW14" s="8">
        <v>126414</v>
      </c>
      <c r="AX14" s="8">
        <v>127200</v>
      </c>
      <c r="AY14" s="8">
        <v>130224</v>
      </c>
      <c r="AZ14" s="8">
        <v>134330</v>
      </c>
      <c r="BA14" s="8">
        <v>136570</v>
      </c>
      <c r="BB14" s="47">
        <v>139300</v>
      </c>
      <c r="BC14" s="43">
        <f>202667173/1000</f>
        <v>202667.17300000001</v>
      </c>
      <c r="BD14" s="43">
        <f>205985229/1000</f>
        <v>205985.22899999999</v>
      </c>
    </row>
    <row r="15" spans="1:56" x14ac:dyDescent="0.25">
      <c r="A15" s="12"/>
      <c r="B15" s="2"/>
      <c r="C15" s="2" t="s">
        <v>7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5</v>
      </c>
      <c r="N15" s="4">
        <v>8</v>
      </c>
      <c r="O15" s="4">
        <v>19</v>
      </c>
      <c r="P15" s="4">
        <v>0</v>
      </c>
      <c r="Q15" s="4">
        <v>102</v>
      </c>
      <c r="R15" s="4">
        <v>30</v>
      </c>
      <c r="S15" s="4">
        <v>114</v>
      </c>
      <c r="T15" s="4">
        <v>0</v>
      </c>
      <c r="U15" s="4">
        <v>0</v>
      </c>
      <c r="V15" s="4">
        <v>71</v>
      </c>
      <c r="W15" s="4">
        <v>18</v>
      </c>
      <c r="X15" s="4">
        <v>162</v>
      </c>
      <c r="Y15" s="4">
        <v>263</v>
      </c>
      <c r="Z15" s="4">
        <v>61</v>
      </c>
      <c r="AA15" s="4">
        <v>131</v>
      </c>
      <c r="AB15" s="4">
        <v>201</v>
      </c>
      <c r="AC15" s="4">
        <v>352</v>
      </c>
      <c r="AD15" s="4">
        <v>429</v>
      </c>
      <c r="AE15" s="4">
        <v>421</v>
      </c>
      <c r="AF15" s="3">
        <v>1043</v>
      </c>
      <c r="AG15" s="4">
        <v>57</v>
      </c>
      <c r="AH15" s="4">
        <v>68</v>
      </c>
      <c r="AI15" s="4">
        <v>93</v>
      </c>
      <c r="AJ15" s="4">
        <v>212</v>
      </c>
      <c r="AK15" s="4">
        <v>968</v>
      </c>
      <c r="AL15" s="3">
        <v>1998</v>
      </c>
      <c r="AM15" s="4">
        <v>852</v>
      </c>
      <c r="AN15" s="4">
        <v>322</v>
      </c>
      <c r="AO15" s="4">
        <v>261</v>
      </c>
      <c r="AP15" s="4">
        <v>178</v>
      </c>
      <c r="AQ15" s="4">
        <v>278</v>
      </c>
      <c r="AR15" s="4">
        <v>270</v>
      </c>
      <c r="AS15" s="4">
        <v>304</v>
      </c>
      <c r="AT15" s="4">
        <v>258</v>
      </c>
      <c r="AU15" s="3">
        <v>1122</v>
      </c>
      <c r="AV15" s="4">
        <v>609</v>
      </c>
      <c r="AW15" s="4">
        <v>654</v>
      </c>
      <c r="AX15" s="4">
        <v>472</v>
      </c>
      <c r="AY15" s="4">
        <v>295</v>
      </c>
      <c r="AZ15" s="4">
        <v>337</v>
      </c>
      <c r="BA15" s="4">
        <v>366</v>
      </c>
      <c r="BB15" s="44">
        <v>400</v>
      </c>
      <c r="BC15" s="42">
        <f>1059294/1000</f>
        <v>1059.2940000000001</v>
      </c>
      <c r="BD15" s="42"/>
    </row>
    <row r="16" spans="1:56" s="5" customFormat="1" x14ac:dyDescent="0.25">
      <c r="A16" s="14"/>
      <c r="B16" s="6"/>
      <c r="C16" s="6" t="s">
        <v>8</v>
      </c>
      <c r="D16" s="7">
        <v>428</v>
      </c>
      <c r="E16" s="7">
        <v>458</v>
      </c>
      <c r="F16" s="7">
        <v>684</v>
      </c>
      <c r="G16" s="7">
        <v>762</v>
      </c>
      <c r="H16" s="7">
        <v>985</v>
      </c>
      <c r="I16" s="8">
        <v>1487</v>
      </c>
      <c r="J16" s="8">
        <v>1577</v>
      </c>
      <c r="K16" s="8">
        <v>1299</v>
      </c>
      <c r="L16" s="8">
        <v>1179</v>
      </c>
      <c r="M16" s="8">
        <v>1280</v>
      </c>
      <c r="N16" s="8">
        <v>1292</v>
      </c>
      <c r="O16" s="8">
        <v>1426</v>
      </c>
      <c r="P16" s="8">
        <v>2631</v>
      </c>
      <c r="Q16" s="8">
        <v>2060</v>
      </c>
      <c r="R16" s="8">
        <v>1630</v>
      </c>
      <c r="S16" s="7">
        <v>876</v>
      </c>
      <c r="T16" s="8">
        <v>1033</v>
      </c>
      <c r="U16" s="8">
        <v>1435</v>
      </c>
      <c r="V16" s="8">
        <v>1053</v>
      </c>
      <c r="W16" s="8">
        <v>1116</v>
      </c>
      <c r="X16" s="7">
        <v>509</v>
      </c>
      <c r="Y16" s="7">
        <v>446</v>
      </c>
      <c r="Z16" s="7">
        <v>328</v>
      </c>
      <c r="AA16" s="8">
        <v>1125</v>
      </c>
      <c r="AB16" s="8">
        <v>1019</v>
      </c>
      <c r="AC16" s="7">
        <v>957</v>
      </c>
      <c r="AD16" s="8">
        <v>1301</v>
      </c>
      <c r="AE16" s="7">
        <v>698</v>
      </c>
      <c r="AF16" s="7">
        <v>315</v>
      </c>
      <c r="AG16" s="7">
        <v>326</v>
      </c>
      <c r="AH16" s="7">
        <v>689</v>
      </c>
      <c r="AI16" s="7">
        <v>933</v>
      </c>
      <c r="AJ16" s="8">
        <v>1431</v>
      </c>
      <c r="AK16" s="8">
        <v>1518</v>
      </c>
      <c r="AL16" s="7">
        <v>32</v>
      </c>
      <c r="AM16" s="7">
        <v>265</v>
      </c>
      <c r="AN16" s="7">
        <v>938</v>
      </c>
      <c r="AO16" s="8">
        <v>3734</v>
      </c>
      <c r="AP16" s="8">
        <v>2708</v>
      </c>
      <c r="AQ16" s="8">
        <v>2951</v>
      </c>
      <c r="AR16" s="8">
        <v>1847</v>
      </c>
      <c r="AS16" s="8">
        <v>1963</v>
      </c>
      <c r="AT16" s="8">
        <v>2583</v>
      </c>
      <c r="AU16" s="7">
        <v>880</v>
      </c>
      <c r="AV16" s="7">
        <v>656</v>
      </c>
      <c r="AW16" s="8">
        <v>1216</v>
      </c>
      <c r="AX16" s="8">
        <v>1340</v>
      </c>
      <c r="AY16" s="7">
        <v>969</v>
      </c>
      <c r="AZ16" s="7">
        <v>783</v>
      </c>
      <c r="BA16" s="7">
        <v>619</v>
      </c>
      <c r="BB16" s="47">
        <v>600</v>
      </c>
      <c r="BC16" s="43">
        <f>501073/1000</f>
        <v>501.07299999999998</v>
      </c>
      <c r="BD16" s="43"/>
    </row>
    <row r="17" spans="1:56" x14ac:dyDescent="0.25">
      <c r="A17" s="12"/>
      <c r="B17" s="2"/>
      <c r="C17" s="2" t="s">
        <v>9</v>
      </c>
      <c r="D17" s="3">
        <v>46383</v>
      </c>
      <c r="E17" s="3">
        <v>38590</v>
      </c>
      <c r="F17" s="3">
        <v>39406</v>
      </c>
      <c r="G17" s="3">
        <v>48874</v>
      </c>
      <c r="H17" s="3">
        <v>59115</v>
      </c>
      <c r="I17" s="3">
        <v>59418</v>
      </c>
      <c r="J17" s="3">
        <v>63196</v>
      </c>
      <c r="K17" s="3">
        <v>64781</v>
      </c>
      <c r="L17" s="3">
        <v>64491</v>
      </c>
      <c r="M17" s="3">
        <v>65771</v>
      </c>
      <c r="N17" s="3">
        <v>72209</v>
      </c>
      <c r="O17" s="3">
        <v>77236</v>
      </c>
      <c r="P17" s="3">
        <v>76717</v>
      </c>
      <c r="Q17" s="3">
        <v>80257</v>
      </c>
      <c r="R17" s="3">
        <v>83633</v>
      </c>
      <c r="S17" s="3">
        <v>85130</v>
      </c>
      <c r="T17" s="3">
        <v>86530</v>
      </c>
      <c r="U17" s="3">
        <v>87561</v>
      </c>
      <c r="V17" s="3">
        <v>89868</v>
      </c>
      <c r="W17" s="3">
        <v>96527</v>
      </c>
      <c r="X17" s="3">
        <v>98587</v>
      </c>
      <c r="Y17" s="3">
        <v>101085</v>
      </c>
      <c r="Z17" s="3">
        <v>103350</v>
      </c>
      <c r="AA17" s="3">
        <v>105212</v>
      </c>
      <c r="AB17" s="3">
        <v>110461</v>
      </c>
      <c r="AC17" s="3">
        <v>111894</v>
      </c>
      <c r="AD17" s="3">
        <v>112685</v>
      </c>
      <c r="AE17" s="3">
        <v>115939</v>
      </c>
      <c r="AF17" s="3">
        <v>118605</v>
      </c>
      <c r="AG17" s="3">
        <v>120822</v>
      </c>
      <c r="AH17" s="3">
        <v>123911</v>
      </c>
      <c r="AI17" s="3">
        <v>126827</v>
      </c>
      <c r="AJ17" s="3">
        <v>128135</v>
      </c>
      <c r="AK17" s="3">
        <v>129340</v>
      </c>
      <c r="AL17" s="3">
        <v>130117</v>
      </c>
      <c r="AM17" s="3">
        <v>131237</v>
      </c>
      <c r="AN17" s="3">
        <v>131954</v>
      </c>
      <c r="AO17" s="3">
        <v>132700</v>
      </c>
      <c r="AP17" s="3">
        <v>134100</v>
      </c>
      <c r="AQ17" s="3">
        <v>134200</v>
      </c>
      <c r="AR17" s="3">
        <v>134300</v>
      </c>
      <c r="AS17" s="3">
        <v>136500</v>
      </c>
      <c r="AT17" s="3">
        <v>135700</v>
      </c>
      <c r="AU17" s="3">
        <v>132100</v>
      </c>
      <c r="AV17" s="3">
        <v>130300</v>
      </c>
      <c r="AW17" s="3">
        <v>128000</v>
      </c>
      <c r="AX17" s="3">
        <v>127200</v>
      </c>
      <c r="AY17" s="3">
        <v>127450</v>
      </c>
      <c r="AZ17" s="3">
        <v>133000</v>
      </c>
      <c r="BA17" s="3">
        <v>134320</v>
      </c>
      <c r="BB17" s="44">
        <v>136000</v>
      </c>
      <c r="BC17" s="42">
        <f>BC14+BC15-BC16</f>
        <v>203225.394</v>
      </c>
      <c r="BD17" s="42"/>
    </row>
    <row r="18" spans="1:56" s="5" customFormat="1" x14ac:dyDescent="0.25">
      <c r="A18" s="14"/>
      <c r="B18" s="6" t="s">
        <v>13</v>
      </c>
      <c r="C18" s="6" t="s">
        <v>6</v>
      </c>
      <c r="D18" s="8">
        <f>12415994/1000</f>
        <v>12415.994000000001</v>
      </c>
      <c r="E18" s="8">
        <f>9829314/1000</f>
        <v>9829.3140000000003</v>
      </c>
      <c r="F18" s="8">
        <f>14556529/1000</f>
        <v>14556.529</v>
      </c>
      <c r="G18" s="8">
        <f>19165654/1000</f>
        <v>19165.653999999999</v>
      </c>
      <c r="H18" s="8">
        <f>23118700/1000</f>
        <v>23118.7</v>
      </c>
      <c r="I18" s="8">
        <f>20577970/1000</f>
        <v>20577.97</v>
      </c>
      <c r="J18" s="8">
        <f>19641930/1000</f>
        <v>19641.93</v>
      </c>
      <c r="K18" s="8">
        <f>18888400/1000</f>
        <v>18888.400000000001</v>
      </c>
      <c r="L18" s="8">
        <f>17738420/1000</f>
        <v>17738.419999999998</v>
      </c>
      <c r="M18" s="8">
        <f>19702958/1000</f>
        <v>19702.957999999999</v>
      </c>
      <c r="N18" s="8">
        <f>21302116/1000</f>
        <v>21302.116000000002</v>
      </c>
      <c r="O18" s="8">
        <f>23785393/1000</f>
        <v>23785.393</v>
      </c>
      <c r="P18" s="8">
        <f>24728774/1000</f>
        <v>24728.774000000001</v>
      </c>
      <c r="Q18" s="8">
        <f>25578397/1000</f>
        <v>25578.397000000001</v>
      </c>
      <c r="R18" s="8">
        <f>24565424/1000</f>
        <v>24565.423999999999</v>
      </c>
      <c r="S18" s="8">
        <f>25610645/1000</f>
        <v>25610.645</v>
      </c>
      <c r="T18" s="8">
        <f>29053866/1000</f>
        <v>29053.866000000002</v>
      </c>
      <c r="U18" s="8">
        <f>29394391/1000</f>
        <v>29394.391</v>
      </c>
      <c r="V18" s="8">
        <f>31186369/1000</f>
        <v>31186.368999999999</v>
      </c>
      <c r="W18" s="8">
        <f>31977589/1000</f>
        <v>31977.589</v>
      </c>
      <c r="X18" s="8">
        <f>38379599/1000</f>
        <v>38379.599000000002</v>
      </c>
      <c r="Y18" s="8">
        <f>45486381/1000</f>
        <v>45486.381000000001</v>
      </c>
      <c r="Z18" s="8">
        <f>38624178/1000</f>
        <v>38624.178</v>
      </c>
      <c r="AA18" s="8">
        <f>46470036/1000</f>
        <v>46470.036</v>
      </c>
      <c r="AB18" s="8">
        <f>58711259/1000</f>
        <v>58711.258999999998</v>
      </c>
      <c r="AC18" s="8">
        <f>56483312/1000</f>
        <v>56483.311999999998</v>
      </c>
      <c r="AD18" s="8">
        <f>52811505/1000</f>
        <v>52811.504999999997</v>
      </c>
      <c r="AE18" s="8">
        <f>56062396/1000</f>
        <v>56062.396000000001</v>
      </c>
      <c r="AF18" s="8">
        <f>55645250/1000</f>
        <v>55645.25</v>
      </c>
      <c r="AG18" s="8">
        <f>63451067/1000</f>
        <v>63451.067000000003</v>
      </c>
      <c r="AH18" s="8">
        <f>72694722/1000</f>
        <v>72694.721999999994</v>
      </c>
      <c r="AI18" s="8">
        <f>78868561/1000</f>
        <v>78868.561000000002</v>
      </c>
      <c r="AJ18" s="8">
        <f>68997310/1000</f>
        <v>68997.31</v>
      </c>
      <c r="AK18" s="8">
        <f>66430351/1000</f>
        <v>66430.350999999995</v>
      </c>
      <c r="AL18" s="8">
        <f>70278810/1000</f>
        <v>70278.81</v>
      </c>
      <c r="AM18" s="8">
        <f>71260196/1000</f>
        <v>71260.195999999996</v>
      </c>
      <c r="AN18" s="8">
        <f>83012389/1000</f>
        <v>83012.388999999996</v>
      </c>
      <c r="AO18" s="8">
        <f>87203679/1000</f>
        <v>87203.679000000004</v>
      </c>
      <c r="AP18" s="8">
        <f>78108146/1000</f>
        <v>78108.145999999993</v>
      </c>
      <c r="AQ18" s="8">
        <f>69298730/1000</f>
        <v>69298.73</v>
      </c>
      <c r="AR18" s="8">
        <f>77965653/1000</f>
        <v>77965.653000000006</v>
      </c>
      <c r="AS18" s="8">
        <f>92202611/1000</f>
        <v>92202.611000000004</v>
      </c>
      <c r="AT18" s="8">
        <f>92039300/1000</f>
        <v>92039.3</v>
      </c>
      <c r="AU18" s="8">
        <f>91044422/1000</f>
        <v>91044.422000000006</v>
      </c>
      <c r="AV18" s="8">
        <f>87578212/1000</f>
        <v>87578.212</v>
      </c>
      <c r="AW18" s="8">
        <f>93306257/1000</f>
        <v>93306.256999999998</v>
      </c>
      <c r="AX18" s="8">
        <f>113731917/1000</f>
        <v>113731.917</v>
      </c>
      <c r="AY18" s="8">
        <f>124917902/1000</f>
        <v>124917.902</v>
      </c>
      <c r="AZ18" s="8">
        <f>116250978/1000</f>
        <v>116250.978</v>
      </c>
      <c r="BA18" s="8">
        <f>111501483/1000</f>
        <v>111501.48299999999</v>
      </c>
      <c r="BB18" s="47">
        <f>115123560/1000</f>
        <v>115123.56</v>
      </c>
      <c r="BC18" s="43">
        <f>124038017/1000</f>
        <v>124038.01700000001</v>
      </c>
      <c r="BD18" s="43">
        <f>128850908/1000</f>
        <v>128850.908</v>
      </c>
    </row>
    <row r="19" spans="1:56" x14ac:dyDescent="0.25">
      <c r="A19" s="12"/>
      <c r="B19" s="2"/>
      <c r="C19" s="2" t="s">
        <v>7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27</v>
      </c>
      <c r="W19" s="4">
        <v>0</v>
      </c>
      <c r="X19" s="4">
        <v>0</v>
      </c>
      <c r="Y19" s="4">
        <v>23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60</v>
      </c>
      <c r="AJ19" s="4">
        <v>0</v>
      </c>
      <c r="AK19" s="4">
        <v>0</v>
      </c>
      <c r="AL19" s="4">
        <v>18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22</v>
      </c>
      <c r="AS19" s="4">
        <v>3</v>
      </c>
      <c r="AT19" s="4">
        <v>2</v>
      </c>
      <c r="AU19" s="4">
        <v>3</v>
      </c>
      <c r="AV19" s="4">
        <v>9</v>
      </c>
      <c r="AW19" s="4">
        <v>9</v>
      </c>
      <c r="AX19" s="4">
        <v>4</v>
      </c>
      <c r="AY19" s="4">
        <v>12</v>
      </c>
      <c r="AZ19" s="4">
        <v>14</v>
      </c>
      <c r="BA19" s="4">
        <v>83</v>
      </c>
      <c r="BB19" s="44">
        <v>25</v>
      </c>
      <c r="BC19" s="42">
        <f>97696/1000</f>
        <v>97.695999999999998</v>
      </c>
      <c r="BD19" s="42"/>
    </row>
    <row r="20" spans="1:56" s="5" customFormat="1" x14ac:dyDescent="0.25">
      <c r="A20" s="14"/>
      <c r="B20" s="6"/>
      <c r="C20" s="6" t="s">
        <v>8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75</v>
      </c>
      <c r="P20" s="7">
        <v>75</v>
      </c>
      <c r="Q20" s="7">
        <v>100</v>
      </c>
      <c r="R20" s="7">
        <v>100</v>
      </c>
      <c r="S20" s="7">
        <v>125</v>
      </c>
      <c r="T20" s="7">
        <v>100</v>
      </c>
      <c r="U20" s="7">
        <v>50</v>
      </c>
      <c r="V20" s="7">
        <v>50</v>
      </c>
      <c r="W20" s="7">
        <v>25</v>
      </c>
      <c r="X20" s="7">
        <v>75</v>
      </c>
      <c r="Y20" s="7">
        <v>100</v>
      </c>
      <c r="Z20" s="7">
        <v>50</v>
      </c>
      <c r="AA20" s="7">
        <v>50</v>
      </c>
      <c r="AB20" s="7">
        <v>500</v>
      </c>
      <c r="AC20" s="7">
        <v>715</v>
      </c>
      <c r="AD20" s="7">
        <v>379</v>
      </c>
      <c r="AE20" s="7">
        <v>74</v>
      </c>
      <c r="AF20" s="8">
        <v>1147</v>
      </c>
      <c r="AG20" s="7">
        <v>266</v>
      </c>
      <c r="AH20" s="7">
        <v>326</v>
      </c>
      <c r="AI20" s="7">
        <v>462</v>
      </c>
      <c r="AJ20" s="7">
        <v>391</v>
      </c>
      <c r="AK20" s="7">
        <v>245</v>
      </c>
      <c r="AL20" s="7">
        <v>188</v>
      </c>
      <c r="AM20" s="7">
        <v>20</v>
      </c>
      <c r="AN20" s="7">
        <v>97</v>
      </c>
      <c r="AO20" s="7">
        <v>30</v>
      </c>
      <c r="AP20" s="7">
        <v>17</v>
      </c>
      <c r="AQ20" s="7">
        <v>18</v>
      </c>
      <c r="AR20" s="7">
        <v>19</v>
      </c>
      <c r="AS20" s="7">
        <v>19</v>
      </c>
      <c r="AT20" s="7">
        <v>88</v>
      </c>
      <c r="AU20" s="7">
        <v>168</v>
      </c>
      <c r="AV20" s="7">
        <v>28</v>
      </c>
      <c r="AW20" s="7">
        <v>26</v>
      </c>
      <c r="AX20" s="7">
        <v>144</v>
      </c>
      <c r="AY20" s="7">
        <v>223</v>
      </c>
      <c r="AZ20" s="7">
        <v>32</v>
      </c>
      <c r="BA20" s="7">
        <v>41</v>
      </c>
      <c r="BB20" s="47">
        <v>50</v>
      </c>
      <c r="BC20" s="43">
        <f>69080/1000</f>
        <v>69.08</v>
      </c>
      <c r="BD20" s="43"/>
    </row>
    <row r="21" spans="1:56" x14ac:dyDescent="0.25">
      <c r="A21" s="12"/>
      <c r="B21" s="2"/>
      <c r="C21" s="2" t="s">
        <v>9</v>
      </c>
      <c r="D21" s="3">
        <v>5275</v>
      </c>
      <c r="E21" s="3">
        <v>4465</v>
      </c>
      <c r="F21" s="3">
        <v>5916</v>
      </c>
      <c r="G21" s="3">
        <v>7135</v>
      </c>
      <c r="H21" s="3">
        <v>6949</v>
      </c>
      <c r="I21" s="3">
        <v>7444</v>
      </c>
      <c r="J21" s="3">
        <v>7660</v>
      </c>
      <c r="K21" s="3">
        <v>7892</v>
      </c>
      <c r="L21" s="3">
        <v>7195</v>
      </c>
      <c r="M21" s="3">
        <v>7116</v>
      </c>
      <c r="N21" s="3">
        <v>7635</v>
      </c>
      <c r="O21" s="3">
        <v>8144</v>
      </c>
      <c r="P21" s="3">
        <v>7690</v>
      </c>
      <c r="Q21" s="3">
        <v>10075</v>
      </c>
      <c r="R21" s="3">
        <v>10675</v>
      </c>
      <c r="S21" s="3">
        <v>10850</v>
      </c>
      <c r="T21" s="3">
        <v>9000</v>
      </c>
      <c r="U21" s="3">
        <v>7900</v>
      </c>
      <c r="V21" s="3">
        <v>7837</v>
      </c>
      <c r="W21" s="3">
        <v>7800</v>
      </c>
      <c r="X21" s="3">
        <v>7000</v>
      </c>
      <c r="Y21" s="3">
        <v>6823</v>
      </c>
      <c r="Z21" s="3">
        <v>6820</v>
      </c>
      <c r="AA21" s="3">
        <v>8305</v>
      </c>
      <c r="AB21" s="3">
        <v>7465</v>
      </c>
      <c r="AC21" s="3">
        <v>5844</v>
      </c>
      <c r="AD21" s="3">
        <v>5430</v>
      </c>
      <c r="AE21" s="3">
        <v>5289</v>
      </c>
      <c r="AF21" s="3">
        <v>4787</v>
      </c>
      <c r="AG21" s="3">
        <v>4169</v>
      </c>
      <c r="AH21" s="3">
        <v>4999</v>
      </c>
      <c r="AI21" s="3">
        <v>4805</v>
      </c>
      <c r="AJ21" s="3">
        <v>4574</v>
      </c>
      <c r="AK21" s="3">
        <v>5416</v>
      </c>
      <c r="AL21" s="3">
        <v>6355</v>
      </c>
      <c r="AM21" s="3">
        <v>4935</v>
      </c>
      <c r="AN21" s="3">
        <v>5379</v>
      </c>
      <c r="AO21" s="3">
        <v>3650</v>
      </c>
      <c r="AP21" s="3">
        <v>4134</v>
      </c>
      <c r="AQ21" s="3">
        <v>3319</v>
      </c>
      <c r="AR21" s="3">
        <v>2561</v>
      </c>
      <c r="AS21" s="3">
        <v>2700</v>
      </c>
      <c r="AT21" s="3">
        <v>2725</v>
      </c>
      <c r="AU21" s="3">
        <v>2650</v>
      </c>
      <c r="AV21" s="3">
        <v>2300</v>
      </c>
      <c r="AW21" s="3">
        <v>2300</v>
      </c>
      <c r="AX21" s="3">
        <v>2050</v>
      </c>
      <c r="AY21" s="3">
        <v>2000</v>
      </c>
      <c r="AZ21" s="3">
        <v>2000</v>
      </c>
      <c r="BA21" s="3">
        <v>1900</v>
      </c>
      <c r="BB21" s="44">
        <v>1800</v>
      </c>
      <c r="BC21" s="42">
        <f>BC18+BC19-BC20</f>
        <v>124066.633</v>
      </c>
      <c r="BD21" s="42"/>
    </row>
    <row r="22" spans="1:56" s="5" customFormat="1" x14ac:dyDescent="0.25">
      <c r="A22" s="12"/>
      <c r="B22" s="2" t="s">
        <v>14</v>
      </c>
      <c r="C22" s="2" t="s">
        <v>42</v>
      </c>
      <c r="D22" s="4">
        <v>770</v>
      </c>
      <c r="E22" s="4">
        <v>635</v>
      </c>
      <c r="F22" s="3">
        <v>1280</v>
      </c>
      <c r="G22" s="3">
        <v>1200</v>
      </c>
      <c r="H22" s="3">
        <v>1496</v>
      </c>
      <c r="I22" s="3">
        <v>1688</v>
      </c>
      <c r="J22" s="3">
        <v>1631</v>
      </c>
      <c r="K22" s="3">
        <v>1814</v>
      </c>
      <c r="L22" s="3">
        <v>1634</v>
      </c>
      <c r="M22" s="3">
        <v>1996</v>
      </c>
      <c r="N22" s="3">
        <v>2096</v>
      </c>
      <c r="O22" s="3">
        <v>2042</v>
      </c>
      <c r="P22" s="3">
        <v>2150</v>
      </c>
      <c r="Q22" s="3">
        <v>2365</v>
      </c>
      <c r="R22" s="3">
        <v>2257</v>
      </c>
      <c r="S22" s="3">
        <v>2311</v>
      </c>
      <c r="T22" s="3">
        <v>1870</v>
      </c>
      <c r="U22" s="3">
        <v>2140</v>
      </c>
      <c r="V22" s="3">
        <v>2530</v>
      </c>
      <c r="W22" s="3">
        <v>2507</v>
      </c>
      <c r="X22" s="3">
        <v>3220</v>
      </c>
      <c r="Y22" s="3">
        <v>3650</v>
      </c>
      <c r="Z22" s="3">
        <v>4132</v>
      </c>
      <c r="AA22" s="3">
        <v>3825</v>
      </c>
      <c r="AB22" s="3">
        <v>4627</v>
      </c>
      <c r="AC22" s="3">
        <v>5535</v>
      </c>
      <c r="AD22" s="3">
        <v>5774</v>
      </c>
      <c r="AE22" s="3">
        <v>4706</v>
      </c>
      <c r="AF22" s="3">
        <v>5312</v>
      </c>
      <c r="AG22" s="3">
        <v>5618</v>
      </c>
      <c r="AH22" s="3">
        <v>6765</v>
      </c>
      <c r="AI22" s="3">
        <v>8492</v>
      </c>
      <c r="AJ22" s="3">
        <v>8300</v>
      </c>
      <c r="AK22" s="3">
        <v>6505</v>
      </c>
      <c r="AL22" s="3">
        <v>6299</v>
      </c>
      <c r="AM22" s="3">
        <v>6686</v>
      </c>
      <c r="AN22" s="3">
        <v>7789</v>
      </c>
      <c r="AO22" s="3">
        <v>8631</v>
      </c>
      <c r="AP22" s="3">
        <v>8969</v>
      </c>
      <c r="AQ22" s="3">
        <v>6947</v>
      </c>
      <c r="AR22" s="3">
        <v>6849</v>
      </c>
      <c r="AS22" s="3">
        <v>8305</v>
      </c>
      <c r="AT22" s="3">
        <v>11380</v>
      </c>
      <c r="AU22" s="3">
        <v>10734</v>
      </c>
      <c r="AV22" s="3">
        <v>9826</v>
      </c>
      <c r="AW22" s="3">
        <v>9446</v>
      </c>
      <c r="AX22" s="3">
        <v>12855</v>
      </c>
      <c r="AY22" s="3">
        <v>15898</v>
      </c>
      <c r="AZ22" s="3">
        <v>13317</v>
      </c>
      <c r="BA22" s="3">
        <v>11500</v>
      </c>
      <c r="BB22" s="45">
        <v>12670</v>
      </c>
      <c r="BC22" s="43"/>
      <c r="BD22" s="43"/>
    </row>
    <row r="23" spans="1:56" x14ac:dyDescent="0.25">
      <c r="A23" s="12"/>
      <c r="B23" s="6"/>
      <c r="C23" s="6" t="s">
        <v>45</v>
      </c>
      <c r="D23" s="7">
        <v>900</v>
      </c>
      <c r="E23" s="7">
        <v>700</v>
      </c>
      <c r="F23" s="7">
        <v>0</v>
      </c>
      <c r="G23" s="7">
        <v>310</v>
      </c>
      <c r="H23" s="7">
        <v>350</v>
      </c>
      <c r="I23" s="7">
        <v>500</v>
      </c>
      <c r="J23" s="7">
        <v>450</v>
      </c>
      <c r="K23" s="7">
        <v>480</v>
      </c>
      <c r="L23" s="7">
        <v>450</v>
      </c>
      <c r="M23" s="7">
        <v>430</v>
      </c>
      <c r="N23" s="7">
        <v>350</v>
      </c>
      <c r="O23" s="7">
        <v>600</v>
      </c>
      <c r="P23" s="7">
        <v>750</v>
      </c>
      <c r="Q23" s="7">
        <v>610</v>
      </c>
      <c r="R23" s="7">
        <v>410</v>
      </c>
      <c r="S23" s="7">
        <v>600</v>
      </c>
      <c r="T23" s="8">
        <v>1500</v>
      </c>
      <c r="U23" s="8">
        <v>1400</v>
      </c>
      <c r="V23" s="8">
        <v>1300</v>
      </c>
      <c r="W23" s="8">
        <v>1173</v>
      </c>
      <c r="X23" s="8">
        <v>1100</v>
      </c>
      <c r="Y23" s="8">
        <v>2150</v>
      </c>
      <c r="Z23" s="8">
        <v>2480</v>
      </c>
      <c r="AA23" s="8">
        <v>1150</v>
      </c>
      <c r="AB23" s="8">
        <v>1890</v>
      </c>
      <c r="AC23" s="8">
        <v>1216</v>
      </c>
      <c r="AD23" s="8">
        <v>1507</v>
      </c>
      <c r="AE23" s="8">
        <v>3700</v>
      </c>
      <c r="AF23" s="8">
        <v>2462</v>
      </c>
      <c r="AG23" s="8">
        <v>1132</v>
      </c>
      <c r="AH23" s="8">
        <v>1055</v>
      </c>
      <c r="AI23" s="8">
        <v>1230</v>
      </c>
      <c r="AJ23" s="7">
        <v>506</v>
      </c>
      <c r="AK23" s="8">
        <v>1469</v>
      </c>
      <c r="AL23" s="8">
        <v>4110</v>
      </c>
      <c r="AM23" s="8">
        <v>1775</v>
      </c>
      <c r="AN23" s="8">
        <v>1014</v>
      </c>
      <c r="AO23" s="7">
        <v>420</v>
      </c>
      <c r="AP23" s="7">
        <v>517</v>
      </c>
      <c r="AQ23" s="7">
        <v>687</v>
      </c>
      <c r="AR23" s="8">
        <v>1083</v>
      </c>
      <c r="AS23" s="8">
        <v>1375</v>
      </c>
      <c r="AT23" s="7">
        <v>842</v>
      </c>
      <c r="AU23" s="8">
        <v>1235</v>
      </c>
      <c r="AV23" s="8">
        <v>1360</v>
      </c>
      <c r="AW23" s="8">
        <v>1234</v>
      </c>
      <c r="AX23" s="8">
        <v>1465</v>
      </c>
      <c r="AY23" s="7">
        <v>972</v>
      </c>
      <c r="AZ23" s="8">
        <v>1077</v>
      </c>
      <c r="BA23" s="8">
        <v>1500</v>
      </c>
      <c r="BB23" s="48">
        <v>1800</v>
      </c>
      <c r="BC23" s="42">
        <f>2985226/1000</f>
        <v>2985.2260000000001</v>
      </c>
      <c r="BD23" s="42"/>
    </row>
    <row r="24" spans="1:56" s="5" customFormat="1" x14ac:dyDescent="0.25">
      <c r="A24" s="12"/>
      <c r="B24" s="2"/>
      <c r="C24" s="2" t="s">
        <v>44</v>
      </c>
      <c r="D24" s="4">
        <v>75</v>
      </c>
      <c r="E24" s="4">
        <v>230</v>
      </c>
      <c r="F24" s="4">
        <v>250</v>
      </c>
      <c r="G24" s="4">
        <v>370</v>
      </c>
      <c r="H24" s="4">
        <v>350</v>
      </c>
      <c r="I24" s="4">
        <v>420</v>
      </c>
      <c r="J24" s="4">
        <v>350</v>
      </c>
      <c r="K24" s="4">
        <v>280</v>
      </c>
      <c r="L24" s="4">
        <v>150</v>
      </c>
      <c r="M24" s="4">
        <v>100</v>
      </c>
      <c r="N24" s="4">
        <v>100</v>
      </c>
      <c r="O24" s="4">
        <v>110</v>
      </c>
      <c r="P24" s="4">
        <v>150</v>
      </c>
      <c r="Q24" s="4">
        <v>80</v>
      </c>
      <c r="R24" s="4">
        <v>80</v>
      </c>
      <c r="S24" s="4">
        <v>50</v>
      </c>
      <c r="T24" s="4">
        <v>173</v>
      </c>
      <c r="U24" s="4">
        <v>120</v>
      </c>
      <c r="V24" s="4">
        <v>115</v>
      </c>
      <c r="W24" s="4">
        <v>235</v>
      </c>
      <c r="X24" s="4">
        <v>100</v>
      </c>
      <c r="Y24" s="4">
        <v>173</v>
      </c>
      <c r="Z24" s="4">
        <v>72</v>
      </c>
      <c r="AA24" s="4">
        <v>54</v>
      </c>
      <c r="AB24" s="4">
        <v>116</v>
      </c>
      <c r="AC24" s="4">
        <v>271</v>
      </c>
      <c r="AD24" s="4">
        <v>459</v>
      </c>
      <c r="AE24" s="4">
        <v>310</v>
      </c>
      <c r="AF24" s="4">
        <v>275</v>
      </c>
      <c r="AG24" s="4">
        <v>624</v>
      </c>
      <c r="AH24" s="4">
        <v>320</v>
      </c>
      <c r="AI24" s="3">
        <v>1420</v>
      </c>
      <c r="AJ24" s="3">
        <v>1500</v>
      </c>
      <c r="AK24" s="3">
        <v>1114</v>
      </c>
      <c r="AL24" s="4">
        <v>414</v>
      </c>
      <c r="AM24" s="4">
        <v>952</v>
      </c>
      <c r="AN24" s="4">
        <v>435</v>
      </c>
      <c r="AO24" s="4">
        <v>308</v>
      </c>
      <c r="AP24" s="4">
        <v>453</v>
      </c>
      <c r="AQ24" s="4">
        <v>433</v>
      </c>
      <c r="AR24" s="4">
        <v>129</v>
      </c>
      <c r="AS24" s="4">
        <v>460</v>
      </c>
      <c r="AT24" s="4">
        <v>120</v>
      </c>
      <c r="AU24" s="4">
        <v>67</v>
      </c>
      <c r="AV24" s="4">
        <v>352</v>
      </c>
      <c r="AW24" s="4">
        <v>234</v>
      </c>
      <c r="AX24" s="4">
        <v>122</v>
      </c>
      <c r="AY24" s="4">
        <v>56</v>
      </c>
      <c r="AZ24" s="4">
        <v>75</v>
      </c>
      <c r="BA24" s="4">
        <v>94</v>
      </c>
      <c r="BB24" s="45">
        <v>55</v>
      </c>
      <c r="BC24" s="43">
        <f>7814/1000</f>
        <v>7.8140000000000001</v>
      </c>
      <c r="BD24" s="43"/>
    </row>
    <row r="25" spans="1:56" ht="30" x14ac:dyDescent="0.25">
      <c r="A25" s="12"/>
      <c r="B25" s="6"/>
      <c r="C25" s="6" t="s">
        <v>43</v>
      </c>
      <c r="D25" s="8">
        <f>D22+D23-D24</f>
        <v>1595</v>
      </c>
      <c r="E25" s="8">
        <f t="shared" ref="E25:BC25" si="0">E22+E23-E24</f>
        <v>1105</v>
      </c>
      <c r="F25" s="8">
        <f t="shared" si="0"/>
        <v>1030</v>
      </c>
      <c r="G25" s="8">
        <f t="shared" si="0"/>
        <v>1140</v>
      </c>
      <c r="H25" s="8">
        <f t="shared" si="0"/>
        <v>1496</v>
      </c>
      <c r="I25" s="8">
        <f t="shared" si="0"/>
        <v>1768</v>
      </c>
      <c r="J25" s="8">
        <f t="shared" si="0"/>
        <v>1731</v>
      </c>
      <c r="K25" s="8">
        <f t="shared" si="0"/>
        <v>2014</v>
      </c>
      <c r="L25" s="8">
        <f t="shared" si="0"/>
        <v>1934</v>
      </c>
      <c r="M25" s="8">
        <f t="shared" si="0"/>
        <v>2326</v>
      </c>
      <c r="N25" s="8">
        <f t="shared" si="0"/>
        <v>2346</v>
      </c>
      <c r="O25" s="8">
        <f t="shared" si="0"/>
        <v>2532</v>
      </c>
      <c r="P25" s="8">
        <f t="shared" si="0"/>
        <v>2750</v>
      </c>
      <c r="Q25" s="8">
        <f t="shared" si="0"/>
        <v>2895</v>
      </c>
      <c r="R25" s="8">
        <f t="shared" si="0"/>
        <v>2587</v>
      </c>
      <c r="S25" s="8">
        <f t="shared" si="0"/>
        <v>2861</v>
      </c>
      <c r="T25" s="8">
        <f t="shared" si="0"/>
        <v>3197</v>
      </c>
      <c r="U25" s="8">
        <f t="shared" si="0"/>
        <v>3420</v>
      </c>
      <c r="V25" s="8">
        <f t="shared" si="0"/>
        <v>3715</v>
      </c>
      <c r="W25" s="8">
        <f t="shared" si="0"/>
        <v>3445</v>
      </c>
      <c r="X25" s="8">
        <f t="shared" si="0"/>
        <v>4220</v>
      </c>
      <c r="Y25" s="8">
        <f t="shared" si="0"/>
        <v>5627</v>
      </c>
      <c r="Z25" s="8">
        <f t="shared" si="0"/>
        <v>6540</v>
      </c>
      <c r="AA25" s="8">
        <f t="shared" si="0"/>
        <v>4921</v>
      </c>
      <c r="AB25" s="8">
        <f t="shared" si="0"/>
        <v>6401</v>
      </c>
      <c r="AC25" s="8">
        <f t="shared" si="0"/>
        <v>6480</v>
      </c>
      <c r="AD25" s="8">
        <f t="shared" si="0"/>
        <v>6822</v>
      </c>
      <c r="AE25" s="8">
        <f t="shared" si="0"/>
        <v>8096</v>
      </c>
      <c r="AF25" s="8">
        <f t="shared" si="0"/>
        <v>7499</v>
      </c>
      <c r="AG25" s="8">
        <f t="shared" si="0"/>
        <v>6126</v>
      </c>
      <c r="AH25" s="8">
        <f t="shared" si="0"/>
        <v>7500</v>
      </c>
      <c r="AI25" s="8">
        <f t="shared" si="0"/>
        <v>8302</v>
      </c>
      <c r="AJ25" s="8">
        <f t="shared" si="0"/>
        <v>7306</v>
      </c>
      <c r="AK25" s="8">
        <f t="shared" si="0"/>
        <v>6860</v>
      </c>
      <c r="AL25" s="8">
        <f t="shared" si="0"/>
        <v>9995</v>
      </c>
      <c r="AM25" s="8">
        <f t="shared" si="0"/>
        <v>7509</v>
      </c>
      <c r="AN25" s="8">
        <f t="shared" si="0"/>
        <v>8368</v>
      </c>
      <c r="AO25" s="8">
        <f t="shared" si="0"/>
        <v>8743</v>
      </c>
      <c r="AP25" s="8">
        <f t="shared" si="0"/>
        <v>9033</v>
      </c>
      <c r="AQ25" s="8">
        <f t="shared" si="0"/>
        <v>7201</v>
      </c>
      <c r="AR25" s="8">
        <f t="shared" si="0"/>
        <v>7803</v>
      </c>
      <c r="AS25" s="8">
        <f t="shared" si="0"/>
        <v>9220</v>
      </c>
      <c r="AT25" s="8">
        <f t="shared" si="0"/>
        <v>12102</v>
      </c>
      <c r="AU25" s="8">
        <f t="shared" si="0"/>
        <v>11902</v>
      </c>
      <c r="AV25" s="8">
        <f t="shared" si="0"/>
        <v>10834</v>
      </c>
      <c r="AW25" s="8">
        <f t="shared" si="0"/>
        <v>10446</v>
      </c>
      <c r="AX25" s="8">
        <f t="shared" si="0"/>
        <v>14198</v>
      </c>
      <c r="AY25" s="8">
        <f t="shared" si="0"/>
        <v>16814</v>
      </c>
      <c r="AZ25" s="8">
        <f t="shared" si="0"/>
        <v>14319</v>
      </c>
      <c r="BA25" s="8">
        <f t="shared" si="0"/>
        <v>12906</v>
      </c>
      <c r="BB25" s="47">
        <f t="shared" si="0"/>
        <v>14415</v>
      </c>
      <c r="BC25" s="47">
        <f t="shared" si="0"/>
        <v>2977.4120000000003</v>
      </c>
      <c r="BD25" s="42"/>
    </row>
    <row r="26" spans="1:56" x14ac:dyDescent="0.25">
      <c r="A26" s="12"/>
      <c r="B26" s="2" t="s">
        <v>15</v>
      </c>
      <c r="C26" s="2" t="s">
        <v>6</v>
      </c>
      <c r="D26" s="3">
        <v>20960</v>
      </c>
      <c r="E26" s="3">
        <v>14250</v>
      </c>
      <c r="F26" s="3">
        <v>16665</v>
      </c>
      <c r="G26" s="3">
        <v>18475</v>
      </c>
      <c r="H26" s="3">
        <v>20840</v>
      </c>
      <c r="I26" s="3">
        <v>25220</v>
      </c>
      <c r="J26" s="3">
        <v>25280</v>
      </c>
      <c r="K26" s="3">
        <v>28485</v>
      </c>
      <c r="L26" s="3">
        <v>27455</v>
      </c>
      <c r="M26" s="3">
        <v>27285</v>
      </c>
      <c r="N26" s="3">
        <v>29185</v>
      </c>
      <c r="O26" s="3">
        <v>32575</v>
      </c>
      <c r="P26" s="3">
        <v>35985</v>
      </c>
      <c r="Q26" s="3">
        <v>35225</v>
      </c>
      <c r="R26" s="3">
        <v>40865</v>
      </c>
      <c r="S26" s="3">
        <v>45310</v>
      </c>
      <c r="T26" s="3">
        <v>50385</v>
      </c>
      <c r="U26" s="3">
        <v>41075</v>
      </c>
      <c r="V26" s="3">
        <v>53840</v>
      </c>
      <c r="W26" s="3">
        <v>62730</v>
      </c>
      <c r="X26" s="3">
        <v>55210</v>
      </c>
      <c r="Y26" s="3">
        <v>59640</v>
      </c>
      <c r="Z26" s="3">
        <v>68470</v>
      </c>
      <c r="AA26" s="3">
        <v>81390</v>
      </c>
      <c r="AB26" s="3">
        <v>87815</v>
      </c>
      <c r="AC26" s="3">
        <v>85810</v>
      </c>
      <c r="AD26" s="3">
        <v>90040</v>
      </c>
      <c r="AE26" s="3">
        <v>87764</v>
      </c>
      <c r="AF26" s="3">
        <v>85432</v>
      </c>
      <c r="AG26" s="3">
        <v>90807</v>
      </c>
      <c r="AH26" s="3">
        <v>98229</v>
      </c>
      <c r="AI26" s="3">
        <v>96000</v>
      </c>
      <c r="AJ26" s="3">
        <v>101590</v>
      </c>
      <c r="AK26" s="3">
        <v>106390</v>
      </c>
      <c r="AL26" s="3">
        <v>99300</v>
      </c>
      <c r="AM26" s="3">
        <v>102215</v>
      </c>
      <c r="AN26" s="3">
        <v>110570</v>
      </c>
      <c r="AO26" s="3">
        <v>123289</v>
      </c>
      <c r="AP26" s="3">
        <v>109726</v>
      </c>
      <c r="AQ26" s="3">
        <v>113880</v>
      </c>
      <c r="AR26" s="3">
        <v>99640</v>
      </c>
      <c r="AS26" s="3">
        <v>93873</v>
      </c>
      <c r="AT26" s="3">
        <v>90290</v>
      </c>
      <c r="AU26" s="3">
        <v>86490</v>
      </c>
      <c r="AV26" s="3">
        <v>91952</v>
      </c>
      <c r="AW26" s="3">
        <v>97445</v>
      </c>
      <c r="AX26" s="3">
        <v>108466</v>
      </c>
      <c r="AY26" s="3">
        <v>109298</v>
      </c>
      <c r="AZ26" s="3">
        <v>112464</v>
      </c>
      <c r="BA26" s="3">
        <v>115120</v>
      </c>
      <c r="BB26" s="44">
        <v>114500</v>
      </c>
      <c r="BC26" s="42">
        <f>117414034/1000</f>
        <v>117414.034</v>
      </c>
      <c r="BD26" s="42">
        <f>120586859/1000</f>
        <v>120586.859</v>
      </c>
    </row>
    <row r="27" spans="1:56" s="5" customFormat="1" x14ac:dyDescent="0.25">
      <c r="A27" s="14"/>
      <c r="B27" s="6"/>
      <c r="C27" s="6" t="s">
        <v>7</v>
      </c>
      <c r="D27" s="8">
        <v>1949</v>
      </c>
      <c r="E27" s="8">
        <v>4893</v>
      </c>
      <c r="F27" s="8">
        <v>4892</v>
      </c>
      <c r="G27" s="8">
        <v>5208</v>
      </c>
      <c r="H27" s="8">
        <v>5032</v>
      </c>
      <c r="I27" s="8">
        <v>6282</v>
      </c>
      <c r="J27" s="8">
        <v>5025</v>
      </c>
      <c r="K27" s="8">
        <v>4156</v>
      </c>
      <c r="L27" s="8">
        <v>3537</v>
      </c>
      <c r="M27" s="8">
        <v>5125</v>
      </c>
      <c r="N27" s="8">
        <v>3661</v>
      </c>
      <c r="O27" s="8">
        <v>2968</v>
      </c>
      <c r="P27" s="8">
        <v>5290</v>
      </c>
      <c r="Q27" s="8">
        <v>5645</v>
      </c>
      <c r="R27" s="8">
        <v>5746</v>
      </c>
      <c r="S27" s="8">
        <v>2200</v>
      </c>
      <c r="T27" s="8">
        <v>3158</v>
      </c>
      <c r="U27" s="8">
        <v>8600</v>
      </c>
      <c r="V27" s="8">
        <v>8047</v>
      </c>
      <c r="W27" s="8">
        <v>8865</v>
      </c>
      <c r="X27" s="8">
        <v>13789</v>
      </c>
      <c r="Y27" s="8">
        <v>13200</v>
      </c>
      <c r="Z27" s="8">
        <v>13000</v>
      </c>
      <c r="AA27" s="8">
        <v>9600</v>
      </c>
      <c r="AB27" s="8">
        <v>7400</v>
      </c>
      <c r="AC27" s="8">
        <v>6600</v>
      </c>
      <c r="AD27" s="8">
        <v>8817</v>
      </c>
      <c r="AE27" s="8">
        <v>15327</v>
      </c>
      <c r="AF27" s="8">
        <v>15384</v>
      </c>
      <c r="AG27" s="8">
        <v>12800</v>
      </c>
      <c r="AH27" s="8">
        <v>9409</v>
      </c>
      <c r="AI27" s="8">
        <v>15863</v>
      </c>
      <c r="AJ27" s="8">
        <v>6728</v>
      </c>
      <c r="AK27" s="8">
        <v>4320</v>
      </c>
      <c r="AL27" s="8">
        <v>10256</v>
      </c>
      <c r="AM27" s="8">
        <v>12531</v>
      </c>
      <c r="AN27" s="8">
        <v>2705</v>
      </c>
      <c r="AO27" s="8">
        <v>1916</v>
      </c>
      <c r="AP27" s="7">
        <v>829</v>
      </c>
      <c r="AQ27" s="8">
        <v>1010</v>
      </c>
      <c r="AR27" s="7">
        <v>195</v>
      </c>
      <c r="AS27" s="8">
        <v>1092</v>
      </c>
      <c r="AT27" s="7">
        <v>418</v>
      </c>
      <c r="AU27" s="8">
        <v>3749</v>
      </c>
      <c r="AV27" s="8">
        <v>6747</v>
      </c>
      <c r="AW27" s="8">
        <v>1018</v>
      </c>
      <c r="AX27" s="7">
        <v>388</v>
      </c>
      <c r="AY27" s="7">
        <v>49</v>
      </c>
      <c r="AZ27" s="7">
        <v>481</v>
      </c>
      <c r="BA27" s="8">
        <v>1394</v>
      </c>
      <c r="BB27" s="47">
        <v>1000</v>
      </c>
      <c r="BC27" s="43">
        <f>2612288/1000</f>
        <v>2612.288</v>
      </c>
      <c r="BD27" s="43"/>
    </row>
    <row r="28" spans="1:56" x14ac:dyDescent="0.25">
      <c r="A28" s="12"/>
      <c r="B28" s="2"/>
      <c r="C28" s="2" t="s">
        <v>8</v>
      </c>
      <c r="D28" s="4">
        <v>2</v>
      </c>
      <c r="E28" s="4">
        <v>122</v>
      </c>
      <c r="F28" s="4">
        <v>89</v>
      </c>
      <c r="G28" s="4">
        <v>113</v>
      </c>
      <c r="H28" s="4">
        <v>115</v>
      </c>
      <c r="I28" s="4">
        <v>4</v>
      </c>
      <c r="J28" s="4">
        <v>30</v>
      </c>
      <c r="K28" s="4">
        <v>13</v>
      </c>
      <c r="L28" s="4">
        <v>1</v>
      </c>
      <c r="M28" s="4">
        <v>1</v>
      </c>
      <c r="N28" s="4">
        <v>3</v>
      </c>
      <c r="O28" s="4">
        <v>5</v>
      </c>
      <c r="P28" s="4">
        <v>5</v>
      </c>
      <c r="Q28" s="4">
        <v>5</v>
      </c>
      <c r="R28" s="4">
        <v>5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7</v>
      </c>
      <c r="AE28" s="4">
        <v>7</v>
      </c>
      <c r="AF28" s="4">
        <v>8</v>
      </c>
      <c r="AG28" s="4">
        <v>8</v>
      </c>
      <c r="AH28" s="4">
        <v>8</v>
      </c>
      <c r="AI28" s="4">
        <v>10</v>
      </c>
      <c r="AJ28" s="4">
        <v>184</v>
      </c>
      <c r="AK28" s="4">
        <v>631</v>
      </c>
      <c r="AL28" s="4">
        <v>411</v>
      </c>
      <c r="AM28" s="4">
        <v>496</v>
      </c>
      <c r="AN28" s="4">
        <v>969</v>
      </c>
      <c r="AO28" s="3">
        <v>1162</v>
      </c>
      <c r="AP28" s="4">
        <v>542</v>
      </c>
      <c r="AQ28" s="4">
        <v>542</v>
      </c>
      <c r="AR28" s="4">
        <v>623</v>
      </c>
      <c r="AS28" s="3">
        <v>1512</v>
      </c>
      <c r="AT28" s="3">
        <v>1718</v>
      </c>
      <c r="AU28" s="3">
        <v>2824</v>
      </c>
      <c r="AV28" s="3">
        <v>1171</v>
      </c>
      <c r="AW28" s="3">
        <v>1397</v>
      </c>
      <c r="AX28" s="3">
        <v>2783</v>
      </c>
      <c r="AY28" s="3">
        <v>2835</v>
      </c>
      <c r="AZ28" s="4">
        <v>723</v>
      </c>
      <c r="BA28" s="4">
        <v>892</v>
      </c>
      <c r="BB28" s="44">
        <v>1000</v>
      </c>
      <c r="BC28" s="42">
        <f>39808/1000</f>
        <v>39.808</v>
      </c>
      <c r="BD28" s="42"/>
    </row>
    <row r="29" spans="1:56" s="5" customFormat="1" x14ac:dyDescent="0.25">
      <c r="A29" s="14"/>
      <c r="B29" s="6"/>
      <c r="C29" s="6" t="s">
        <v>9</v>
      </c>
      <c r="D29" s="8">
        <v>23907</v>
      </c>
      <c r="E29" s="8">
        <v>20521</v>
      </c>
      <c r="F29" s="8">
        <v>19268</v>
      </c>
      <c r="G29" s="8">
        <v>23070</v>
      </c>
      <c r="H29" s="8">
        <v>26257</v>
      </c>
      <c r="I29" s="8">
        <v>30998</v>
      </c>
      <c r="J29" s="8">
        <v>30275</v>
      </c>
      <c r="K29" s="8">
        <v>29628</v>
      </c>
      <c r="L29" s="8">
        <v>30991</v>
      </c>
      <c r="M29" s="8">
        <v>32909</v>
      </c>
      <c r="N29" s="8">
        <v>32343</v>
      </c>
      <c r="O29" s="8">
        <v>33538</v>
      </c>
      <c r="P29" s="8">
        <v>37270</v>
      </c>
      <c r="Q29" s="8">
        <v>41365</v>
      </c>
      <c r="R29" s="8">
        <v>41606</v>
      </c>
      <c r="S29" s="8">
        <v>43510</v>
      </c>
      <c r="T29" s="8">
        <v>48543</v>
      </c>
      <c r="U29" s="8">
        <v>51675</v>
      </c>
      <c r="V29" s="8">
        <v>52887</v>
      </c>
      <c r="W29" s="8">
        <v>66595</v>
      </c>
      <c r="X29" s="8">
        <v>75999</v>
      </c>
      <c r="Y29" s="8">
        <v>78840</v>
      </c>
      <c r="Z29" s="8">
        <v>79470</v>
      </c>
      <c r="AA29" s="8">
        <v>82990</v>
      </c>
      <c r="AB29" s="8">
        <v>89105</v>
      </c>
      <c r="AC29" s="8">
        <v>95155</v>
      </c>
      <c r="AD29" s="8">
        <v>97265</v>
      </c>
      <c r="AE29" s="8">
        <v>99040</v>
      </c>
      <c r="AF29" s="8">
        <v>101826</v>
      </c>
      <c r="AG29" s="8">
        <v>102367</v>
      </c>
      <c r="AH29" s="8">
        <v>102598</v>
      </c>
      <c r="AI29" s="8">
        <v>105429</v>
      </c>
      <c r="AJ29" s="8">
        <v>104281</v>
      </c>
      <c r="AK29" s="8">
        <v>105343</v>
      </c>
      <c r="AL29" s="8">
        <v>105355</v>
      </c>
      <c r="AM29" s="8">
        <v>106499</v>
      </c>
      <c r="AN29" s="8">
        <v>107615</v>
      </c>
      <c r="AO29" s="8">
        <v>109056</v>
      </c>
      <c r="AP29" s="8">
        <v>108250</v>
      </c>
      <c r="AQ29" s="8">
        <v>109340</v>
      </c>
      <c r="AR29" s="8">
        <v>110278</v>
      </c>
      <c r="AS29" s="8">
        <v>108742</v>
      </c>
      <c r="AT29" s="8">
        <v>105200</v>
      </c>
      <c r="AU29" s="8">
        <v>104500</v>
      </c>
      <c r="AV29" s="8">
        <v>102000</v>
      </c>
      <c r="AW29" s="8">
        <v>101500</v>
      </c>
      <c r="AX29" s="8">
        <v>102000</v>
      </c>
      <c r="AY29" s="8">
        <v>106000</v>
      </c>
      <c r="AZ29" s="8">
        <v>105500</v>
      </c>
      <c r="BA29" s="8">
        <v>107000</v>
      </c>
      <c r="BB29" s="47">
        <v>109500</v>
      </c>
      <c r="BC29" s="43">
        <f>BC26+BC27-BC28</f>
        <v>119986.514</v>
      </c>
      <c r="BD29" s="43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8"/>
  <sheetViews>
    <sheetView zoomScaleNormal="100" workbookViewId="0">
      <pane xSplit="6" ySplit="15" topLeftCell="AV25" activePane="bottomRight" state="frozen"/>
      <selection pane="topRight" activeCell="G1" sqref="G1"/>
      <selection pane="bottomLeft" activeCell="A16" sqref="A16"/>
      <selection pane="bottomRight" activeCell="BB5" sqref="BB5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x14ac:dyDescent="0.25">
      <c r="A2" s="12" t="s">
        <v>20</v>
      </c>
      <c r="B2" s="2" t="s">
        <v>5</v>
      </c>
      <c r="C2" s="2" t="s">
        <v>6</v>
      </c>
      <c r="D2" s="3">
        <v>1691</v>
      </c>
      <c r="E2" s="3">
        <v>1617</v>
      </c>
      <c r="F2" s="3">
        <v>2004</v>
      </c>
      <c r="G2" s="3">
        <v>1867</v>
      </c>
      <c r="H2" s="3">
        <v>1934</v>
      </c>
      <c r="I2" s="3">
        <v>2141</v>
      </c>
      <c r="J2" s="3">
        <v>2376</v>
      </c>
      <c r="K2" s="3">
        <v>2167</v>
      </c>
      <c r="L2" s="3">
        <v>2300</v>
      </c>
      <c r="M2" s="3">
        <v>2368</v>
      </c>
      <c r="N2" s="3">
        <v>2397</v>
      </c>
      <c r="O2" s="3">
        <v>2342</v>
      </c>
      <c r="P2" s="3">
        <v>2417</v>
      </c>
      <c r="Q2" s="3">
        <v>2500</v>
      </c>
      <c r="R2" s="3">
        <v>2641</v>
      </c>
      <c r="S2" s="3">
        <v>2781</v>
      </c>
      <c r="T2" s="3">
        <v>2710</v>
      </c>
      <c r="U2" s="3">
        <v>2724</v>
      </c>
      <c r="V2" s="3">
        <v>3117</v>
      </c>
      <c r="W2" s="3">
        <v>2938</v>
      </c>
      <c r="X2" s="3">
        <v>3231</v>
      </c>
      <c r="Y2" s="3">
        <v>3232</v>
      </c>
      <c r="Z2" s="3">
        <v>3347</v>
      </c>
      <c r="AA2" s="3">
        <v>3509</v>
      </c>
      <c r="AB2" s="3">
        <v>3698</v>
      </c>
      <c r="AC2" s="3">
        <v>3699</v>
      </c>
      <c r="AD2" s="3">
        <v>3900</v>
      </c>
      <c r="AE2" s="3">
        <v>4087</v>
      </c>
      <c r="AF2" s="3">
        <v>4287</v>
      </c>
      <c r="AG2" s="3">
        <v>4524</v>
      </c>
      <c r="AH2" s="3">
        <v>4598</v>
      </c>
      <c r="AI2" s="3">
        <v>4431</v>
      </c>
      <c r="AJ2" s="3">
        <v>4500</v>
      </c>
      <c r="AK2" s="3">
        <v>4980</v>
      </c>
      <c r="AL2" s="3">
        <v>5650</v>
      </c>
      <c r="AM2" s="3">
        <v>5353</v>
      </c>
      <c r="AN2" s="3">
        <v>5825</v>
      </c>
      <c r="AO2" s="3">
        <v>6010</v>
      </c>
      <c r="AP2" s="3">
        <v>5605</v>
      </c>
      <c r="AQ2" s="3">
        <v>5678</v>
      </c>
      <c r="AR2" s="3">
        <v>5636</v>
      </c>
      <c r="AS2" s="3">
        <v>6160</v>
      </c>
      <c r="AT2" s="3">
        <v>6000</v>
      </c>
      <c r="AU2" s="3">
        <v>5740</v>
      </c>
      <c r="AV2" s="3">
        <v>5840</v>
      </c>
      <c r="AW2" s="3">
        <v>5932</v>
      </c>
      <c r="AX2" s="3">
        <v>6149</v>
      </c>
      <c r="AY2" s="3">
        <v>6174</v>
      </c>
      <c r="AZ2" s="3">
        <v>6645</v>
      </c>
      <c r="BA2" s="3">
        <v>6280</v>
      </c>
      <c r="BB2" s="44">
        <f>6876473/1000</f>
        <v>6876.473</v>
      </c>
      <c r="BC2" s="42">
        <f>8093646/1000</f>
        <v>8093.6459999999997</v>
      </c>
      <c r="BD2" s="42">
        <f>5800000/1000</f>
        <v>5800</v>
      </c>
    </row>
    <row r="3" spans="1:56" s="5" customFormat="1" x14ac:dyDescent="0.25">
      <c r="A3" s="14"/>
      <c r="B3" s="6"/>
      <c r="C3" s="6" t="s">
        <v>7</v>
      </c>
      <c r="D3" s="7">
        <v>55</v>
      </c>
      <c r="E3" s="7">
        <v>416</v>
      </c>
      <c r="F3" s="7">
        <v>183</v>
      </c>
      <c r="G3" s="7">
        <v>436</v>
      </c>
      <c r="H3" s="7">
        <v>220</v>
      </c>
      <c r="I3" s="7">
        <v>237</v>
      </c>
      <c r="J3" s="7">
        <v>112</v>
      </c>
      <c r="K3" s="7">
        <v>269</v>
      </c>
      <c r="L3" s="7">
        <v>15</v>
      </c>
      <c r="M3" s="7">
        <v>64</v>
      </c>
      <c r="N3" s="7">
        <v>76</v>
      </c>
      <c r="O3" s="7">
        <v>48</v>
      </c>
      <c r="P3" s="7">
        <v>130</v>
      </c>
      <c r="Q3" s="7">
        <v>450</v>
      </c>
      <c r="R3" s="7">
        <v>465</v>
      </c>
      <c r="S3" s="7">
        <v>511</v>
      </c>
      <c r="T3" s="7">
        <v>644</v>
      </c>
      <c r="U3" s="7">
        <v>533</v>
      </c>
      <c r="V3" s="7">
        <v>806</v>
      </c>
      <c r="W3" s="7">
        <v>465</v>
      </c>
      <c r="X3" s="7">
        <v>984</v>
      </c>
      <c r="Y3" s="8">
        <v>1344</v>
      </c>
      <c r="Z3" s="8">
        <v>1215</v>
      </c>
      <c r="AA3" s="8">
        <v>1563</v>
      </c>
      <c r="AB3" s="8">
        <v>1722</v>
      </c>
      <c r="AC3" s="8">
        <v>1881</v>
      </c>
      <c r="AD3" s="8">
        <v>2035</v>
      </c>
      <c r="AE3" s="8">
        <v>1399</v>
      </c>
      <c r="AF3" s="8">
        <v>1255</v>
      </c>
      <c r="AG3" s="8">
        <v>1254</v>
      </c>
      <c r="AH3" s="8">
        <v>1943</v>
      </c>
      <c r="AI3" s="8">
        <v>1442</v>
      </c>
      <c r="AJ3" s="8">
        <v>1797</v>
      </c>
      <c r="AK3" s="8">
        <v>2095</v>
      </c>
      <c r="AL3" s="8">
        <v>2648</v>
      </c>
      <c r="AM3" s="8">
        <v>2257</v>
      </c>
      <c r="AN3" s="8">
        <v>3201</v>
      </c>
      <c r="AO3" s="8">
        <v>3245</v>
      </c>
      <c r="AP3" s="8">
        <v>3687</v>
      </c>
      <c r="AQ3" s="8">
        <v>4600</v>
      </c>
      <c r="AR3" s="8">
        <v>5268</v>
      </c>
      <c r="AS3" s="8">
        <v>4905</v>
      </c>
      <c r="AT3" s="8">
        <v>4848</v>
      </c>
      <c r="AU3" s="8">
        <v>3743</v>
      </c>
      <c r="AV3" s="8">
        <v>5398</v>
      </c>
      <c r="AW3" s="8">
        <v>4397</v>
      </c>
      <c r="AX3" s="8">
        <v>4826</v>
      </c>
      <c r="AY3" s="8">
        <v>4151</v>
      </c>
      <c r="AZ3" s="8">
        <v>5031</v>
      </c>
      <c r="BA3" s="8">
        <v>5832</v>
      </c>
      <c r="BB3" s="47">
        <f>7047864/1000</f>
        <v>7047.8639999999996</v>
      </c>
      <c r="BC3" s="43"/>
      <c r="BD3" s="43"/>
    </row>
    <row r="4" spans="1:56" x14ac:dyDescent="0.25">
      <c r="A4" s="12"/>
      <c r="B4" s="2"/>
      <c r="C4" s="2" t="s">
        <v>8</v>
      </c>
      <c r="D4" s="4">
        <v>1</v>
      </c>
      <c r="E4" s="4">
        <v>1</v>
      </c>
      <c r="F4" s="4">
        <v>2</v>
      </c>
      <c r="G4" s="4">
        <v>2</v>
      </c>
      <c r="H4" s="4">
        <v>0</v>
      </c>
      <c r="I4" s="4">
        <v>0</v>
      </c>
      <c r="J4" s="4">
        <v>2</v>
      </c>
      <c r="K4" s="4">
        <v>1</v>
      </c>
      <c r="L4" s="4">
        <v>0</v>
      </c>
      <c r="M4" s="4">
        <v>0</v>
      </c>
      <c r="N4" s="4">
        <v>0</v>
      </c>
      <c r="O4" s="4">
        <v>0</v>
      </c>
      <c r="P4" s="4">
        <v>0</v>
      </c>
      <c r="Q4" s="4">
        <v>0</v>
      </c>
      <c r="R4" s="4">
        <v>0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  <c r="AF4" s="4">
        <v>0</v>
      </c>
      <c r="AG4" s="4">
        <v>0</v>
      </c>
      <c r="AH4" s="4">
        <v>0</v>
      </c>
      <c r="AI4" s="4">
        <v>0</v>
      </c>
      <c r="AJ4" s="4">
        <v>0</v>
      </c>
      <c r="AK4" s="4">
        <v>0</v>
      </c>
      <c r="AL4" s="4">
        <v>0</v>
      </c>
      <c r="AM4" s="4">
        <v>0</v>
      </c>
      <c r="AN4" s="4">
        <v>0</v>
      </c>
      <c r="AO4" s="4">
        <v>0</v>
      </c>
      <c r="AP4" s="4">
        <v>0</v>
      </c>
      <c r="AQ4" s="4">
        <v>0</v>
      </c>
      <c r="AR4" s="4">
        <v>0</v>
      </c>
      <c r="AS4" s="4">
        <v>0</v>
      </c>
      <c r="AT4" s="4">
        <v>0</v>
      </c>
      <c r="AU4" s="4">
        <v>0</v>
      </c>
      <c r="AV4" s="4">
        <v>0</v>
      </c>
      <c r="AW4" s="4">
        <v>4</v>
      </c>
      <c r="AX4" s="4">
        <v>4</v>
      </c>
      <c r="AY4" s="4">
        <v>11</v>
      </c>
      <c r="AZ4" s="4">
        <v>7</v>
      </c>
      <c r="BA4" s="4">
        <v>17</v>
      </c>
      <c r="BB4" s="44">
        <f>2255/1000</f>
        <v>2.2549999999999999</v>
      </c>
      <c r="BC4" s="42"/>
      <c r="BD4" s="42"/>
    </row>
    <row r="5" spans="1:56" s="5" customFormat="1" x14ac:dyDescent="0.25">
      <c r="A5" s="14"/>
      <c r="B5" s="6"/>
      <c r="C5" s="6" t="s">
        <v>9</v>
      </c>
      <c r="D5" s="8">
        <v>1745</v>
      </c>
      <c r="E5" s="8">
        <v>2032</v>
      </c>
      <c r="F5" s="8">
        <v>2185</v>
      </c>
      <c r="G5" s="8">
        <v>2301</v>
      </c>
      <c r="H5" s="8">
        <v>2154</v>
      </c>
      <c r="I5" s="8">
        <v>2378</v>
      </c>
      <c r="J5" s="8">
        <v>2486</v>
      </c>
      <c r="K5" s="8">
        <v>2435</v>
      </c>
      <c r="L5" s="8">
        <v>2315</v>
      </c>
      <c r="M5" s="8">
        <v>2432</v>
      </c>
      <c r="N5" s="8">
        <v>2473</v>
      </c>
      <c r="O5" s="8">
        <v>2390</v>
      </c>
      <c r="P5" s="8">
        <v>2547</v>
      </c>
      <c r="Q5" s="8">
        <v>1450</v>
      </c>
      <c r="R5" s="8">
        <v>2929</v>
      </c>
      <c r="S5" s="8">
        <v>3248</v>
      </c>
      <c r="T5" s="8">
        <v>3480</v>
      </c>
      <c r="U5" s="8">
        <v>3335</v>
      </c>
      <c r="V5" s="8">
        <v>3659</v>
      </c>
      <c r="W5" s="8">
        <v>3732</v>
      </c>
      <c r="X5" s="8">
        <v>4100</v>
      </c>
      <c r="Y5" s="8">
        <v>4400</v>
      </c>
      <c r="Z5" s="8">
        <v>5100</v>
      </c>
      <c r="AA5" s="8">
        <v>5400</v>
      </c>
      <c r="AB5" s="8">
        <v>6247</v>
      </c>
      <c r="AC5" s="8">
        <v>5580</v>
      </c>
      <c r="AD5" s="8">
        <v>5985</v>
      </c>
      <c r="AE5" s="8">
        <v>5486</v>
      </c>
      <c r="AF5" s="8">
        <v>5542</v>
      </c>
      <c r="AG5" s="8">
        <v>5778</v>
      </c>
      <c r="AH5" s="8">
        <v>6541</v>
      </c>
      <c r="AI5" s="8">
        <v>5873</v>
      </c>
      <c r="AJ5" s="8">
        <v>6297</v>
      </c>
      <c r="AK5" s="8">
        <v>6875</v>
      </c>
      <c r="AL5" s="8">
        <v>7998</v>
      </c>
      <c r="AM5" s="8">
        <v>7810</v>
      </c>
      <c r="AN5" s="8">
        <v>9026</v>
      </c>
      <c r="AO5" s="8">
        <v>9255</v>
      </c>
      <c r="AP5" s="8">
        <v>9292</v>
      </c>
      <c r="AQ5" s="8">
        <v>10200</v>
      </c>
      <c r="AR5" s="8">
        <v>10900</v>
      </c>
      <c r="AS5" s="8">
        <v>11200</v>
      </c>
      <c r="AT5" s="8">
        <v>10900</v>
      </c>
      <c r="AU5" s="8">
        <v>9200</v>
      </c>
      <c r="AV5" s="8">
        <v>11300</v>
      </c>
      <c r="AW5" s="8">
        <v>10100</v>
      </c>
      <c r="AX5" s="8">
        <v>10700</v>
      </c>
      <c r="AY5" s="8">
        <v>10400</v>
      </c>
      <c r="AZ5" s="8">
        <v>11100</v>
      </c>
      <c r="BA5" s="8">
        <v>12000</v>
      </c>
      <c r="BB5" s="47">
        <f>BB2+BB3-BB4</f>
        <v>13922.082</v>
      </c>
      <c r="BC5" s="43"/>
      <c r="BD5" s="43"/>
    </row>
    <row r="6" spans="1:56" x14ac:dyDescent="0.25">
      <c r="A6" s="12"/>
      <c r="B6" s="2" t="s">
        <v>10</v>
      </c>
      <c r="C6" s="2" t="s">
        <v>6</v>
      </c>
      <c r="D6" s="3">
        <v>2196</v>
      </c>
      <c r="E6" s="3">
        <v>1542</v>
      </c>
      <c r="F6" s="3">
        <v>2100</v>
      </c>
      <c r="G6" s="3">
        <v>2029</v>
      </c>
      <c r="H6" s="3">
        <v>2315</v>
      </c>
      <c r="I6" s="3">
        <v>2392</v>
      </c>
      <c r="J6" s="3">
        <v>2089</v>
      </c>
      <c r="K6" s="3">
        <v>2006</v>
      </c>
      <c r="L6" s="3">
        <v>2005</v>
      </c>
      <c r="M6" s="3">
        <v>2487</v>
      </c>
      <c r="N6" s="3">
        <v>2336</v>
      </c>
      <c r="O6" s="3">
        <v>2341</v>
      </c>
      <c r="P6" s="3">
        <v>2359</v>
      </c>
      <c r="Q6" s="3">
        <v>2249</v>
      </c>
      <c r="R6" s="3">
        <v>2010</v>
      </c>
      <c r="S6" s="3">
        <v>1755</v>
      </c>
      <c r="T6" s="3">
        <v>1820</v>
      </c>
      <c r="U6" s="3">
        <v>1831</v>
      </c>
      <c r="V6" s="3">
        <v>2013</v>
      </c>
      <c r="W6" s="3">
        <v>2221</v>
      </c>
      <c r="X6" s="3">
        <v>2428</v>
      </c>
      <c r="Y6" s="3">
        <v>2292</v>
      </c>
      <c r="Z6" s="3">
        <v>2117</v>
      </c>
      <c r="AA6" s="3">
        <v>1934</v>
      </c>
      <c r="AB6" s="3">
        <v>1840</v>
      </c>
      <c r="AC6" s="3">
        <v>1999</v>
      </c>
      <c r="AD6" s="3">
        <v>1850</v>
      </c>
      <c r="AE6" s="3">
        <v>1614</v>
      </c>
      <c r="AF6" s="3">
        <v>1405</v>
      </c>
      <c r="AG6" s="3">
        <v>1324</v>
      </c>
      <c r="AH6" s="3">
        <v>1378</v>
      </c>
      <c r="AI6" s="3">
        <v>1338</v>
      </c>
      <c r="AJ6" s="3">
        <v>1620</v>
      </c>
      <c r="AK6" s="3">
        <v>1909</v>
      </c>
      <c r="AL6" s="3">
        <v>1170</v>
      </c>
      <c r="AM6" s="3">
        <v>1088</v>
      </c>
      <c r="AN6" s="3">
        <v>1568</v>
      </c>
      <c r="AO6" s="3">
        <v>1532</v>
      </c>
      <c r="AP6" s="3">
        <v>1055</v>
      </c>
      <c r="AQ6" s="3">
        <v>1068</v>
      </c>
      <c r="AR6" s="4">
        <v>965</v>
      </c>
      <c r="AS6" s="3">
        <v>1454</v>
      </c>
      <c r="AT6" s="3">
        <v>1331</v>
      </c>
      <c r="AU6" s="4">
        <v>920</v>
      </c>
      <c r="AV6" s="3">
        <v>1356</v>
      </c>
      <c r="AW6" s="4">
        <v>938</v>
      </c>
      <c r="AX6" s="4">
        <v>975</v>
      </c>
      <c r="AY6" s="4">
        <v>970</v>
      </c>
      <c r="AZ6" s="4">
        <v>483</v>
      </c>
      <c r="BA6" s="4">
        <v>432</v>
      </c>
      <c r="BB6" s="44">
        <v>600</v>
      </c>
      <c r="BC6" s="42">
        <f>181000/1000</f>
        <v>181</v>
      </c>
      <c r="BD6" s="42">
        <f>109000/1000</f>
        <v>109</v>
      </c>
    </row>
    <row r="7" spans="1:56" s="5" customFormat="1" x14ac:dyDescent="0.25">
      <c r="A7" s="14"/>
      <c r="B7" s="6"/>
      <c r="C7" s="6" t="s">
        <v>7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18</v>
      </c>
      <c r="T7" s="7">
        <v>110</v>
      </c>
      <c r="U7" s="7">
        <v>72</v>
      </c>
      <c r="V7" s="7">
        <v>134</v>
      </c>
      <c r="W7" s="7">
        <v>0</v>
      </c>
      <c r="X7" s="7">
        <v>0</v>
      </c>
      <c r="Y7" s="7">
        <v>0</v>
      </c>
      <c r="Z7" s="7">
        <v>0</v>
      </c>
      <c r="AA7" s="7">
        <v>0</v>
      </c>
      <c r="AB7" s="7">
        <v>158</v>
      </c>
      <c r="AC7" s="7">
        <v>170</v>
      </c>
      <c r="AD7" s="7">
        <v>176</v>
      </c>
      <c r="AE7" s="7">
        <v>184</v>
      </c>
      <c r="AF7" s="7">
        <v>117</v>
      </c>
      <c r="AG7" s="7">
        <v>242</v>
      </c>
      <c r="AH7" s="7">
        <v>244</v>
      </c>
      <c r="AI7" s="7">
        <v>340</v>
      </c>
      <c r="AJ7" s="7">
        <v>170</v>
      </c>
      <c r="AK7" s="7">
        <v>60</v>
      </c>
      <c r="AL7" s="7">
        <v>207</v>
      </c>
      <c r="AM7" s="7">
        <v>92</v>
      </c>
      <c r="AN7" s="7">
        <v>21</v>
      </c>
      <c r="AO7" s="7">
        <v>18</v>
      </c>
      <c r="AP7" s="7">
        <v>10</v>
      </c>
      <c r="AQ7" s="7">
        <v>130</v>
      </c>
      <c r="AR7" s="7">
        <v>130</v>
      </c>
      <c r="AS7" s="7">
        <v>130</v>
      </c>
      <c r="AT7" s="7">
        <v>150</v>
      </c>
      <c r="AU7" s="7">
        <v>375</v>
      </c>
      <c r="AV7" s="7">
        <v>400</v>
      </c>
      <c r="AW7" s="7">
        <v>525</v>
      </c>
      <c r="AX7" s="7">
        <v>500</v>
      </c>
      <c r="AY7" s="7">
        <v>390</v>
      </c>
      <c r="AZ7" s="7">
        <v>425</v>
      </c>
      <c r="BA7" s="7">
        <v>550</v>
      </c>
      <c r="BB7" s="47">
        <v>450</v>
      </c>
      <c r="BC7" s="43">
        <f>43649/1000</f>
        <v>43.649000000000001</v>
      </c>
      <c r="BD7" s="43"/>
    </row>
    <row r="8" spans="1:56" x14ac:dyDescent="0.25">
      <c r="A8" s="12"/>
      <c r="B8" s="2"/>
      <c r="C8" s="2" t="s">
        <v>8</v>
      </c>
      <c r="D8" s="3">
        <v>1582</v>
      </c>
      <c r="E8" s="3">
        <v>1121</v>
      </c>
      <c r="F8" s="3">
        <v>1361</v>
      </c>
      <c r="G8" s="3">
        <v>1372</v>
      </c>
      <c r="H8" s="3">
        <v>1558</v>
      </c>
      <c r="I8" s="3">
        <v>1575</v>
      </c>
      <c r="J8" s="3">
        <v>1428</v>
      </c>
      <c r="K8" s="3">
        <v>1171</v>
      </c>
      <c r="L8" s="3">
        <v>1087</v>
      </c>
      <c r="M8" s="3">
        <v>1463</v>
      </c>
      <c r="N8" s="3">
        <v>1397</v>
      </c>
      <c r="O8" s="3">
        <v>1366</v>
      </c>
      <c r="P8" s="3">
        <v>1387</v>
      </c>
      <c r="Q8" s="3">
        <v>1199</v>
      </c>
      <c r="R8" s="4">
        <v>878</v>
      </c>
      <c r="S8" s="4">
        <v>775</v>
      </c>
      <c r="T8" s="4">
        <v>606</v>
      </c>
      <c r="U8" s="4">
        <v>686</v>
      </c>
      <c r="V8" s="4">
        <v>690</v>
      </c>
      <c r="W8" s="4">
        <v>876</v>
      </c>
      <c r="X8" s="4">
        <v>749</v>
      </c>
      <c r="Y8" s="4">
        <v>898</v>
      </c>
      <c r="Z8" s="4">
        <v>920</v>
      </c>
      <c r="AA8" s="4">
        <v>780</v>
      </c>
      <c r="AB8" s="4">
        <v>560</v>
      </c>
      <c r="AC8" s="4">
        <v>837</v>
      </c>
      <c r="AD8" s="4">
        <v>586</v>
      </c>
      <c r="AE8" s="4">
        <v>436</v>
      </c>
      <c r="AF8" s="4">
        <v>294</v>
      </c>
      <c r="AG8" s="4">
        <v>211</v>
      </c>
      <c r="AH8" s="4">
        <v>90</v>
      </c>
      <c r="AI8" s="4">
        <v>90</v>
      </c>
      <c r="AJ8" s="4">
        <v>85</v>
      </c>
      <c r="AK8" s="4">
        <v>525</v>
      </c>
      <c r="AL8" s="4">
        <v>307</v>
      </c>
      <c r="AM8" s="4">
        <v>87</v>
      </c>
      <c r="AN8" s="4">
        <v>211</v>
      </c>
      <c r="AO8" s="4">
        <v>322</v>
      </c>
      <c r="AP8" s="4">
        <v>450</v>
      </c>
      <c r="AQ8" s="4">
        <v>455</v>
      </c>
      <c r="AR8" s="4">
        <v>300</v>
      </c>
      <c r="AS8" s="4">
        <v>490</v>
      </c>
      <c r="AT8" s="4">
        <v>825</v>
      </c>
      <c r="AU8" s="4">
        <v>325</v>
      </c>
      <c r="AV8" s="4">
        <v>660</v>
      </c>
      <c r="AW8" s="4">
        <v>435</v>
      </c>
      <c r="AX8" s="4">
        <v>370</v>
      </c>
      <c r="AY8" s="4">
        <v>619</v>
      </c>
      <c r="AZ8" s="4">
        <v>100</v>
      </c>
      <c r="BA8" s="4">
        <v>350</v>
      </c>
      <c r="BB8" s="44">
        <v>275</v>
      </c>
      <c r="BC8" s="42">
        <f>61217/1000</f>
        <v>61.216999999999999</v>
      </c>
      <c r="BD8" s="42"/>
    </row>
    <row r="9" spans="1:56" s="5" customFormat="1" x14ac:dyDescent="0.25">
      <c r="A9" s="14"/>
      <c r="B9" s="6"/>
      <c r="C9" s="6" t="s">
        <v>9</v>
      </c>
      <c r="D9" s="7">
        <v>574</v>
      </c>
      <c r="E9" s="7">
        <v>645</v>
      </c>
      <c r="F9" s="7">
        <v>639</v>
      </c>
      <c r="G9" s="7">
        <v>647</v>
      </c>
      <c r="H9" s="7">
        <v>717</v>
      </c>
      <c r="I9" s="7">
        <v>788</v>
      </c>
      <c r="J9" s="7">
        <v>835</v>
      </c>
      <c r="K9" s="7">
        <v>850</v>
      </c>
      <c r="L9" s="7">
        <v>848</v>
      </c>
      <c r="M9" s="7">
        <v>885</v>
      </c>
      <c r="N9" s="7">
        <v>969</v>
      </c>
      <c r="O9" s="7">
        <v>985</v>
      </c>
      <c r="P9" s="7">
        <v>997</v>
      </c>
      <c r="Q9" s="8">
        <v>1035</v>
      </c>
      <c r="R9" s="8">
        <v>1022</v>
      </c>
      <c r="S9" s="8">
        <v>1090</v>
      </c>
      <c r="T9" s="8">
        <v>1170</v>
      </c>
      <c r="U9" s="8">
        <v>1305</v>
      </c>
      <c r="V9" s="8">
        <v>1350</v>
      </c>
      <c r="W9" s="8">
        <v>1300</v>
      </c>
      <c r="X9" s="8">
        <v>1662</v>
      </c>
      <c r="Y9" s="8">
        <v>1395</v>
      </c>
      <c r="Z9" s="8">
        <v>1245</v>
      </c>
      <c r="AA9" s="8">
        <v>1255</v>
      </c>
      <c r="AB9" s="8">
        <v>1553</v>
      </c>
      <c r="AC9" s="8">
        <v>1440</v>
      </c>
      <c r="AD9" s="8">
        <v>1427</v>
      </c>
      <c r="AE9" s="8">
        <v>1403</v>
      </c>
      <c r="AF9" s="8">
        <v>1317</v>
      </c>
      <c r="AG9" s="8">
        <v>1427</v>
      </c>
      <c r="AH9" s="8">
        <v>1532</v>
      </c>
      <c r="AI9" s="8">
        <v>1486</v>
      </c>
      <c r="AJ9" s="8">
        <v>1664</v>
      </c>
      <c r="AK9" s="8">
        <v>1366</v>
      </c>
      <c r="AL9" s="8">
        <v>1165</v>
      </c>
      <c r="AM9" s="8">
        <v>1033</v>
      </c>
      <c r="AN9" s="7">
        <v>942</v>
      </c>
      <c r="AO9" s="8">
        <v>1056</v>
      </c>
      <c r="AP9" s="7">
        <v>973</v>
      </c>
      <c r="AQ9" s="7">
        <v>823</v>
      </c>
      <c r="AR9" s="7">
        <v>773</v>
      </c>
      <c r="AS9" s="7">
        <v>798</v>
      </c>
      <c r="AT9" s="7">
        <v>913</v>
      </c>
      <c r="AU9" s="7">
        <v>913</v>
      </c>
      <c r="AV9" s="7">
        <v>963</v>
      </c>
      <c r="AW9" s="8">
        <v>1013</v>
      </c>
      <c r="AX9" s="8">
        <v>1013</v>
      </c>
      <c r="AY9" s="7">
        <v>963</v>
      </c>
      <c r="AZ9" s="7">
        <v>938</v>
      </c>
      <c r="BA9" s="7">
        <v>863</v>
      </c>
      <c r="BB9" s="47">
        <v>813</v>
      </c>
      <c r="BC9" s="43">
        <f>BC6+BC7-BC8</f>
        <v>163.43200000000002</v>
      </c>
      <c r="BD9" s="43"/>
    </row>
    <row r="10" spans="1:56" x14ac:dyDescent="0.25">
      <c r="A10" s="12"/>
      <c r="B10" s="2" t="s">
        <v>11</v>
      </c>
      <c r="C10" s="2" t="s">
        <v>6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1</v>
      </c>
      <c r="M10" s="4">
        <v>1</v>
      </c>
      <c r="N10" s="4">
        <v>1</v>
      </c>
      <c r="O10" s="4">
        <v>1</v>
      </c>
      <c r="P10" s="4">
        <v>1</v>
      </c>
      <c r="Q10" s="4">
        <v>2</v>
      </c>
      <c r="R10" s="4">
        <v>2</v>
      </c>
      <c r="S10" s="4">
        <v>5</v>
      </c>
      <c r="T10" s="4">
        <v>11</v>
      </c>
      <c r="U10" s="4">
        <v>27</v>
      </c>
      <c r="V10" s="4">
        <v>79</v>
      </c>
      <c r="W10" s="4">
        <v>106</v>
      </c>
      <c r="X10" s="4">
        <v>92</v>
      </c>
      <c r="Y10" s="4">
        <v>130</v>
      </c>
      <c r="Z10" s="4">
        <v>166</v>
      </c>
      <c r="AA10" s="4">
        <v>162</v>
      </c>
      <c r="AB10" s="4">
        <v>143</v>
      </c>
      <c r="AC10" s="4">
        <v>133</v>
      </c>
      <c r="AD10" s="4">
        <v>140</v>
      </c>
      <c r="AE10" s="4">
        <v>140</v>
      </c>
      <c r="AF10" s="4">
        <v>130</v>
      </c>
      <c r="AG10" s="4">
        <v>91</v>
      </c>
      <c r="AH10" s="4">
        <v>106</v>
      </c>
      <c r="AI10" s="4">
        <v>120</v>
      </c>
      <c r="AJ10" s="4">
        <v>59</v>
      </c>
      <c r="AK10" s="4">
        <v>50</v>
      </c>
      <c r="AL10" s="4">
        <v>67</v>
      </c>
      <c r="AM10" s="4">
        <v>64</v>
      </c>
      <c r="AN10" s="4">
        <v>39</v>
      </c>
      <c r="AO10" s="4">
        <v>35</v>
      </c>
      <c r="AP10" s="4">
        <v>47</v>
      </c>
      <c r="AQ10" s="4">
        <v>19</v>
      </c>
      <c r="AR10" s="4">
        <v>16</v>
      </c>
      <c r="AS10" s="4">
        <v>10</v>
      </c>
      <c r="AT10" s="4">
        <v>8</v>
      </c>
      <c r="AU10" s="4">
        <v>18</v>
      </c>
      <c r="AV10" s="4">
        <v>34</v>
      </c>
      <c r="AW10" s="4">
        <v>36</v>
      </c>
      <c r="AX10" s="4">
        <v>32</v>
      </c>
      <c r="AY10" s="4">
        <v>32</v>
      </c>
      <c r="AZ10" s="4">
        <v>32</v>
      </c>
      <c r="BA10" s="4">
        <v>32</v>
      </c>
      <c r="BB10" s="44">
        <v>32</v>
      </c>
      <c r="BC10" s="42">
        <f>29785/1000</f>
        <v>29.785</v>
      </c>
      <c r="BD10" s="42">
        <f>26000/1000</f>
        <v>26</v>
      </c>
    </row>
    <row r="11" spans="1:56" s="5" customFormat="1" x14ac:dyDescent="0.25">
      <c r="A11" s="14"/>
      <c r="B11" s="6"/>
      <c r="C11" s="6" t="s">
        <v>7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35</v>
      </c>
      <c r="T11" s="7">
        <v>21</v>
      </c>
      <c r="U11" s="7">
        <v>41</v>
      </c>
      <c r="V11" s="7">
        <v>38</v>
      </c>
      <c r="W11" s="7">
        <v>18</v>
      </c>
      <c r="X11" s="7">
        <v>18</v>
      </c>
      <c r="Y11" s="7">
        <v>53</v>
      </c>
      <c r="Z11" s="7">
        <v>60</v>
      </c>
      <c r="AA11" s="7">
        <v>60</v>
      </c>
      <c r="AB11" s="7">
        <v>28</v>
      </c>
      <c r="AC11" s="7">
        <v>51</v>
      </c>
      <c r="AD11" s="7">
        <v>115</v>
      </c>
      <c r="AE11" s="7">
        <v>65</v>
      </c>
      <c r="AF11" s="7">
        <v>76</v>
      </c>
      <c r="AG11" s="7">
        <v>67</v>
      </c>
      <c r="AH11" s="7">
        <v>28</v>
      </c>
      <c r="AI11" s="7">
        <v>0</v>
      </c>
      <c r="AJ11" s="7">
        <v>60</v>
      </c>
      <c r="AK11" s="7">
        <v>70</v>
      </c>
      <c r="AL11" s="7">
        <v>95</v>
      </c>
      <c r="AM11" s="7">
        <v>88</v>
      </c>
      <c r="AN11" s="7">
        <v>115</v>
      </c>
      <c r="AO11" s="7">
        <v>160</v>
      </c>
      <c r="AP11" s="7">
        <v>145</v>
      </c>
      <c r="AQ11" s="7">
        <v>230</v>
      </c>
      <c r="AR11" s="7">
        <v>277</v>
      </c>
      <c r="AS11" s="7">
        <v>446</v>
      </c>
      <c r="AT11" s="7">
        <v>270</v>
      </c>
      <c r="AU11" s="7">
        <v>243</v>
      </c>
      <c r="AV11" s="7">
        <v>762</v>
      </c>
      <c r="AW11" s="7">
        <v>776</v>
      </c>
      <c r="AX11" s="8">
        <v>1328</v>
      </c>
      <c r="AY11" s="8">
        <v>1061</v>
      </c>
      <c r="AZ11" s="8">
        <v>1575</v>
      </c>
      <c r="BA11" s="8">
        <v>1638</v>
      </c>
      <c r="BB11" s="47">
        <v>1750</v>
      </c>
      <c r="BC11" s="43">
        <f>1115797/1000</f>
        <v>1115.797</v>
      </c>
      <c r="BD11" s="43"/>
    </row>
    <row r="12" spans="1:56" x14ac:dyDescent="0.25">
      <c r="A12" s="12"/>
      <c r="B12" s="2"/>
      <c r="C12" s="2" t="s">
        <v>9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1</v>
      </c>
      <c r="M12" s="4">
        <v>1</v>
      </c>
      <c r="N12" s="4">
        <v>1</v>
      </c>
      <c r="O12" s="4">
        <v>1</v>
      </c>
      <c r="P12" s="4">
        <v>1</v>
      </c>
      <c r="Q12" s="4">
        <v>2</v>
      </c>
      <c r="R12" s="4">
        <v>2</v>
      </c>
      <c r="S12" s="4">
        <v>40</v>
      </c>
      <c r="T12" s="4">
        <v>32</v>
      </c>
      <c r="U12" s="4">
        <v>68</v>
      </c>
      <c r="V12" s="4">
        <v>117</v>
      </c>
      <c r="W12" s="4">
        <v>124</v>
      </c>
      <c r="X12" s="4">
        <v>110</v>
      </c>
      <c r="Y12" s="4">
        <v>183</v>
      </c>
      <c r="Z12" s="4">
        <v>226</v>
      </c>
      <c r="AA12" s="4">
        <v>222</v>
      </c>
      <c r="AB12" s="4">
        <v>171</v>
      </c>
      <c r="AC12" s="4">
        <v>184</v>
      </c>
      <c r="AD12" s="4">
        <v>255</v>
      </c>
      <c r="AE12" s="4">
        <v>205</v>
      </c>
      <c r="AF12" s="4">
        <v>206</v>
      </c>
      <c r="AG12" s="4">
        <v>158</v>
      </c>
      <c r="AH12" s="4">
        <v>134</v>
      </c>
      <c r="AI12" s="4">
        <v>120</v>
      </c>
      <c r="AJ12" s="4">
        <v>119</v>
      </c>
      <c r="AK12" s="4">
        <v>120</v>
      </c>
      <c r="AL12" s="4">
        <v>162</v>
      </c>
      <c r="AM12" s="4">
        <v>152</v>
      </c>
      <c r="AN12" s="4">
        <v>154</v>
      </c>
      <c r="AO12" s="4">
        <v>195</v>
      </c>
      <c r="AP12" s="4">
        <v>192</v>
      </c>
      <c r="AQ12" s="4">
        <v>249</v>
      </c>
      <c r="AR12" s="4">
        <v>293</v>
      </c>
      <c r="AS12" s="4">
        <v>456</v>
      </c>
      <c r="AT12" s="4">
        <v>278</v>
      </c>
      <c r="AU12" s="4">
        <v>261</v>
      </c>
      <c r="AV12" s="4">
        <v>756</v>
      </c>
      <c r="AW12" s="4">
        <v>832</v>
      </c>
      <c r="AX12" s="3">
        <v>1285</v>
      </c>
      <c r="AY12" s="3">
        <v>1165</v>
      </c>
      <c r="AZ12" s="3">
        <v>1586</v>
      </c>
      <c r="BA12" s="3">
        <v>1673</v>
      </c>
      <c r="BB12" s="44">
        <v>1783</v>
      </c>
      <c r="BC12" s="42"/>
      <c r="BD12" s="42"/>
    </row>
    <row r="13" spans="1:56" s="5" customFormat="1" x14ac:dyDescent="0.25">
      <c r="A13" s="14"/>
      <c r="B13" s="6" t="s">
        <v>12</v>
      </c>
      <c r="C13" s="6" t="s">
        <v>6</v>
      </c>
      <c r="D13" s="7">
        <v>996</v>
      </c>
      <c r="E13" s="7">
        <v>765</v>
      </c>
      <c r="F13" s="8">
        <v>1365</v>
      </c>
      <c r="G13" s="8">
        <v>1487</v>
      </c>
      <c r="H13" s="8">
        <v>1364</v>
      </c>
      <c r="I13" s="8">
        <v>1199</v>
      </c>
      <c r="J13" s="8">
        <v>1125</v>
      </c>
      <c r="K13" s="8">
        <v>1527</v>
      </c>
      <c r="L13" s="8">
        <v>1733</v>
      </c>
      <c r="M13" s="8">
        <v>1713</v>
      </c>
      <c r="N13" s="8">
        <v>1745</v>
      </c>
      <c r="O13" s="8">
        <v>1796</v>
      </c>
      <c r="P13" s="8">
        <v>1680</v>
      </c>
      <c r="Q13" s="8">
        <v>1524</v>
      </c>
      <c r="R13" s="8">
        <v>1502</v>
      </c>
      <c r="S13" s="8">
        <v>1624</v>
      </c>
      <c r="T13" s="8">
        <v>1541</v>
      </c>
      <c r="U13" s="8">
        <v>1522</v>
      </c>
      <c r="V13" s="8">
        <v>1575</v>
      </c>
      <c r="W13" s="8">
        <v>1682</v>
      </c>
      <c r="X13" s="8">
        <v>1597</v>
      </c>
      <c r="Y13" s="8">
        <v>1498</v>
      </c>
      <c r="Z13" s="8">
        <v>1633</v>
      </c>
      <c r="AA13" s="8">
        <v>1636</v>
      </c>
      <c r="AB13" s="8">
        <v>1561</v>
      </c>
      <c r="AC13" s="8">
        <v>1549</v>
      </c>
      <c r="AD13" s="8">
        <v>1830</v>
      </c>
      <c r="AE13" s="8">
        <v>1562</v>
      </c>
      <c r="AF13" s="8">
        <v>1427</v>
      </c>
      <c r="AG13" s="8">
        <v>1427</v>
      </c>
      <c r="AH13" s="8">
        <v>2122</v>
      </c>
      <c r="AI13" s="8">
        <v>2313</v>
      </c>
      <c r="AJ13" s="8">
        <v>2427</v>
      </c>
      <c r="AK13" s="8">
        <v>2540</v>
      </c>
      <c r="AL13" s="8">
        <v>2830</v>
      </c>
      <c r="AM13" s="8">
        <v>2600</v>
      </c>
      <c r="AN13" s="8">
        <v>2989</v>
      </c>
      <c r="AO13" s="8">
        <v>3510</v>
      </c>
      <c r="AP13" s="8">
        <v>2645</v>
      </c>
      <c r="AQ13" s="8">
        <v>3787</v>
      </c>
      <c r="AR13" s="8">
        <v>3965</v>
      </c>
      <c r="AS13" s="8">
        <v>3575</v>
      </c>
      <c r="AT13" s="8">
        <v>3705</v>
      </c>
      <c r="AU13" s="8">
        <v>3900</v>
      </c>
      <c r="AV13" s="8">
        <v>4128</v>
      </c>
      <c r="AW13" s="8">
        <v>4135</v>
      </c>
      <c r="AX13" s="8">
        <v>4383</v>
      </c>
      <c r="AY13" s="8">
        <v>4385</v>
      </c>
      <c r="AZ13" s="8">
        <v>4402</v>
      </c>
      <c r="BA13" s="8">
        <v>4300</v>
      </c>
      <c r="BB13" s="47">
        <v>3100</v>
      </c>
      <c r="BC13" s="43">
        <f>5675027/1000</f>
        <v>5675.027</v>
      </c>
      <c r="BD13" s="43">
        <f>5911086/1000</f>
        <v>5911.0860000000002</v>
      </c>
    </row>
    <row r="14" spans="1:56" x14ac:dyDescent="0.25">
      <c r="A14" s="12"/>
      <c r="B14" s="2"/>
      <c r="C14" s="2" t="s">
        <v>7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1</v>
      </c>
      <c r="S14" s="4">
        <v>0</v>
      </c>
      <c r="T14" s="4">
        <v>7</v>
      </c>
      <c r="U14" s="4">
        <v>7</v>
      </c>
      <c r="V14" s="4">
        <v>1</v>
      </c>
      <c r="W14" s="4">
        <v>0</v>
      </c>
      <c r="X14" s="4">
        <v>7</v>
      </c>
      <c r="Y14" s="4">
        <v>0</v>
      </c>
      <c r="Z14" s="4">
        <v>0</v>
      </c>
      <c r="AA14" s="4">
        <v>0</v>
      </c>
      <c r="AB14" s="4">
        <v>3</v>
      </c>
      <c r="AC14" s="4">
        <v>61</v>
      </c>
      <c r="AD14" s="4">
        <v>11</v>
      </c>
      <c r="AE14" s="4">
        <v>15</v>
      </c>
      <c r="AF14" s="4">
        <v>1</v>
      </c>
      <c r="AG14" s="4">
        <v>3</v>
      </c>
      <c r="AH14" s="4">
        <v>0</v>
      </c>
      <c r="AI14" s="4">
        <v>0</v>
      </c>
      <c r="AJ14" s="4">
        <v>0</v>
      </c>
      <c r="AK14" s="4">
        <v>3</v>
      </c>
      <c r="AL14" s="4">
        <v>2</v>
      </c>
      <c r="AM14" s="4">
        <v>1</v>
      </c>
      <c r="AN14" s="4">
        <v>0</v>
      </c>
      <c r="AO14" s="4">
        <v>16</v>
      </c>
      <c r="AP14" s="4">
        <v>46</v>
      </c>
      <c r="AQ14" s="4">
        <v>35</v>
      </c>
      <c r="AR14" s="4">
        <v>11</v>
      </c>
      <c r="AS14" s="4">
        <v>0</v>
      </c>
      <c r="AT14" s="4">
        <v>50</v>
      </c>
      <c r="AU14" s="4">
        <v>0</v>
      </c>
      <c r="AV14" s="4">
        <v>0</v>
      </c>
      <c r="AW14" s="4">
        <v>28</v>
      </c>
      <c r="AX14" s="4">
        <v>100</v>
      </c>
      <c r="AY14" s="4">
        <v>20</v>
      </c>
      <c r="AZ14" s="4">
        <v>20</v>
      </c>
      <c r="BA14" s="4">
        <v>12</v>
      </c>
      <c r="BB14" s="44">
        <v>15</v>
      </c>
      <c r="BC14" s="42">
        <f>93721/1000</f>
        <v>93.721000000000004</v>
      </c>
      <c r="BD14" s="42"/>
    </row>
    <row r="15" spans="1:56" s="5" customFormat="1" x14ac:dyDescent="0.25">
      <c r="A15" s="14"/>
      <c r="B15" s="6"/>
      <c r="C15" s="6" t="s">
        <v>8</v>
      </c>
      <c r="D15" s="7">
        <v>203</v>
      </c>
      <c r="E15" s="7">
        <v>144</v>
      </c>
      <c r="F15" s="7">
        <v>380</v>
      </c>
      <c r="G15" s="7">
        <v>527</v>
      </c>
      <c r="H15" s="7">
        <v>330</v>
      </c>
      <c r="I15" s="7">
        <v>347</v>
      </c>
      <c r="J15" s="7">
        <v>435</v>
      </c>
      <c r="K15" s="7">
        <v>570</v>
      </c>
      <c r="L15" s="7">
        <v>772</v>
      </c>
      <c r="M15" s="7">
        <v>654</v>
      </c>
      <c r="N15" s="7">
        <v>515</v>
      </c>
      <c r="O15" s="7">
        <v>456</v>
      </c>
      <c r="P15" s="7">
        <v>298</v>
      </c>
      <c r="Q15" s="7">
        <v>136</v>
      </c>
      <c r="R15" s="7">
        <v>104</v>
      </c>
      <c r="S15" s="7">
        <v>211</v>
      </c>
      <c r="T15" s="7">
        <v>223</v>
      </c>
      <c r="U15" s="7">
        <v>150</v>
      </c>
      <c r="V15" s="7">
        <v>95</v>
      </c>
      <c r="W15" s="7">
        <v>178</v>
      </c>
      <c r="X15" s="7">
        <v>134</v>
      </c>
      <c r="Y15" s="7">
        <v>22</v>
      </c>
      <c r="Z15" s="7">
        <v>21</v>
      </c>
      <c r="AA15" s="7">
        <v>65</v>
      </c>
      <c r="AB15" s="7">
        <v>16</v>
      </c>
      <c r="AC15" s="7">
        <v>92</v>
      </c>
      <c r="AD15" s="7">
        <v>105</v>
      </c>
      <c r="AE15" s="7">
        <v>108</v>
      </c>
      <c r="AF15" s="7">
        <v>32</v>
      </c>
      <c r="AG15" s="7">
        <v>85</v>
      </c>
      <c r="AH15" s="7">
        <v>159</v>
      </c>
      <c r="AI15" s="7">
        <v>209</v>
      </c>
      <c r="AJ15" s="7">
        <v>135</v>
      </c>
      <c r="AK15" s="7">
        <v>268</v>
      </c>
      <c r="AL15" s="7">
        <v>163</v>
      </c>
      <c r="AM15" s="7">
        <v>338</v>
      </c>
      <c r="AN15" s="7">
        <v>201</v>
      </c>
      <c r="AO15" s="7">
        <v>426</v>
      </c>
      <c r="AP15" s="7">
        <v>320</v>
      </c>
      <c r="AQ15" s="7">
        <v>500</v>
      </c>
      <c r="AR15" s="7">
        <v>705</v>
      </c>
      <c r="AS15" s="7">
        <v>468</v>
      </c>
      <c r="AT15" s="7">
        <v>579</v>
      </c>
      <c r="AU15" s="7">
        <v>826</v>
      </c>
      <c r="AV15" s="8">
        <v>1095</v>
      </c>
      <c r="AW15" s="7">
        <v>979</v>
      </c>
      <c r="AX15" s="8">
        <v>1203</v>
      </c>
      <c r="AY15" s="7">
        <v>750</v>
      </c>
      <c r="AZ15" s="7">
        <v>550</v>
      </c>
      <c r="BA15" s="7">
        <v>700</v>
      </c>
      <c r="BB15" s="47">
        <v>35</v>
      </c>
      <c r="BC15" s="43">
        <f>39972/1000</f>
        <v>39.972000000000001</v>
      </c>
      <c r="BD15" s="43"/>
    </row>
    <row r="16" spans="1:56" x14ac:dyDescent="0.25">
      <c r="A16" s="12"/>
      <c r="B16" s="2"/>
      <c r="C16" s="2" t="s">
        <v>9</v>
      </c>
      <c r="D16" s="4">
        <v>793</v>
      </c>
      <c r="E16" s="4">
        <v>621</v>
      </c>
      <c r="F16" s="4">
        <v>985</v>
      </c>
      <c r="G16" s="4">
        <v>960</v>
      </c>
      <c r="H16" s="3">
        <v>1034</v>
      </c>
      <c r="I16" s="4">
        <v>852</v>
      </c>
      <c r="J16" s="4">
        <v>690</v>
      </c>
      <c r="K16" s="4">
        <v>957</v>
      </c>
      <c r="L16" s="4">
        <v>961</v>
      </c>
      <c r="M16" s="3">
        <v>1059</v>
      </c>
      <c r="N16" s="3">
        <v>1230</v>
      </c>
      <c r="O16" s="3">
        <v>1340</v>
      </c>
      <c r="P16" s="3">
        <v>1382</v>
      </c>
      <c r="Q16" s="3">
        <v>1388</v>
      </c>
      <c r="R16" s="3">
        <v>1399</v>
      </c>
      <c r="S16" s="3">
        <v>1413</v>
      </c>
      <c r="T16" s="3">
        <v>1325</v>
      </c>
      <c r="U16" s="3">
        <v>1379</v>
      </c>
      <c r="V16" s="3">
        <v>1481</v>
      </c>
      <c r="W16" s="3">
        <v>1504</v>
      </c>
      <c r="X16" s="3">
        <v>1470</v>
      </c>
      <c r="Y16" s="3">
        <v>1476</v>
      </c>
      <c r="Z16" s="3">
        <v>1612</v>
      </c>
      <c r="AA16" s="3">
        <v>1571</v>
      </c>
      <c r="AB16" s="3">
        <v>1548</v>
      </c>
      <c r="AC16" s="3">
        <v>1518</v>
      </c>
      <c r="AD16" s="3">
        <v>1736</v>
      </c>
      <c r="AE16" s="3">
        <v>1469</v>
      </c>
      <c r="AF16" s="3">
        <v>1396</v>
      </c>
      <c r="AG16" s="3">
        <v>1345</v>
      </c>
      <c r="AH16" s="3">
        <v>1813</v>
      </c>
      <c r="AI16" s="3">
        <v>2054</v>
      </c>
      <c r="AJ16" s="3">
        <v>2289</v>
      </c>
      <c r="AK16" s="3">
        <v>2375</v>
      </c>
      <c r="AL16" s="3">
        <v>2492</v>
      </c>
      <c r="AM16" s="3">
        <v>2443</v>
      </c>
      <c r="AN16" s="3">
        <v>2619</v>
      </c>
      <c r="AO16" s="3">
        <v>2769</v>
      </c>
      <c r="AP16" s="3">
        <v>2771</v>
      </c>
      <c r="AQ16" s="3">
        <v>2891</v>
      </c>
      <c r="AR16" s="3">
        <v>3015</v>
      </c>
      <c r="AS16" s="3">
        <v>3100</v>
      </c>
      <c r="AT16" s="3">
        <v>3200</v>
      </c>
      <c r="AU16" s="3">
        <v>3225</v>
      </c>
      <c r="AV16" s="3">
        <v>3250</v>
      </c>
      <c r="AW16" s="3">
        <v>3320</v>
      </c>
      <c r="AX16" s="3">
        <v>3276</v>
      </c>
      <c r="AY16" s="3">
        <v>3340</v>
      </c>
      <c r="AZ16" s="3">
        <v>4000</v>
      </c>
      <c r="BA16" s="3">
        <v>3670</v>
      </c>
      <c r="BB16" s="3">
        <v>3400</v>
      </c>
      <c r="BC16" s="42">
        <f>BC13+BC14-BC15</f>
        <v>5728.7759999999998</v>
      </c>
      <c r="BD16" s="42"/>
    </row>
    <row r="17" spans="1:56" s="5" customFormat="1" x14ac:dyDescent="0.25">
      <c r="A17" s="14"/>
      <c r="B17" s="6" t="s">
        <v>13</v>
      </c>
      <c r="C17" s="6" t="s">
        <v>6</v>
      </c>
      <c r="D17" s="7">
        <v>631</v>
      </c>
      <c r="E17" s="7">
        <v>631</v>
      </c>
      <c r="F17" s="7">
        <v>659</v>
      </c>
      <c r="G17" s="7">
        <v>729</v>
      </c>
      <c r="H17" s="7">
        <v>740</v>
      </c>
      <c r="I17" s="7">
        <v>806</v>
      </c>
      <c r="J17" s="7">
        <v>859</v>
      </c>
      <c r="K17" s="7">
        <v>881</v>
      </c>
      <c r="L17" s="7">
        <v>906</v>
      </c>
      <c r="M17" s="7">
        <v>813</v>
      </c>
      <c r="N17" s="7">
        <v>874</v>
      </c>
      <c r="O17" s="7">
        <v>854</v>
      </c>
      <c r="P17" s="7">
        <v>831</v>
      </c>
      <c r="Q17" s="7">
        <v>915</v>
      </c>
      <c r="R17" s="7">
        <v>824</v>
      </c>
      <c r="S17" s="7">
        <v>775</v>
      </c>
      <c r="T17" s="7">
        <v>800</v>
      </c>
      <c r="U17" s="7">
        <v>648</v>
      </c>
      <c r="V17" s="7">
        <v>681</v>
      </c>
      <c r="W17" s="7">
        <v>635</v>
      </c>
      <c r="X17" s="7">
        <v>643</v>
      </c>
      <c r="Y17" s="7">
        <v>653</v>
      </c>
      <c r="Z17" s="7">
        <v>596</v>
      </c>
      <c r="AA17" s="7">
        <v>622</v>
      </c>
      <c r="AB17" s="7">
        <v>540</v>
      </c>
      <c r="AC17" s="7">
        <v>551</v>
      </c>
      <c r="AD17" s="7">
        <v>600</v>
      </c>
      <c r="AE17" s="7">
        <v>540</v>
      </c>
      <c r="AF17" s="7">
        <v>578</v>
      </c>
      <c r="AG17" s="7">
        <v>586</v>
      </c>
      <c r="AH17" s="7">
        <v>611</v>
      </c>
      <c r="AI17" s="7">
        <v>620</v>
      </c>
      <c r="AJ17" s="7">
        <v>615</v>
      </c>
      <c r="AK17" s="7">
        <v>745</v>
      </c>
      <c r="AL17" s="7">
        <v>760</v>
      </c>
      <c r="AM17" s="7">
        <v>775</v>
      </c>
      <c r="AN17" s="7">
        <v>766</v>
      </c>
      <c r="AO17" s="7">
        <v>764</v>
      </c>
      <c r="AP17" s="7">
        <v>765</v>
      </c>
      <c r="AQ17" s="7">
        <v>750</v>
      </c>
      <c r="AR17" s="7">
        <v>750</v>
      </c>
      <c r="AS17" s="7">
        <v>750</v>
      </c>
      <c r="AT17" s="7">
        <v>900</v>
      </c>
      <c r="AU17" s="7">
        <v>900</v>
      </c>
      <c r="AV17" s="7">
        <v>900</v>
      </c>
      <c r="AW17" s="7">
        <v>900</v>
      </c>
      <c r="AX17" s="7">
        <v>900</v>
      </c>
      <c r="AY17" s="7">
        <v>900</v>
      </c>
      <c r="AZ17" s="7">
        <v>900</v>
      </c>
      <c r="BA17" s="7">
        <v>900</v>
      </c>
      <c r="BB17" s="7">
        <v>900</v>
      </c>
      <c r="BC17" s="43">
        <f>839195/100</f>
        <v>8391.9500000000007</v>
      </c>
      <c r="BD17" s="43">
        <f>757035/1000</f>
        <v>757.03499999999997</v>
      </c>
    </row>
    <row r="18" spans="1:56" x14ac:dyDescent="0.25">
      <c r="A18" s="12"/>
      <c r="B18" s="2"/>
      <c r="C18" s="2" t="s">
        <v>7</v>
      </c>
      <c r="D18" s="4">
        <v>1</v>
      </c>
      <c r="E18" s="4">
        <v>10</v>
      </c>
      <c r="F18" s="4">
        <v>7</v>
      </c>
      <c r="G18" s="4">
        <v>14</v>
      </c>
      <c r="H18" s="4">
        <v>6</v>
      </c>
      <c r="I18" s="4">
        <v>14</v>
      </c>
      <c r="J18" s="4">
        <v>2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6</v>
      </c>
      <c r="AB18" s="4">
        <v>0</v>
      </c>
      <c r="AC18" s="4">
        <v>0</v>
      </c>
      <c r="AD18" s="4">
        <v>0</v>
      </c>
      <c r="AE18" s="4">
        <v>0</v>
      </c>
      <c r="AF18" s="4">
        <v>0</v>
      </c>
      <c r="AG18" s="4">
        <v>0</v>
      </c>
      <c r="AH18" s="4">
        <v>100</v>
      </c>
      <c r="AI18" s="4">
        <v>0</v>
      </c>
      <c r="AJ18" s="4">
        <v>11</v>
      </c>
      <c r="AK18" s="4">
        <v>0</v>
      </c>
      <c r="AL18" s="4">
        <v>0</v>
      </c>
      <c r="AM18" s="4">
        <v>18</v>
      </c>
      <c r="AN18" s="4">
        <v>1</v>
      </c>
      <c r="AO18" s="4">
        <v>0</v>
      </c>
      <c r="AP18" s="4">
        <v>0</v>
      </c>
      <c r="AQ18" s="4">
        <v>0</v>
      </c>
      <c r="AR18" s="4">
        <v>0</v>
      </c>
      <c r="AS18" s="4">
        <v>0</v>
      </c>
      <c r="AT18" s="4">
        <v>0</v>
      </c>
      <c r="AU18" s="4">
        <v>0</v>
      </c>
      <c r="AV18" s="4">
        <v>0</v>
      </c>
      <c r="AW18" s="4">
        <v>0</v>
      </c>
      <c r="AX18" s="4">
        <v>0</v>
      </c>
      <c r="AY18" s="4">
        <v>2</v>
      </c>
      <c r="AZ18" s="4">
        <v>41</v>
      </c>
      <c r="BA18" s="4">
        <v>22</v>
      </c>
      <c r="BB18" s="4">
        <v>5</v>
      </c>
      <c r="BC18" s="42">
        <f>25699/1000</f>
        <v>25.699000000000002</v>
      </c>
      <c r="BD18" s="42"/>
    </row>
    <row r="19" spans="1:56" s="5" customFormat="1" x14ac:dyDescent="0.25">
      <c r="A19" s="14"/>
      <c r="B19" s="6"/>
      <c r="C19" s="6" t="s">
        <v>8</v>
      </c>
      <c r="D19" s="7">
        <v>1</v>
      </c>
      <c r="E19" s="7">
        <v>0</v>
      </c>
      <c r="F19" s="7">
        <v>0</v>
      </c>
      <c r="G19" s="7">
        <v>1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1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1</v>
      </c>
      <c r="AW19" s="7">
        <v>0</v>
      </c>
      <c r="AX19" s="7">
        <v>0</v>
      </c>
      <c r="AY19" s="7">
        <v>0</v>
      </c>
      <c r="AZ19" s="7">
        <v>3</v>
      </c>
      <c r="BA19" s="7">
        <v>8</v>
      </c>
      <c r="BB19" s="7">
        <v>5</v>
      </c>
      <c r="BC19" s="43">
        <f>3466/1000</f>
        <v>3.4660000000000002</v>
      </c>
      <c r="BD19" s="43"/>
    </row>
    <row r="20" spans="1:56" x14ac:dyDescent="0.25">
      <c r="A20" s="12"/>
      <c r="B20" s="2"/>
      <c r="C20" s="2" t="s">
        <v>9</v>
      </c>
      <c r="D20" s="4">
        <v>631</v>
      </c>
      <c r="E20" s="4">
        <v>641</v>
      </c>
      <c r="F20" s="4">
        <v>666</v>
      </c>
      <c r="G20" s="4">
        <v>742</v>
      </c>
      <c r="H20" s="4">
        <v>746</v>
      </c>
      <c r="I20" s="4">
        <v>820</v>
      </c>
      <c r="J20" s="4">
        <v>861</v>
      </c>
      <c r="K20" s="4">
        <v>881</v>
      </c>
      <c r="L20" s="4">
        <v>906</v>
      </c>
      <c r="M20" s="4">
        <v>812</v>
      </c>
      <c r="N20" s="4">
        <v>828</v>
      </c>
      <c r="O20" s="4">
        <v>800</v>
      </c>
      <c r="P20" s="4">
        <v>800</v>
      </c>
      <c r="Q20" s="4">
        <v>815</v>
      </c>
      <c r="R20" s="4">
        <v>800</v>
      </c>
      <c r="S20" s="4">
        <v>800</v>
      </c>
      <c r="T20" s="4">
        <v>825</v>
      </c>
      <c r="U20" s="4">
        <v>648</v>
      </c>
      <c r="V20" s="4">
        <v>600</v>
      </c>
      <c r="W20" s="4">
        <v>571</v>
      </c>
      <c r="X20" s="4">
        <v>643</v>
      </c>
      <c r="Y20" s="4">
        <v>653</v>
      </c>
      <c r="Z20" s="4">
        <v>596</v>
      </c>
      <c r="AA20" s="4">
        <v>628</v>
      </c>
      <c r="AB20" s="4">
        <v>600</v>
      </c>
      <c r="AC20" s="4">
        <v>721</v>
      </c>
      <c r="AD20" s="4">
        <v>620</v>
      </c>
      <c r="AE20" s="4">
        <v>540</v>
      </c>
      <c r="AF20" s="4">
        <v>578</v>
      </c>
      <c r="AG20" s="4">
        <v>586</v>
      </c>
      <c r="AH20" s="4">
        <v>711</v>
      </c>
      <c r="AI20" s="4">
        <v>620</v>
      </c>
      <c r="AJ20" s="4">
        <v>626</v>
      </c>
      <c r="AK20" s="4">
        <v>800</v>
      </c>
      <c r="AL20" s="4">
        <v>760</v>
      </c>
      <c r="AM20" s="4">
        <v>793</v>
      </c>
      <c r="AN20" s="4">
        <v>767</v>
      </c>
      <c r="AO20" s="4">
        <v>769</v>
      </c>
      <c r="AP20" s="4">
        <v>765</v>
      </c>
      <c r="AQ20" s="4">
        <v>750</v>
      </c>
      <c r="AR20" s="4">
        <v>750</v>
      </c>
      <c r="AS20" s="4">
        <v>750</v>
      </c>
      <c r="AT20" s="4">
        <v>900</v>
      </c>
      <c r="AU20" s="4">
        <v>900</v>
      </c>
      <c r="AV20" s="4">
        <v>900</v>
      </c>
      <c r="AW20" s="4">
        <v>900</v>
      </c>
      <c r="AX20" s="4">
        <v>900</v>
      </c>
      <c r="AY20" s="4">
        <v>900</v>
      </c>
      <c r="AZ20" s="4">
        <v>950</v>
      </c>
      <c r="BA20" s="4">
        <v>900</v>
      </c>
      <c r="BB20" s="4">
        <v>900</v>
      </c>
      <c r="BC20" s="42">
        <f>BC17+BC18-BC19</f>
        <v>8414.1830000000009</v>
      </c>
      <c r="BD20" s="42"/>
    </row>
    <row r="21" spans="1:56" s="5" customFormat="1" x14ac:dyDescent="0.25">
      <c r="A21" s="12"/>
      <c r="B21" s="2" t="s">
        <v>14</v>
      </c>
      <c r="C21" s="2" t="s">
        <v>42</v>
      </c>
      <c r="D21" s="44">
        <f>4186000/1000</f>
        <v>4186</v>
      </c>
      <c r="E21" s="44">
        <f>4808000/1000</f>
        <v>4808</v>
      </c>
      <c r="F21" s="44">
        <f>5153000/1000</f>
        <v>5153</v>
      </c>
      <c r="G21" s="44">
        <f>4890000/1000</f>
        <v>4890</v>
      </c>
      <c r="H21" s="44">
        <f>4739000/1000</f>
        <v>4739</v>
      </c>
      <c r="I21" s="44">
        <f>5189000/1000</f>
        <v>5189</v>
      </c>
      <c r="J21" s="44">
        <f>5261000/1000</f>
        <v>5261</v>
      </c>
      <c r="K21" s="44">
        <f>6073945/1000</f>
        <v>6073.9449999999997</v>
      </c>
      <c r="L21" s="44">
        <f>6867000/1000</f>
        <v>6867</v>
      </c>
      <c r="M21" s="44">
        <f>6934000/1000</f>
        <v>6934</v>
      </c>
      <c r="N21" s="44">
        <f>7486000/1000</f>
        <v>7486</v>
      </c>
      <c r="O21" s="44">
        <f>7701000/1000</f>
        <v>7701</v>
      </c>
      <c r="P21" s="44">
        <f>7349000/1000</f>
        <v>7349</v>
      </c>
      <c r="Q21" s="44">
        <f>7018000/1000</f>
        <v>7018</v>
      </c>
      <c r="R21" s="44">
        <f>7902000/1000</f>
        <v>7902</v>
      </c>
      <c r="S21" s="44">
        <f>8445759/1000</f>
        <v>8445.759</v>
      </c>
      <c r="T21" s="44">
        <f>8378670/1000</f>
        <v>8378.67</v>
      </c>
      <c r="U21" s="44">
        <f>8296320/1000</f>
        <v>8296.32</v>
      </c>
      <c r="V21" s="44">
        <f>8790516/1000</f>
        <v>8790.5159999999996</v>
      </c>
      <c r="W21" s="44">
        <f>8618000/1000</f>
        <v>8618</v>
      </c>
      <c r="X21" s="44">
        <f>8805000/1000</f>
        <v>8805</v>
      </c>
      <c r="Y21" s="44">
        <f>8740000/1000</f>
        <v>8740</v>
      </c>
      <c r="Z21" s="44">
        <f>8396000/1000</f>
        <v>8396</v>
      </c>
      <c r="AA21" s="44">
        <f>9142000/1000</f>
        <v>9142</v>
      </c>
      <c r="AB21" s="44">
        <f>9684000/1000</f>
        <v>9684</v>
      </c>
      <c r="AC21" s="44">
        <f>10832000/1000</f>
        <v>10832</v>
      </c>
      <c r="AD21" s="44">
        <f>8424000/1000</f>
        <v>8424</v>
      </c>
      <c r="AE21" s="44">
        <f>10795000/1000</f>
        <v>10795</v>
      </c>
      <c r="AF21" s="44">
        <f>11212801/1000</f>
        <v>11212.800999999999</v>
      </c>
      <c r="AG21" s="44">
        <f>11095262/1000</f>
        <v>11095.262000000001</v>
      </c>
      <c r="AH21" s="44">
        <f>11623574/1000</f>
        <v>11623.574000000001</v>
      </c>
      <c r="AI21" s="44">
        <f>11707560/1000</f>
        <v>11707.56</v>
      </c>
      <c r="AJ21" s="44">
        <f>12411820/1000</f>
        <v>12411.82</v>
      </c>
      <c r="AK21" s="44">
        <f>13822040/1000</f>
        <v>13822.04</v>
      </c>
      <c r="AL21" s="44">
        <f>14104772/1000</f>
        <v>14104.772000000001</v>
      </c>
      <c r="AM21" s="44">
        <f>13958413/1000</f>
        <v>13958.413</v>
      </c>
      <c r="AN21" s="44">
        <f>13725525/1000</f>
        <v>13725.525</v>
      </c>
      <c r="AO21" s="44">
        <f>14352780/1000</f>
        <v>14352.78</v>
      </c>
      <c r="AP21" s="44">
        <f>15253621/1000</f>
        <v>15253.620999999999</v>
      </c>
      <c r="AQ21" s="44">
        <f>15705800/1000</f>
        <v>15705.8</v>
      </c>
      <c r="AR21" s="44">
        <f>15571500/1000</f>
        <v>15571.5</v>
      </c>
      <c r="AS21" s="44">
        <f>16016757/1000</f>
        <v>16016.757</v>
      </c>
      <c r="AT21" s="44">
        <f>16245460/1000</f>
        <v>16245.46</v>
      </c>
      <c r="AU21" s="44">
        <f>16230438/1000</f>
        <v>16230.438</v>
      </c>
      <c r="AV21" s="44">
        <f>16317320/1000</f>
        <v>16317.32</v>
      </c>
      <c r="AW21" s="44">
        <f>1665330/1000</f>
        <v>1665.33</v>
      </c>
      <c r="AX21" s="44">
        <f>17014272/1000</f>
        <v>17014.272000000001</v>
      </c>
      <c r="AY21" s="44">
        <f>16470221/1000</f>
        <v>16470.221000000001</v>
      </c>
      <c r="AZ21" s="44">
        <f>15482170/1000</f>
        <v>15482.17</v>
      </c>
      <c r="BA21" s="44">
        <f>15708879/1000</f>
        <v>15708.879000000001</v>
      </c>
      <c r="BB21" s="45">
        <f>15765213/1000</f>
        <v>15765.213</v>
      </c>
      <c r="BC21" s="43">
        <f>15550000/1000</f>
        <v>15550</v>
      </c>
      <c r="BD21" s="43">
        <f>16100000/1000</f>
        <v>16100</v>
      </c>
    </row>
    <row r="22" spans="1:56" x14ac:dyDescent="0.25">
      <c r="A22" s="12"/>
      <c r="B22" s="6"/>
      <c r="C22" s="6" t="s">
        <v>45</v>
      </c>
      <c r="D22" s="7">
        <v>19</v>
      </c>
      <c r="E22" s="7">
        <v>116</v>
      </c>
      <c r="F22" s="7">
        <v>0</v>
      </c>
      <c r="G22" s="7">
        <v>90</v>
      </c>
      <c r="H22" s="7">
        <v>44</v>
      </c>
      <c r="I22" s="7">
        <v>140</v>
      </c>
      <c r="J22" s="7">
        <v>187</v>
      </c>
      <c r="K22" s="7">
        <v>153</v>
      </c>
      <c r="L22" s="7">
        <v>136</v>
      </c>
      <c r="M22" s="7">
        <v>105</v>
      </c>
      <c r="N22" s="7">
        <v>72</v>
      </c>
      <c r="O22" s="7">
        <v>50</v>
      </c>
      <c r="P22" s="7">
        <v>63</v>
      </c>
      <c r="Q22" s="7">
        <v>90</v>
      </c>
      <c r="R22" s="7">
        <v>253</v>
      </c>
      <c r="S22" s="7">
        <v>222</v>
      </c>
      <c r="T22" s="7">
        <v>210</v>
      </c>
      <c r="U22" s="7">
        <v>310</v>
      </c>
      <c r="V22" s="7">
        <v>392</v>
      </c>
      <c r="W22" s="7">
        <v>522</v>
      </c>
      <c r="X22" s="7">
        <v>693</v>
      </c>
      <c r="Y22" s="7">
        <v>650</v>
      </c>
      <c r="Z22" s="7">
        <v>750</v>
      </c>
      <c r="AA22" s="7">
        <v>780</v>
      </c>
      <c r="AB22" s="7">
        <v>728</v>
      </c>
      <c r="AC22" s="7">
        <v>750</v>
      </c>
      <c r="AD22" s="7">
        <v>606</v>
      </c>
      <c r="AE22" s="7">
        <v>635</v>
      </c>
      <c r="AF22" s="7">
        <v>733</v>
      </c>
      <c r="AG22" s="7">
        <v>595</v>
      </c>
      <c r="AH22" s="7">
        <v>525</v>
      </c>
      <c r="AI22" s="7">
        <v>570</v>
      </c>
      <c r="AJ22" s="7">
        <v>550</v>
      </c>
      <c r="AK22" s="7">
        <v>550</v>
      </c>
      <c r="AL22" s="7">
        <v>584</v>
      </c>
      <c r="AM22" s="7">
        <v>617</v>
      </c>
      <c r="AN22" s="8">
        <v>1305</v>
      </c>
      <c r="AO22" s="7">
        <v>915</v>
      </c>
      <c r="AP22" s="7">
        <v>653</v>
      </c>
      <c r="AQ22" s="7">
        <v>292</v>
      </c>
      <c r="AR22" s="7">
        <v>946</v>
      </c>
      <c r="AS22" s="8">
        <v>1102</v>
      </c>
      <c r="AT22" s="8">
        <v>1100</v>
      </c>
      <c r="AU22" s="7">
        <v>900</v>
      </c>
      <c r="AV22" s="7">
        <v>905</v>
      </c>
      <c r="AW22" s="8">
        <v>1003</v>
      </c>
      <c r="AX22" s="7">
        <v>936</v>
      </c>
      <c r="AY22" s="8">
        <v>1390</v>
      </c>
      <c r="AZ22" s="8">
        <v>1382</v>
      </c>
      <c r="BA22" s="7">
        <v>978</v>
      </c>
      <c r="BB22" s="25">
        <v>1120</v>
      </c>
      <c r="BC22" s="42">
        <f>1144346/100</f>
        <v>11443.46</v>
      </c>
      <c r="BD22" s="42"/>
    </row>
    <row r="23" spans="1:56" s="5" customFormat="1" x14ac:dyDescent="0.25">
      <c r="A23" s="12"/>
      <c r="B23" s="2"/>
      <c r="C23" s="2" t="s">
        <v>44</v>
      </c>
      <c r="D23" s="4">
        <v>73</v>
      </c>
      <c r="E23" s="4">
        <v>52</v>
      </c>
      <c r="F23" s="4">
        <v>30</v>
      </c>
      <c r="G23" s="4">
        <v>25</v>
      </c>
      <c r="H23" s="4">
        <v>16</v>
      </c>
      <c r="I23" s="4">
        <v>6</v>
      </c>
      <c r="J23" s="4">
        <v>11</v>
      </c>
      <c r="K23" s="4">
        <v>32</v>
      </c>
      <c r="L23" s="4">
        <v>66</v>
      </c>
      <c r="M23" s="4">
        <v>58</v>
      </c>
      <c r="N23" s="4">
        <v>70</v>
      </c>
      <c r="O23" s="4">
        <v>23</v>
      </c>
      <c r="P23" s="4">
        <v>32</v>
      </c>
      <c r="Q23" s="4">
        <v>12</v>
      </c>
      <c r="R23" s="4">
        <v>0</v>
      </c>
      <c r="S23" s="4">
        <v>0</v>
      </c>
      <c r="T23" s="4">
        <v>51</v>
      </c>
      <c r="U23" s="4">
        <v>48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  <c r="AG23" s="4">
        <v>0</v>
      </c>
      <c r="AH23" s="4">
        <v>0</v>
      </c>
      <c r="AI23" s="4">
        <v>0</v>
      </c>
      <c r="AJ23" s="4">
        <v>0</v>
      </c>
      <c r="AK23" s="4">
        <v>0</v>
      </c>
      <c r="AL23" s="4">
        <v>63</v>
      </c>
      <c r="AM23" s="4">
        <v>3</v>
      </c>
      <c r="AN23" s="4">
        <v>206</v>
      </c>
      <c r="AO23" s="4">
        <v>118</v>
      </c>
      <c r="AP23" s="4">
        <v>150</v>
      </c>
      <c r="AQ23" s="4">
        <v>65</v>
      </c>
      <c r="AR23" s="4">
        <v>84</v>
      </c>
      <c r="AS23" s="4">
        <v>52</v>
      </c>
      <c r="AT23" s="4">
        <v>0</v>
      </c>
      <c r="AU23" s="4">
        <v>150</v>
      </c>
      <c r="AV23" s="4">
        <v>0</v>
      </c>
      <c r="AW23" s="4">
        <v>100</v>
      </c>
      <c r="AX23" s="4">
        <v>100</v>
      </c>
      <c r="AY23" s="4">
        <v>50</v>
      </c>
      <c r="AZ23" s="4">
        <v>100</v>
      </c>
      <c r="BA23" s="4">
        <v>0</v>
      </c>
      <c r="BB23" s="13">
        <v>0</v>
      </c>
      <c r="BC23" s="43">
        <f>4751/1000</f>
        <v>4.7510000000000003</v>
      </c>
      <c r="BD23" s="43"/>
    </row>
    <row r="24" spans="1:56" ht="30" x14ac:dyDescent="0.25">
      <c r="A24" s="12"/>
      <c r="B24" s="6"/>
      <c r="C24" s="6" t="s">
        <v>43</v>
      </c>
      <c r="D24" s="7">
        <f>D21+D22-D23</f>
        <v>4132</v>
      </c>
      <c r="E24" s="7">
        <f t="shared" ref="E24:BC24" si="0">E21+E22-E23</f>
        <v>4872</v>
      </c>
      <c r="F24" s="7">
        <f t="shared" si="0"/>
        <v>5123</v>
      </c>
      <c r="G24" s="7">
        <f t="shared" si="0"/>
        <v>4955</v>
      </c>
      <c r="H24" s="7">
        <f t="shared" si="0"/>
        <v>4767</v>
      </c>
      <c r="I24" s="7">
        <f t="shared" si="0"/>
        <v>5323</v>
      </c>
      <c r="J24" s="7">
        <f t="shared" si="0"/>
        <v>5437</v>
      </c>
      <c r="K24" s="7">
        <f t="shared" si="0"/>
        <v>6194.9449999999997</v>
      </c>
      <c r="L24" s="7">
        <f t="shared" si="0"/>
        <v>6937</v>
      </c>
      <c r="M24" s="7">
        <f t="shared" si="0"/>
        <v>6981</v>
      </c>
      <c r="N24" s="7">
        <f t="shared" si="0"/>
        <v>7488</v>
      </c>
      <c r="O24" s="7">
        <f t="shared" si="0"/>
        <v>7728</v>
      </c>
      <c r="P24" s="7">
        <f t="shared" si="0"/>
        <v>7380</v>
      </c>
      <c r="Q24" s="7">
        <f t="shared" si="0"/>
        <v>7096</v>
      </c>
      <c r="R24" s="7">
        <f t="shared" si="0"/>
        <v>8155</v>
      </c>
      <c r="S24" s="7">
        <f t="shared" si="0"/>
        <v>8667.759</v>
      </c>
      <c r="T24" s="7">
        <f t="shared" si="0"/>
        <v>8537.67</v>
      </c>
      <c r="U24" s="7">
        <f t="shared" si="0"/>
        <v>8558.32</v>
      </c>
      <c r="V24" s="7">
        <f t="shared" si="0"/>
        <v>9182.5159999999996</v>
      </c>
      <c r="W24" s="7">
        <f t="shared" si="0"/>
        <v>9140</v>
      </c>
      <c r="X24" s="7">
        <f t="shared" si="0"/>
        <v>9498</v>
      </c>
      <c r="Y24" s="7">
        <f t="shared" si="0"/>
        <v>9390</v>
      </c>
      <c r="Z24" s="7">
        <f t="shared" si="0"/>
        <v>9146</v>
      </c>
      <c r="AA24" s="7">
        <f t="shared" si="0"/>
        <v>9922</v>
      </c>
      <c r="AB24" s="7">
        <f t="shared" si="0"/>
        <v>10412</v>
      </c>
      <c r="AC24" s="7">
        <f t="shared" si="0"/>
        <v>11582</v>
      </c>
      <c r="AD24" s="7">
        <f t="shared" si="0"/>
        <v>9030</v>
      </c>
      <c r="AE24" s="7">
        <f t="shared" si="0"/>
        <v>11430</v>
      </c>
      <c r="AF24" s="7">
        <f t="shared" si="0"/>
        <v>11945.800999999999</v>
      </c>
      <c r="AG24" s="7">
        <f t="shared" si="0"/>
        <v>11690.262000000001</v>
      </c>
      <c r="AH24" s="7">
        <f t="shared" si="0"/>
        <v>12148.574000000001</v>
      </c>
      <c r="AI24" s="7">
        <f t="shared" si="0"/>
        <v>12277.56</v>
      </c>
      <c r="AJ24" s="7">
        <f t="shared" si="0"/>
        <v>12961.82</v>
      </c>
      <c r="AK24" s="7">
        <f t="shared" si="0"/>
        <v>14372.04</v>
      </c>
      <c r="AL24" s="7">
        <f t="shared" si="0"/>
        <v>14625.772000000001</v>
      </c>
      <c r="AM24" s="7">
        <f t="shared" si="0"/>
        <v>14572.413</v>
      </c>
      <c r="AN24" s="7">
        <f t="shared" si="0"/>
        <v>14824.525</v>
      </c>
      <c r="AO24" s="7">
        <f t="shared" si="0"/>
        <v>15149.78</v>
      </c>
      <c r="AP24" s="7">
        <f t="shared" si="0"/>
        <v>15756.620999999999</v>
      </c>
      <c r="AQ24" s="7">
        <f t="shared" si="0"/>
        <v>15932.8</v>
      </c>
      <c r="AR24" s="7">
        <f t="shared" si="0"/>
        <v>16433.5</v>
      </c>
      <c r="AS24" s="7">
        <f t="shared" si="0"/>
        <v>17066.756999999998</v>
      </c>
      <c r="AT24" s="7">
        <f t="shared" si="0"/>
        <v>17345.46</v>
      </c>
      <c r="AU24" s="7">
        <f t="shared" si="0"/>
        <v>16980.438000000002</v>
      </c>
      <c r="AV24" s="7">
        <f t="shared" si="0"/>
        <v>17222.32</v>
      </c>
      <c r="AW24" s="7">
        <f t="shared" si="0"/>
        <v>2568.33</v>
      </c>
      <c r="AX24" s="7">
        <f t="shared" si="0"/>
        <v>17850.272000000001</v>
      </c>
      <c r="AY24" s="7">
        <f t="shared" si="0"/>
        <v>17810.221000000001</v>
      </c>
      <c r="AZ24" s="7">
        <f t="shared" si="0"/>
        <v>16764.169999999998</v>
      </c>
      <c r="BA24" s="7">
        <f t="shared" si="0"/>
        <v>16686.879000000001</v>
      </c>
      <c r="BB24" s="7">
        <f t="shared" si="0"/>
        <v>16885.213</v>
      </c>
      <c r="BC24" s="7">
        <f t="shared" si="0"/>
        <v>26988.708999999999</v>
      </c>
      <c r="BD24" s="42"/>
    </row>
    <row r="25" spans="1:56" x14ac:dyDescent="0.25">
      <c r="A25" s="12"/>
      <c r="B25" s="2" t="s">
        <v>15</v>
      </c>
      <c r="C25" s="2" t="s">
        <v>6</v>
      </c>
      <c r="D25" s="3">
        <v>1499</v>
      </c>
      <c r="E25" s="3">
        <v>1436</v>
      </c>
      <c r="F25" s="3">
        <v>1593</v>
      </c>
      <c r="G25" s="3">
        <v>1493</v>
      </c>
      <c r="H25" s="3">
        <v>1500</v>
      </c>
      <c r="I25" s="3">
        <v>1272</v>
      </c>
      <c r="J25" s="3">
        <v>1465</v>
      </c>
      <c r="K25" s="3">
        <v>1299</v>
      </c>
      <c r="L25" s="3">
        <v>1526</v>
      </c>
      <c r="M25" s="3">
        <v>1277</v>
      </c>
      <c r="N25" s="3">
        <v>1519</v>
      </c>
      <c r="O25" s="3">
        <v>1729</v>
      </c>
      <c r="P25" s="3">
        <v>1616</v>
      </c>
      <c r="Q25" s="3">
        <v>1837</v>
      </c>
      <c r="R25" s="3">
        <v>1883</v>
      </c>
      <c r="S25" s="3">
        <v>2033</v>
      </c>
      <c r="T25" s="3">
        <v>1960</v>
      </c>
      <c r="U25" s="3">
        <v>1697</v>
      </c>
      <c r="V25" s="3">
        <v>1933</v>
      </c>
      <c r="W25" s="3">
        <v>1856</v>
      </c>
      <c r="X25" s="3">
        <v>1796</v>
      </c>
      <c r="Y25" s="3">
        <v>1938</v>
      </c>
      <c r="Z25" s="3">
        <v>2017</v>
      </c>
      <c r="AA25" s="3">
        <v>1996</v>
      </c>
      <c r="AB25" s="3">
        <v>1815</v>
      </c>
      <c r="AC25" s="3">
        <v>1873</v>
      </c>
      <c r="AD25" s="3">
        <v>1929</v>
      </c>
      <c r="AE25" s="3">
        <v>2443</v>
      </c>
      <c r="AF25" s="3">
        <v>2839</v>
      </c>
      <c r="AG25" s="3">
        <v>3183</v>
      </c>
      <c r="AH25" s="3">
        <v>4286</v>
      </c>
      <c r="AI25" s="3">
        <v>4482</v>
      </c>
      <c r="AJ25" s="3">
        <v>4617</v>
      </c>
      <c r="AK25" s="3">
        <v>4780</v>
      </c>
      <c r="AL25" s="3">
        <v>4100</v>
      </c>
      <c r="AM25" s="3">
        <v>5700</v>
      </c>
      <c r="AN25" s="3">
        <v>5735</v>
      </c>
      <c r="AO25" s="3">
        <v>5850</v>
      </c>
      <c r="AP25" s="3">
        <v>6104</v>
      </c>
      <c r="AQ25" s="3">
        <v>6350</v>
      </c>
      <c r="AR25" s="3">
        <v>6350</v>
      </c>
      <c r="AS25" s="3">
        <v>6130</v>
      </c>
      <c r="AT25" s="3">
        <v>6300</v>
      </c>
      <c r="AU25" s="3">
        <v>6443</v>
      </c>
      <c r="AV25" s="3">
        <v>7177</v>
      </c>
      <c r="AW25" s="3">
        <v>8184</v>
      </c>
      <c r="AX25" s="3">
        <v>8274</v>
      </c>
      <c r="AY25" s="3">
        <v>8275</v>
      </c>
      <c r="AZ25" s="3">
        <v>7977</v>
      </c>
      <c r="BA25" s="3">
        <v>8523</v>
      </c>
      <c r="BB25" s="3">
        <v>7200</v>
      </c>
      <c r="BC25" s="42">
        <f>8407126/1000</f>
        <v>8407.1260000000002</v>
      </c>
      <c r="BD25" s="42">
        <f>8795483/1000</f>
        <v>8795.4830000000002</v>
      </c>
    </row>
    <row r="26" spans="1:56" s="5" customFormat="1" x14ac:dyDescent="0.25">
      <c r="A26" s="14"/>
      <c r="B26" s="6"/>
      <c r="C26" s="6" t="s">
        <v>7</v>
      </c>
      <c r="D26" s="7">
        <v>996</v>
      </c>
      <c r="E26" s="8">
        <v>1709</v>
      </c>
      <c r="F26" s="8">
        <v>1730</v>
      </c>
      <c r="G26" s="8">
        <v>1933</v>
      </c>
      <c r="H26" s="8">
        <v>1977</v>
      </c>
      <c r="I26" s="8">
        <v>2344</v>
      </c>
      <c r="J26" s="8">
        <v>2498</v>
      </c>
      <c r="K26" s="8">
        <v>2782</v>
      </c>
      <c r="L26" s="8">
        <v>1940</v>
      </c>
      <c r="M26" s="8">
        <v>2220</v>
      </c>
      <c r="N26" s="8">
        <v>2835</v>
      </c>
      <c r="O26" s="8">
        <v>2590</v>
      </c>
      <c r="P26" s="8">
        <v>3040</v>
      </c>
      <c r="Q26" s="8">
        <v>3180</v>
      </c>
      <c r="R26" s="8">
        <v>3490</v>
      </c>
      <c r="S26" s="8">
        <v>3800</v>
      </c>
      <c r="T26" s="8">
        <v>3883</v>
      </c>
      <c r="U26" s="8">
        <v>4344</v>
      </c>
      <c r="V26" s="8">
        <v>5119</v>
      </c>
      <c r="W26" s="8">
        <v>4906</v>
      </c>
      <c r="X26" s="8">
        <v>5423</v>
      </c>
      <c r="Y26" s="8">
        <v>5878</v>
      </c>
      <c r="Z26" s="8">
        <v>5503</v>
      </c>
      <c r="AA26" s="8">
        <v>5857</v>
      </c>
      <c r="AB26" s="8">
        <v>6302</v>
      </c>
      <c r="AC26" s="8">
        <v>6236</v>
      </c>
      <c r="AD26" s="8">
        <v>7022</v>
      </c>
      <c r="AE26" s="8">
        <v>7473</v>
      </c>
      <c r="AF26" s="8">
        <v>7408</v>
      </c>
      <c r="AG26" s="8">
        <v>7258</v>
      </c>
      <c r="AH26" s="8">
        <v>5680</v>
      </c>
      <c r="AI26" s="8">
        <v>5807</v>
      </c>
      <c r="AJ26" s="8">
        <v>6004</v>
      </c>
      <c r="AK26" s="8">
        <v>5866</v>
      </c>
      <c r="AL26" s="8">
        <v>5856</v>
      </c>
      <c r="AM26" s="8">
        <v>5932</v>
      </c>
      <c r="AN26" s="8">
        <v>6893</v>
      </c>
      <c r="AO26" s="8">
        <v>7134</v>
      </c>
      <c r="AP26" s="8">
        <v>7454</v>
      </c>
      <c r="AQ26" s="8">
        <v>5872</v>
      </c>
      <c r="AR26" s="8">
        <v>6050</v>
      </c>
      <c r="AS26" s="8">
        <v>6944</v>
      </c>
      <c r="AT26" s="8">
        <v>6327</v>
      </c>
      <c r="AU26" s="8">
        <v>7295</v>
      </c>
      <c r="AV26" s="8">
        <v>8150</v>
      </c>
      <c r="AW26" s="8">
        <v>7771</v>
      </c>
      <c r="AX26" s="8">
        <v>7300</v>
      </c>
      <c r="AY26" s="8">
        <v>7700</v>
      </c>
      <c r="AZ26" s="8">
        <v>9900</v>
      </c>
      <c r="BA26" s="8">
        <v>10300</v>
      </c>
      <c r="BB26" s="8">
        <v>10000</v>
      </c>
      <c r="BC26" s="43">
        <f>9800061/1000</f>
        <v>9800.0609999999997</v>
      </c>
      <c r="BD26" s="43"/>
    </row>
    <row r="27" spans="1:56" x14ac:dyDescent="0.25">
      <c r="A27" s="12"/>
      <c r="B27" s="2"/>
      <c r="C27" s="2" t="s">
        <v>8</v>
      </c>
      <c r="D27" s="4">
        <v>5</v>
      </c>
      <c r="E27" s="4">
        <v>6</v>
      </c>
      <c r="F27" s="4">
        <v>15</v>
      </c>
      <c r="G27" s="4">
        <v>19</v>
      </c>
      <c r="H27" s="4">
        <v>12</v>
      </c>
      <c r="I27" s="4">
        <v>21</v>
      </c>
      <c r="J27" s="4">
        <v>29</v>
      </c>
      <c r="K27" s="4">
        <v>12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  <c r="AF27" s="4">
        <v>0</v>
      </c>
      <c r="AG27" s="4">
        <v>0</v>
      </c>
      <c r="AH27" s="4">
        <v>0</v>
      </c>
      <c r="AI27" s="4">
        <v>0</v>
      </c>
      <c r="AJ27" s="4">
        <v>0</v>
      </c>
      <c r="AK27" s="4">
        <v>2</v>
      </c>
      <c r="AL27" s="4">
        <v>3</v>
      </c>
      <c r="AM27" s="4">
        <v>10</v>
      </c>
      <c r="AN27" s="4">
        <v>3</v>
      </c>
      <c r="AO27" s="4">
        <v>1</v>
      </c>
      <c r="AP27" s="4">
        <v>0</v>
      </c>
      <c r="AQ27" s="4">
        <v>0</v>
      </c>
      <c r="AR27" s="4">
        <v>0</v>
      </c>
      <c r="AS27" s="4">
        <v>11</v>
      </c>
      <c r="AT27" s="4">
        <v>10</v>
      </c>
      <c r="AU27" s="4">
        <v>10</v>
      </c>
      <c r="AV27" s="4">
        <v>10</v>
      </c>
      <c r="AW27" s="4">
        <v>10</v>
      </c>
      <c r="AX27" s="4">
        <v>12</v>
      </c>
      <c r="AY27" s="4">
        <v>62</v>
      </c>
      <c r="AZ27" s="4">
        <v>114</v>
      </c>
      <c r="BA27" s="4">
        <v>9</v>
      </c>
      <c r="BB27" s="4">
        <v>10</v>
      </c>
      <c r="BC27" s="42">
        <f>2665/1000</f>
        <v>2.665</v>
      </c>
      <c r="BD27" s="42"/>
    </row>
    <row r="28" spans="1:56" s="5" customFormat="1" x14ac:dyDescent="0.25">
      <c r="A28" s="14"/>
      <c r="B28" s="6"/>
      <c r="C28" s="6" t="s">
        <v>9</v>
      </c>
      <c r="D28" s="8">
        <v>2490</v>
      </c>
      <c r="E28" s="8">
        <v>3139</v>
      </c>
      <c r="F28" s="8">
        <v>3308</v>
      </c>
      <c r="G28" s="8">
        <v>3407</v>
      </c>
      <c r="H28" s="8">
        <v>3465</v>
      </c>
      <c r="I28" s="8">
        <v>3595</v>
      </c>
      <c r="J28" s="8">
        <v>3934</v>
      </c>
      <c r="K28" s="8">
        <v>4069</v>
      </c>
      <c r="L28" s="8">
        <v>3466</v>
      </c>
      <c r="M28" s="8">
        <v>3497</v>
      </c>
      <c r="N28" s="8">
        <v>4354</v>
      </c>
      <c r="O28" s="8">
        <v>4319</v>
      </c>
      <c r="P28" s="8">
        <v>4656</v>
      </c>
      <c r="Q28" s="8">
        <v>4217</v>
      </c>
      <c r="R28" s="8">
        <v>5373</v>
      </c>
      <c r="S28" s="8">
        <v>5733</v>
      </c>
      <c r="T28" s="8">
        <v>5793</v>
      </c>
      <c r="U28" s="8">
        <v>6091</v>
      </c>
      <c r="V28" s="8">
        <v>7052</v>
      </c>
      <c r="W28" s="8">
        <v>7162</v>
      </c>
      <c r="X28" s="8">
        <v>7469</v>
      </c>
      <c r="Y28" s="8">
        <v>7670</v>
      </c>
      <c r="Z28" s="8">
        <v>7576</v>
      </c>
      <c r="AA28" s="8">
        <v>7950</v>
      </c>
      <c r="AB28" s="8">
        <v>8150</v>
      </c>
      <c r="AC28" s="8">
        <v>8169</v>
      </c>
      <c r="AD28" s="8">
        <v>8601</v>
      </c>
      <c r="AE28" s="8">
        <v>9616</v>
      </c>
      <c r="AF28" s="8">
        <v>10247</v>
      </c>
      <c r="AG28" s="8">
        <v>10441</v>
      </c>
      <c r="AH28" s="8">
        <v>10266</v>
      </c>
      <c r="AI28" s="8">
        <v>10289</v>
      </c>
      <c r="AJ28" s="8">
        <v>10421</v>
      </c>
      <c r="AK28" s="8">
        <v>10514</v>
      </c>
      <c r="AL28" s="8">
        <v>10383</v>
      </c>
      <c r="AM28" s="8">
        <v>11300</v>
      </c>
      <c r="AN28" s="8">
        <v>11600</v>
      </c>
      <c r="AO28" s="8">
        <v>12100</v>
      </c>
      <c r="AP28" s="8">
        <v>13000</v>
      </c>
      <c r="AQ28" s="8">
        <v>13300</v>
      </c>
      <c r="AR28" s="8">
        <v>12800</v>
      </c>
      <c r="AS28" s="8">
        <v>12900</v>
      </c>
      <c r="AT28" s="8">
        <v>13300</v>
      </c>
      <c r="AU28" s="8">
        <v>13600</v>
      </c>
      <c r="AV28" s="8">
        <v>14000</v>
      </c>
      <c r="AW28" s="8">
        <v>14700</v>
      </c>
      <c r="AX28" s="8">
        <v>15300</v>
      </c>
      <c r="AY28" s="8">
        <v>15800</v>
      </c>
      <c r="AZ28" s="8">
        <v>17200</v>
      </c>
      <c r="BA28" s="8">
        <v>17900</v>
      </c>
      <c r="BB28" s="8">
        <v>17500</v>
      </c>
      <c r="BC28" s="43">
        <f>BC25+BC26-BC27</f>
        <v>18204.521999999997</v>
      </c>
      <c r="BD28" s="43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zoomScaleNormal="100" workbookViewId="0">
      <pane xSplit="6" ySplit="15" topLeftCell="J16" activePane="bottomRight" state="frozen"/>
      <selection pane="topRight" activeCell="G1" sqref="G1"/>
      <selection pane="bottomLeft" activeCell="A16" sqref="A16"/>
      <selection pane="bottomRight" activeCell="O5" sqref="O5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17" width="11.28515625" customWidth="1"/>
  </cols>
  <sheetData>
    <row r="1" spans="1:17" s="1" customFormat="1" ht="10.5" x14ac:dyDescent="0.15">
      <c r="A1" s="9" t="s">
        <v>0</v>
      </c>
      <c r="B1" s="10" t="s">
        <v>1</v>
      </c>
      <c r="C1" s="10" t="s">
        <v>2</v>
      </c>
      <c r="D1" s="10">
        <v>2000</v>
      </c>
      <c r="E1" s="10">
        <v>2001</v>
      </c>
      <c r="F1" s="10">
        <v>2002</v>
      </c>
      <c r="G1" s="10">
        <v>2003</v>
      </c>
      <c r="H1" s="10">
        <v>2004</v>
      </c>
      <c r="I1" s="10">
        <v>2005</v>
      </c>
      <c r="J1" s="10">
        <v>2006</v>
      </c>
      <c r="K1" s="10">
        <v>2007</v>
      </c>
      <c r="L1" s="10">
        <v>2008</v>
      </c>
      <c r="M1" s="10">
        <v>2009</v>
      </c>
      <c r="N1" s="10">
        <v>2010</v>
      </c>
      <c r="O1" s="10">
        <v>2011</v>
      </c>
      <c r="P1" s="10">
        <v>2012</v>
      </c>
      <c r="Q1" s="10">
        <v>2013</v>
      </c>
    </row>
    <row r="2" spans="1:17" x14ac:dyDescent="0.25">
      <c r="A2" s="12" t="s">
        <v>21</v>
      </c>
      <c r="B2" s="2" t="s">
        <v>5</v>
      </c>
      <c r="C2" s="2" t="s">
        <v>6</v>
      </c>
      <c r="D2" s="3">
        <v>57339</v>
      </c>
      <c r="E2" s="3">
        <v>50089</v>
      </c>
      <c r="F2" s="3">
        <v>58022</v>
      </c>
      <c r="G2" s="3">
        <v>57660</v>
      </c>
      <c r="H2" s="3">
        <v>47905</v>
      </c>
      <c r="I2" s="3">
        <v>66471</v>
      </c>
      <c r="J2" s="3">
        <v>60668</v>
      </c>
      <c r="K2" s="3">
        <v>53829</v>
      </c>
      <c r="L2" s="3">
        <v>47555</v>
      </c>
      <c r="M2" s="3">
        <v>62321</v>
      </c>
      <c r="N2" s="3">
        <v>57147</v>
      </c>
      <c r="O2" s="44">
        <f>110655321/1000</f>
        <v>110655.321</v>
      </c>
      <c r="P2" s="42">
        <f>95316150/1000</f>
        <v>95316.15</v>
      </c>
      <c r="Q2" s="42">
        <f>118922268/1000</f>
        <v>118922.268</v>
      </c>
    </row>
    <row r="3" spans="1:17" s="5" customFormat="1" x14ac:dyDescent="0.25">
      <c r="A3" s="14"/>
      <c r="B3" s="6"/>
      <c r="C3" s="6" t="s">
        <v>7</v>
      </c>
      <c r="D3" s="8">
        <v>2384</v>
      </c>
      <c r="E3" s="8">
        <v>3689</v>
      </c>
      <c r="F3" s="8">
        <v>2201</v>
      </c>
      <c r="G3" s="8">
        <v>2824</v>
      </c>
      <c r="H3" s="8">
        <v>5859</v>
      </c>
      <c r="I3" s="8">
        <v>2469</v>
      </c>
      <c r="J3" s="8">
        <v>2673</v>
      </c>
      <c r="K3" s="8">
        <v>7172</v>
      </c>
      <c r="L3" s="8">
        <v>14016</v>
      </c>
      <c r="M3" s="8">
        <v>2754</v>
      </c>
      <c r="N3" s="8">
        <v>2931</v>
      </c>
      <c r="O3" s="47">
        <f>21283978/1000</f>
        <v>21283.977999999999</v>
      </c>
      <c r="P3" s="43"/>
      <c r="Q3" s="43"/>
    </row>
    <row r="4" spans="1:17" x14ac:dyDescent="0.25">
      <c r="A4" s="12"/>
      <c r="B4" s="2"/>
      <c r="C4" s="2" t="s">
        <v>8</v>
      </c>
      <c r="D4" s="3">
        <v>1408</v>
      </c>
      <c r="E4" s="4">
        <v>585</v>
      </c>
      <c r="F4" s="3">
        <v>1258</v>
      </c>
      <c r="G4" s="4">
        <v>756</v>
      </c>
      <c r="H4" s="4">
        <v>455</v>
      </c>
      <c r="I4" s="4">
        <v>678</v>
      </c>
      <c r="J4" s="4">
        <v>449</v>
      </c>
      <c r="K4" s="4">
        <v>664</v>
      </c>
      <c r="L4" s="4">
        <v>591</v>
      </c>
      <c r="M4" s="3">
        <v>1743</v>
      </c>
      <c r="N4" s="3">
        <v>1519</v>
      </c>
      <c r="O4" s="44">
        <f>26972945/1000</f>
        <v>26972.945</v>
      </c>
      <c r="P4" s="42"/>
      <c r="Q4" s="42"/>
    </row>
    <row r="5" spans="1:17" s="5" customFormat="1" x14ac:dyDescent="0.25">
      <c r="A5" s="14"/>
      <c r="B5" s="6"/>
      <c r="C5" s="6" t="s">
        <v>9</v>
      </c>
      <c r="D5" s="8">
        <v>57582</v>
      </c>
      <c r="E5" s="8">
        <v>55108</v>
      </c>
      <c r="F5" s="8">
        <v>58288</v>
      </c>
      <c r="G5" s="8">
        <v>57576</v>
      </c>
      <c r="H5" s="8">
        <v>55764</v>
      </c>
      <c r="I5" s="8">
        <v>63200</v>
      </c>
      <c r="J5" s="8">
        <v>61500</v>
      </c>
      <c r="K5" s="8">
        <v>62400</v>
      </c>
      <c r="L5" s="8">
        <v>64000</v>
      </c>
      <c r="M5" s="8">
        <v>61600</v>
      </c>
      <c r="N5" s="8">
        <v>60000</v>
      </c>
      <c r="O5" s="47">
        <f>O2+O3-O4</f>
        <v>104966.35399999999</v>
      </c>
      <c r="P5" s="43"/>
      <c r="Q5" s="43"/>
    </row>
    <row r="6" spans="1:17" x14ac:dyDescent="0.25">
      <c r="A6" s="12"/>
      <c r="B6" s="2" t="s">
        <v>11</v>
      </c>
      <c r="C6" s="2" t="s">
        <v>6</v>
      </c>
      <c r="D6" s="3">
        <v>1406</v>
      </c>
      <c r="E6" s="3">
        <v>1258</v>
      </c>
      <c r="F6" s="3">
        <v>1375</v>
      </c>
      <c r="G6" s="4">
        <v>993</v>
      </c>
      <c r="H6" s="4">
        <v>825</v>
      </c>
      <c r="I6" s="3">
        <v>1086</v>
      </c>
      <c r="J6" s="3">
        <v>1174</v>
      </c>
      <c r="K6" s="3">
        <v>1228</v>
      </c>
      <c r="L6" s="4">
        <v>723</v>
      </c>
      <c r="M6" s="4">
        <v>639</v>
      </c>
      <c r="N6" s="4">
        <v>835</v>
      </c>
      <c r="O6" s="44">
        <f>5796722/1000</f>
        <v>5796.7219999999998</v>
      </c>
      <c r="P6" s="42">
        <f>5518632/1000</f>
        <v>5518.6319999999996</v>
      </c>
      <c r="Q6" s="42">
        <f>6095570/1000</f>
        <v>6095.57</v>
      </c>
    </row>
    <row r="7" spans="1:17" s="5" customFormat="1" x14ac:dyDescent="0.25">
      <c r="A7" s="14"/>
      <c r="B7" s="6"/>
      <c r="C7" s="6" t="s">
        <v>7</v>
      </c>
      <c r="D7" s="8">
        <v>14122</v>
      </c>
      <c r="E7" s="8">
        <v>17602</v>
      </c>
      <c r="F7" s="8">
        <v>18675</v>
      </c>
      <c r="G7" s="8">
        <v>16943</v>
      </c>
      <c r="H7" s="8">
        <v>14675</v>
      </c>
      <c r="I7" s="8">
        <v>14539</v>
      </c>
      <c r="J7" s="8">
        <v>13937</v>
      </c>
      <c r="K7" s="8">
        <v>15291</v>
      </c>
      <c r="L7" s="8">
        <v>15123</v>
      </c>
      <c r="M7" s="8">
        <v>13213</v>
      </c>
      <c r="N7" s="8">
        <v>12301</v>
      </c>
      <c r="O7" s="47">
        <f>15675745/1000</f>
        <v>15675.745000000001</v>
      </c>
      <c r="P7" s="43"/>
      <c r="Q7" s="43"/>
    </row>
    <row r="8" spans="1:17" x14ac:dyDescent="0.25">
      <c r="A8" s="12"/>
      <c r="B8" s="2"/>
      <c r="C8" s="2" t="s">
        <v>8</v>
      </c>
      <c r="D8" s="4">
        <v>29</v>
      </c>
      <c r="E8" s="4">
        <v>22</v>
      </c>
      <c r="F8" s="4">
        <v>41</v>
      </c>
      <c r="G8" s="4">
        <v>23</v>
      </c>
      <c r="H8" s="4">
        <v>25</v>
      </c>
      <c r="I8" s="4">
        <v>35</v>
      </c>
      <c r="J8" s="4">
        <v>49</v>
      </c>
      <c r="K8" s="4">
        <v>47</v>
      </c>
      <c r="L8" s="4">
        <v>37</v>
      </c>
      <c r="M8" s="4">
        <v>22</v>
      </c>
      <c r="N8" s="4">
        <v>36</v>
      </c>
      <c r="O8" s="44">
        <f>2981564/1000</f>
        <v>2981.5639999999999</v>
      </c>
      <c r="P8" s="42"/>
      <c r="Q8" s="42"/>
    </row>
    <row r="9" spans="1:17" s="5" customFormat="1" x14ac:dyDescent="0.25">
      <c r="A9" s="14"/>
      <c r="B9" s="6"/>
      <c r="C9" s="6" t="s">
        <v>9</v>
      </c>
      <c r="D9" s="8">
        <v>15446</v>
      </c>
      <c r="E9" s="8">
        <v>18546</v>
      </c>
      <c r="F9" s="8">
        <v>19894</v>
      </c>
      <c r="G9" s="8">
        <v>18111</v>
      </c>
      <c r="H9" s="8">
        <v>15445</v>
      </c>
      <c r="I9" s="8">
        <v>15739</v>
      </c>
      <c r="J9" s="8">
        <v>15086</v>
      </c>
      <c r="K9" s="8">
        <v>16087</v>
      </c>
      <c r="L9" s="8">
        <v>16113</v>
      </c>
      <c r="M9" s="8">
        <v>14086</v>
      </c>
      <c r="N9" s="8">
        <v>13381</v>
      </c>
      <c r="O9" s="47">
        <f>O6+O7-O8</f>
        <v>18490.903000000002</v>
      </c>
      <c r="P9" s="43"/>
      <c r="Q9" s="43"/>
    </row>
    <row r="10" spans="1:17" x14ac:dyDescent="0.25">
      <c r="A10" s="12"/>
      <c r="B10" s="2" t="s">
        <v>12</v>
      </c>
      <c r="C10" s="2" t="s">
        <v>6</v>
      </c>
      <c r="D10" s="3">
        <v>1768</v>
      </c>
      <c r="E10" s="3">
        <v>1584</v>
      </c>
      <c r="F10" s="3">
        <v>1639</v>
      </c>
      <c r="G10" s="3">
        <v>1741</v>
      </c>
      <c r="H10" s="3">
        <v>1741</v>
      </c>
      <c r="I10" s="3">
        <v>1880</v>
      </c>
      <c r="J10" s="3">
        <v>1731</v>
      </c>
      <c r="K10" s="3">
        <v>1676</v>
      </c>
      <c r="L10" s="3">
        <v>1757</v>
      </c>
      <c r="M10" s="3">
        <v>1620</v>
      </c>
      <c r="N10" s="3">
        <v>1995</v>
      </c>
      <c r="O10" s="44">
        <f>4338944/1000</f>
        <v>4338.9440000000004</v>
      </c>
      <c r="P10" s="43">
        <f>4338944/1000</f>
        <v>4338.9440000000004</v>
      </c>
      <c r="Q10" s="43">
        <f>3895060/1000</f>
        <v>3895.06</v>
      </c>
    </row>
    <row r="11" spans="1:17" s="5" customFormat="1" x14ac:dyDescent="0.25">
      <c r="A11" s="14"/>
      <c r="B11" s="6"/>
      <c r="C11" s="6" t="s">
        <v>7</v>
      </c>
      <c r="D11" s="8">
        <v>1207</v>
      </c>
      <c r="E11" s="8">
        <v>1310</v>
      </c>
      <c r="F11" s="8">
        <v>1254</v>
      </c>
      <c r="G11" s="8">
        <v>1288</v>
      </c>
      <c r="H11" s="8">
        <v>1125</v>
      </c>
      <c r="I11" s="8">
        <v>1095</v>
      </c>
      <c r="J11" s="8">
        <v>1124</v>
      </c>
      <c r="K11" s="8">
        <v>1340</v>
      </c>
      <c r="L11" s="8">
        <v>1568</v>
      </c>
      <c r="M11" s="8">
        <v>1339</v>
      </c>
      <c r="N11" s="8">
        <v>1242</v>
      </c>
      <c r="O11" s="47">
        <f>3578823/1000</f>
        <v>3578.8229999999999</v>
      </c>
      <c r="P11" s="43"/>
      <c r="Q11" s="43"/>
    </row>
    <row r="12" spans="1:17" x14ac:dyDescent="0.25">
      <c r="A12" s="12"/>
      <c r="B12" s="2"/>
      <c r="C12" s="2" t="s">
        <v>8</v>
      </c>
      <c r="D12" s="4">
        <v>364</v>
      </c>
      <c r="E12" s="4">
        <v>286</v>
      </c>
      <c r="F12" s="4">
        <v>336</v>
      </c>
      <c r="G12" s="4">
        <v>250</v>
      </c>
      <c r="H12" s="4">
        <v>225</v>
      </c>
      <c r="I12" s="4">
        <v>175</v>
      </c>
      <c r="J12" s="4">
        <v>161</v>
      </c>
      <c r="K12" s="4">
        <v>148</v>
      </c>
      <c r="L12" s="4">
        <v>152</v>
      </c>
      <c r="M12" s="4">
        <v>140</v>
      </c>
      <c r="N12" s="4">
        <v>228</v>
      </c>
      <c r="O12" s="44">
        <f>2030308/1000</f>
        <v>2030.308</v>
      </c>
      <c r="P12" s="42"/>
      <c r="Q12" s="42"/>
    </row>
    <row r="13" spans="1:17" s="5" customFormat="1" x14ac:dyDescent="0.25">
      <c r="A13" s="14"/>
      <c r="B13" s="6"/>
      <c r="C13" s="6" t="s">
        <v>9</v>
      </c>
      <c r="D13" s="8">
        <v>2544</v>
      </c>
      <c r="E13" s="8">
        <v>2608</v>
      </c>
      <c r="F13" s="8">
        <v>2567</v>
      </c>
      <c r="G13" s="8">
        <v>2697</v>
      </c>
      <c r="H13" s="8">
        <v>2627</v>
      </c>
      <c r="I13" s="8">
        <v>2636</v>
      </c>
      <c r="J13" s="8">
        <v>2651</v>
      </c>
      <c r="K13" s="8">
        <v>2911</v>
      </c>
      <c r="L13" s="8">
        <v>3185</v>
      </c>
      <c r="M13" s="8">
        <v>2925</v>
      </c>
      <c r="N13" s="8">
        <v>3000</v>
      </c>
      <c r="O13" s="47">
        <f>O10+O11-O12</f>
        <v>5887.4589999999998</v>
      </c>
      <c r="P13" s="43"/>
      <c r="Q13" s="43"/>
    </row>
    <row r="14" spans="1:17" x14ac:dyDescent="0.25">
      <c r="A14" s="12"/>
      <c r="B14" s="2" t="s">
        <v>13</v>
      </c>
      <c r="C14" s="2" t="s">
        <v>6</v>
      </c>
      <c r="D14" s="4">
        <v>562</v>
      </c>
      <c r="E14" s="4">
        <v>633</v>
      </c>
      <c r="F14" s="4">
        <v>658</v>
      </c>
      <c r="G14" s="4">
        <v>706</v>
      </c>
      <c r="H14" s="4">
        <v>385</v>
      </c>
      <c r="I14" s="4">
        <v>499</v>
      </c>
      <c r="J14" s="4">
        <v>489</v>
      </c>
      <c r="K14" s="4">
        <v>542</v>
      </c>
      <c r="L14" s="4">
        <v>525</v>
      </c>
      <c r="M14" s="4">
        <v>517</v>
      </c>
      <c r="N14" s="4">
        <v>615</v>
      </c>
      <c r="O14" s="44">
        <f>933372/1000</f>
        <v>933.37199999999996</v>
      </c>
      <c r="P14" s="42">
        <f>775960/1000</f>
        <v>775.96</v>
      </c>
      <c r="Q14" s="42">
        <f>1251869/1000</f>
        <v>1251.8689999999999</v>
      </c>
    </row>
    <row r="15" spans="1:17" s="5" customFormat="1" x14ac:dyDescent="0.25">
      <c r="A15" s="14"/>
      <c r="B15" s="6"/>
      <c r="C15" s="6" t="s">
        <v>7</v>
      </c>
      <c r="D15" s="7">
        <v>265</v>
      </c>
      <c r="E15" s="7">
        <v>11</v>
      </c>
      <c r="F15" s="7">
        <v>42</v>
      </c>
      <c r="G15" s="7">
        <v>17</v>
      </c>
      <c r="H15" s="8">
        <v>1556</v>
      </c>
      <c r="I15" s="7">
        <v>227</v>
      </c>
      <c r="J15" s="7">
        <v>51</v>
      </c>
      <c r="K15" s="7">
        <v>653</v>
      </c>
      <c r="L15" s="8">
        <v>5841</v>
      </c>
      <c r="M15" s="7">
        <v>359</v>
      </c>
      <c r="N15" s="7">
        <v>6</v>
      </c>
      <c r="O15" s="47">
        <f>768851/1000</f>
        <v>768.851</v>
      </c>
      <c r="P15" s="43"/>
      <c r="Q15" s="43"/>
    </row>
    <row r="16" spans="1:17" x14ac:dyDescent="0.25">
      <c r="A16" s="12"/>
      <c r="B16" s="2"/>
      <c r="C16" s="2" t="s">
        <v>8</v>
      </c>
      <c r="D16" s="4">
        <v>53</v>
      </c>
      <c r="E16" s="4">
        <v>12</v>
      </c>
      <c r="F16" s="4">
        <v>3</v>
      </c>
      <c r="G16" s="4">
        <v>13</v>
      </c>
      <c r="H16" s="4">
        <v>6</v>
      </c>
      <c r="I16" s="4">
        <v>3</v>
      </c>
      <c r="J16" s="4">
        <v>1</v>
      </c>
      <c r="K16" s="4">
        <v>1</v>
      </c>
      <c r="L16" s="4">
        <v>4</v>
      </c>
      <c r="M16" s="4">
        <v>8</v>
      </c>
      <c r="N16" s="4">
        <v>7</v>
      </c>
      <c r="O16" s="44">
        <f>171247/1000</f>
        <v>171.24700000000001</v>
      </c>
      <c r="P16" s="42"/>
      <c r="Q16" s="42"/>
    </row>
    <row r="17" spans="1:17" s="5" customFormat="1" x14ac:dyDescent="0.25">
      <c r="A17" s="14"/>
      <c r="B17" s="6"/>
      <c r="C17" s="6" t="s">
        <v>9</v>
      </c>
      <c r="D17" s="7">
        <v>780</v>
      </c>
      <c r="E17" s="7">
        <v>645</v>
      </c>
      <c r="F17" s="7">
        <v>684</v>
      </c>
      <c r="G17" s="7">
        <v>682</v>
      </c>
      <c r="H17" s="8">
        <v>1980</v>
      </c>
      <c r="I17" s="7">
        <v>505</v>
      </c>
      <c r="J17" s="7">
        <v>680</v>
      </c>
      <c r="K17" s="8">
        <v>1280</v>
      </c>
      <c r="L17" s="8">
        <v>6305</v>
      </c>
      <c r="M17" s="7">
        <v>905</v>
      </c>
      <c r="N17" s="7">
        <v>630</v>
      </c>
      <c r="O17" s="47">
        <f>O14+O15-O16</f>
        <v>1530.9759999999999</v>
      </c>
      <c r="P17" s="43"/>
      <c r="Q17" s="43"/>
    </row>
    <row r="18" spans="1:17" x14ac:dyDescent="0.25">
      <c r="A18" s="12" t="s">
        <v>21</v>
      </c>
      <c r="B18" s="2" t="s">
        <v>14</v>
      </c>
      <c r="C18" s="2" t="s">
        <v>42</v>
      </c>
      <c r="D18" s="44">
        <f>110178/1000</f>
        <v>110.178</v>
      </c>
      <c r="E18" s="44">
        <f>89845/1000</f>
        <v>89.844999999999999</v>
      </c>
      <c r="F18" s="44">
        <f>82604/1000</f>
        <v>82.603999999999999</v>
      </c>
      <c r="G18" s="44">
        <f>87349/1000</f>
        <v>87.349000000000004</v>
      </c>
      <c r="H18" s="44">
        <f>70810/1000</f>
        <v>70.81</v>
      </c>
      <c r="I18" s="44">
        <f>47405/1000</f>
        <v>47.405000000000001</v>
      </c>
      <c r="J18" s="44">
        <f>21425/1000</f>
        <v>21.425000000000001</v>
      </c>
      <c r="K18" s="44">
        <f>5622/1000</f>
        <v>5.6219999999999999</v>
      </c>
      <c r="L18" s="44">
        <f>5100/1000</f>
        <v>5.0999999999999996</v>
      </c>
      <c r="M18" s="44">
        <f>5150/1000</f>
        <v>5.15</v>
      </c>
      <c r="N18" s="44">
        <f>5320/1000</f>
        <v>5.32</v>
      </c>
      <c r="O18" s="45">
        <f>5300/1000</f>
        <v>5.3</v>
      </c>
      <c r="P18" s="42">
        <f>5400/1000</f>
        <v>5.4</v>
      </c>
      <c r="Q18" s="42">
        <f>5450/1000</f>
        <v>5.45</v>
      </c>
    </row>
    <row r="19" spans="1:17" s="5" customFormat="1" x14ac:dyDescent="0.25">
      <c r="A19" s="12" t="s">
        <v>46</v>
      </c>
      <c r="B19" s="6"/>
      <c r="C19" s="6" t="s">
        <v>45</v>
      </c>
      <c r="D19" s="47">
        <v>0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3530</v>
      </c>
      <c r="L19" s="47">
        <v>2948</v>
      </c>
      <c r="M19" s="47">
        <v>3180</v>
      </c>
      <c r="N19" s="47">
        <v>2620</v>
      </c>
      <c r="O19" s="48">
        <v>3575</v>
      </c>
      <c r="P19" s="43"/>
      <c r="Q19" s="43"/>
    </row>
    <row r="20" spans="1:17" x14ac:dyDescent="0.25">
      <c r="A20" s="12" t="s">
        <v>47</v>
      </c>
      <c r="B20" s="2"/>
      <c r="C20" s="2" t="s">
        <v>44</v>
      </c>
      <c r="D20" s="44">
        <v>0</v>
      </c>
      <c r="E20" s="44">
        <v>0</v>
      </c>
      <c r="F20" s="44">
        <v>0</v>
      </c>
      <c r="G20" s="44">
        <v>0</v>
      </c>
      <c r="H20" s="44">
        <v>0</v>
      </c>
      <c r="I20" s="44">
        <v>0</v>
      </c>
      <c r="J20" s="44">
        <v>0</v>
      </c>
      <c r="K20" s="44">
        <v>2439</v>
      </c>
      <c r="L20" s="44">
        <v>1656</v>
      </c>
      <c r="M20" s="44">
        <v>1332</v>
      </c>
      <c r="N20" s="44">
        <v>2407</v>
      </c>
      <c r="O20" s="45">
        <v>1460</v>
      </c>
      <c r="P20" s="42"/>
      <c r="Q20" s="42"/>
    </row>
    <row r="21" spans="1:17" s="5" customFormat="1" ht="30" x14ac:dyDescent="0.25">
      <c r="A21" s="12" t="s">
        <v>48</v>
      </c>
      <c r="B21" s="6"/>
      <c r="C21" s="6" t="s">
        <v>43</v>
      </c>
      <c r="D21" s="47">
        <f>D18+D19-D20</f>
        <v>110.178</v>
      </c>
      <c r="E21" s="47">
        <f t="shared" ref="E21:O21" si="0">E18+E19-E20</f>
        <v>89.844999999999999</v>
      </c>
      <c r="F21" s="47">
        <f t="shared" si="0"/>
        <v>82.603999999999999</v>
      </c>
      <c r="G21" s="47">
        <f t="shared" si="0"/>
        <v>87.349000000000004</v>
      </c>
      <c r="H21" s="47">
        <f t="shared" si="0"/>
        <v>70.81</v>
      </c>
      <c r="I21" s="47">
        <f t="shared" si="0"/>
        <v>47.405000000000001</v>
      </c>
      <c r="J21" s="47">
        <f t="shared" si="0"/>
        <v>21.425000000000001</v>
      </c>
      <c r="K21" s="47">
        <f t="shared" si="0"/>
        <v>1096.6219999999998</v>
      </c>
      <c r="L21" s="47">
        <f t="shared" si="0"/>
        <v>1297.0999999999999</v>
      </c>
      <c r="M21" s="47">
        <f t="shared" si="0"/>
        <v>1853.15</v>
      </c>
      <c r="N21" s="47">
        <f t="shared" si="0"/>
        <v>218.32000000000016</v>
      </c>
      <c r="O21" s="47">
        <f t="shared" si="0"/>
        <v>2120.3000000000002</v>
      </c>
      <c r="P21" s="43"/>
      <c r="Q21" s="43"/>
    </row>
    <row r="22" spans="1:17" s="5" customFormat="1" x14ac:dyDescent="0.25">
      <c r="A22" s="14"/>
      <c r="B22" s="6" t="s">
        <v>15</v>
      </c>
      <c r="C22" s="6" t="s">
        <v>6</v>
      </c>
      <c r="D22" s="8">
        <v>122441</v>
      </c>
      <c r="E22" s="8">
        <v>131697</v>
      </c>
      <c r="F22" s="8">
        <v>123353</v>
      </c>
      <c r="G22" s="8">
        <v>132579</v>
      </c>
      <c r="H22" s="8">
        <v>110578</v>
      </c>
      <c r="I22" s="8">
        <v>146886</v>
      </c>
      <c r="J22" s="8">
        <v>132356</v>
      </c>
      <c r="K22" s="8">
        <v>124870</v>
      </c>
      <c r="L22" s="8">
        <v>120133</v>
      </c>
      <c r="M22" s="8">
        <v>151122</v>
      </c>
      <c r="N22" s="8">
        <v>138051</v>
      </c>
      <c r="O22" s="47">
        <f>223885070/1000</f>
        <v>223885.07</v>
      </c>
      <c r="P22" s="43">
        <f>196013713/1000</f>
        <v>196013.71299999999</v>
      </c>
      <c r="Q22" s="43">
        <f>225741316/1000</f>
        <v>225741.31599999999</v>
      </c>
    </row>
    <row r="23" spans="1:17" x14ac:dyDescent="0.25">
      <c r="A23" s="12"/>
      <c r="B23" s="2"/>
      <c r="C23" s="2" t="s">
        <v>7</v>
      </c>
      <c r="D23" s="3">
        <v>3956</v>
      </c>
      <c r="E23" s="3">
        <v>3536</v>
      </c>
      <c r="F23" s="3">
        <v>8720</v>
      </c>
      <c r="G23" s="3">
        <v>10686</v>
      </c>
      <c r="H23" s="3">
        <v>7374</v>
      </c>
      <c r="I23" s="3">
        <v>7061</v>
      </c>
      <c r="J23" s="3">
        <v>6755</v>
      </c>
      <c r="K23" s="3">
        <v>5233</v>
      </c>
      <c r="L23" s="3">
        <v>6933</v>
      </c>
      <c r="M23" s="3">
        <v>7737</v>
      </c>
      <c r="N23" s="3">
        <v>5480</v>
      </c>
      <c r="O23" s="44">
        <f>32277358/1000</f>
        <v>32277.358</v>
      </c>
      <c r="P23" s="42"/>
      <c r="Q23" s="42"/>
    </row>
    <row r="24" spans="1:17" s="5" customFormat="1" x14ac:dyDescent="0.25">
      <c r="A24" s="14"/>
      <c r="B24" s="6"/>
      <c r="C24" s="6" t="s">
        <v>8</v>
      </c>
      <c r="D24" s="8">
        <v>20380</v>
      </c>
      <c r="E24" s="8">
        <v>15675</v>
      </c>
      <c r="F24" s="8">
        <v>12751</v>
      </c>
      <c r="G24" s="8">
        <v>18132</v>
      </c>
      <c r="H24" s="8">
        <v>9834</v>
      </c>
      <c r="I24" s="8">
        <v>14745</v>
      </c>
      <c r="J24" s="8">
        <v>15701</v>
      </c>
      <c r="K24" s="8">
        <v>13813</v>
      </c>
      <c r="L24" s="8">
        <v>12272</v>
      </c>
      <c r="M24" s="8">
        <v>25319</v>
      </c>
      <c r="N24" s="8">
        <v>22117</v>
      </c>
      <c r="O24" s="47">
        <f>62311463/1000</f>
        <v>62311.463000000003</v>
      </c>
      <c r="P24" s="43"/>
      <c r="Q24" s="43"/>
    </row>
    <row r="25" spans="1:17" x14ac:dyDescent="0.25">
      <c r="A25" s="12"/>
      <c r="B25" s="2"/>
      <c r="C25" s="2" t="s">
        <v>9</v>
      </c>
      <c r="D25" s="3">
        <v>113228</v>
      </c>
      <c r="E25" s="3">
        <v>118354</v>
      </c>
      <c r="F25" s="3">
        <v>118456</v>
      </c>
      <c r="G25" s="3">
        <v>124991</v>
      </c>
      <c r="H25" s="3">
        <v>115095</v>
      </c>
      <c r="I25" s="3">
        <v>123220</v>
      </c>
      <c r="J25" s="3">
        <v>127525</v>
      </c>
      <c r="K25" s="3">
        <v>125500</v>
      </c>
      <c r="L25" s="3">
        <v>116536</v>
      </c>
      <c r="M25" s="3">
        <v>127000</v>
      </c>
      <c r="N25" s="3">
        <v>124500</v>
      </c>
      <c r="O25" s="44">
        <f>O22+O23-O24</f>
        <v>193850.96500000003</v>
      </c>
      <c r="P25" s="42"/>
      <c r="Q25" s="42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9"/>
  <sheetViews>
    <sheetView zoomScaleNormal="100" workbookViewId="0">
      <pane xSplit="6" ySplit="15" topLeftCell="AV16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46">
        <v>2012</v>
      </c>
      <c r="BD1" s="46">
        <v>2013</v>
      </c>
    </row>
    <row r="2" spans="1:56" s="5" customFormat="1" x14ac:dyDescent="0.25">
      <c r="A2" s="14" t="s">
        <v>22</v>
      </c>
      <c r="B2" s="6" t="s">
        <v>5</v>
      </c>
      <c r="C2" s="6" t="s">
        <v>6</v>
      </c>
      <c r="D2" s="8">
        <v>4109</v>
      </c>
      <c r="E2" s="8">
        <v>4322</v>
      </c>
      <c r="F2" s="8">
        <v>4616</v>
      </c>
      <c r="G2" s="8">
        <v>4571</v>
      </c>
      <c r="H2" s="8">
        <v>4663</v>
      </c>
      <c r="I2" s="8">
        <v>4823</v>
      </c>
      <c r="J2" s="8">
        <v>4894</v>
      </c>
      <c r="K2" s="8">
        <v>6269</v>
      </c>
      <c r="L2" s="8">
        <v>5701</v>
      </c>
      <c r="M2" s="8">
        <v>5674</v>
      </c>
      <c r="N2" s="8">
        <v>7486</v>
      </c>
      <c r="O2" s="8">
        <v>5101</v>
      </c>
      <c r="P2" s="8">
        <v>6388</v>
      </c>
      <c r="Q2" s="8">
        <v>5804</v>
      </c>
      <c r="R2" s="8">
        <v>5559</v>
      </c>
      <c r="S2" s="8">
        <v>7256</v>
      </c>
      <c r="T2" s="8">
        <v>6361</v>
      </c>
      <c r="U2" s="8">
        <v>5973</v>
      </c>
      <c r="V2" s="8">
        <v>6199</v>
      </c>
      <c r="W2" s="8">
        <v>5603</v>
      </c>
      <c r="X2" s="8">
        <v>6957</v>
      </c>
      <c r="Y2" s="8">
        <v>6897</v>
      </c>
      <c r="Z2" s="8">
        <v>6549</v>
      </c>
      <c r="AA2" s="8">
        <v>7922</v>
      </c>
      <c r="AB2" s="8">
        <v>8442</v>
      </c>
      <c r="AC2" s="8">
        <v>6643</v>
      </c>
      <c r="AD2" s="8">
        <v>7457</v>
      </c>
      <c r="AE2" s="8">
        <v>5721</v>
      </c>
      <c r="AF2" s="8">
        <v>8229</v>
      </c>
      <c r="AG2" s="8">
        <v>9651</v>
      </c>
      <c r="AH2" s="8">
        <v>8962</v>
      </c>
      <c r="AI2" s="8">
        <v>8060</v>
      </c>
      <c r="AJ2" s="8">
        <v>9992</v>
      </c>
      <c r="AK2" s="8">
        <v>9600</v>
      </c>
      <c r="AL2" s="8">
        <v>8884</v>
      </c>
      <c r="AM2" s="8">
        <v>9530</v>
      </c>
      <c r="AN2" s="8">
        <v>10612</v>
      </c>
      <c r="AO2" s="8">
        <v>10852</v>
      </c>
      <c r="AP2" s="8">
        <v>10680</v>
      </c>
      <c r="AQ2" s="8">
        <v>11470</v>
      </c>
      <c r="AR2" s="8">
        <v>12068</v>
      </c>
      <c r="AS2" s="8">
        <v>13510</v>
      </c>
      <c r="AT2" s="8">
        <v>11100</v>
      </c>
      <c r="AU2" s="8">
        <v>14980</v>
      </c>
      <c r="AV2" s="8">
        <v>14180</v>
      </c>
      <c r="AW2" s="8">
        <v>14710</v>
      </c>
      <c r="AX2" s="8">
        <v>15100</v>
      </c>
      <c r="AY2" s="8">
        <v>18960</v>
      </c>
      <c r="AZ2" s="8">
        <v>19730</v>
      </c>
      <c r="BA2" s="8">
        <v>16720</v>
      </c>
      <c r="BB2" s="47">
        <f>21760000/1000</f>
        <v>21760</v>
      </c>
      <c r="BC2" s="43">
        <f>22260000/1000</f>
        <v>22260</v>
      </c>
      <c r="BD2" s="43">
        <f>23290000/1000</f>
        <v>23290</v>
      </c>
    </row>
    <row r="3" spans="1:56" x14ac:dyDescent="0.25">
      <c r="A3" s="12"/>
      <c r="B3" s="2"/>
      <c r="C3" s="2" t="s">
        <v>7</v>
      </c>
      <c r="D3" s="4">
        <v>138</v>
      </c>
      <c r="E3" s="4">
        <v>91</v>
      </c>
      <c r="F3" s="4">
        <v>110</v>
      </c>
      <c r="G3" s="4">
        <v>82</v>
      </c>
      <c r="H3" s="4">
        <v>136</v>
      </c>
      <c r="I3" s="4">
        <v>123</v>
      </c>
      <c r="J3" s="4">
        <v>107</v>
      </c>
      <c r="K3" s="4">
        <v>75</v>
      </c>
      <c r="L3" s="4">
        <v>1</v>
      </c>
      <c r="M3" s="4">
        <v>39</v>
      </c>
      <c r="N3" s="4">
        <v>14</v>
      </c>
      <c r="O3" s="4">
        <v>0</v>
      </c>
      <c r="P3" s="4">
        <v>0</v>
      </c>
      <c r="Q3" s="4">
        <v>6</v>
      </c>
      <c r="R3" s="4">
        <v>0</v>
      </c>
      <c r="S3" s="4">
        <v>0</v>
      </c>
      <c r="T3" s="4">
        <v>47</v>
      </c>
      <c r="U3" s="4">
        <v>0</v>
      </c>
      <c r="V3" s="4">
        <v>6</v>
      </c>
      <c r="W3" s="4">
        <v>16</v>
      </c>
      <c r="X3" s="4">
        <v>10</v>
      </c>
      <c r="Y3" s="4">
        <v>0</v>
      </c>
      <c r="Z3" s="4">
        <v>0</v>
      </c>
      <c r="AA3" s="4">
        <v>0</v>
      </c>
      <c r="AB3" s="4">
        <v>0</v>
      </c>
      <c r="AC3" s="4">
        <v>0</v>
      </c>
      <c r="AD3" s="4">
        <v>0</v>
      </c>
      <c r="AE3" s="4">
        <v>275</v>
      </c>
      <c r="AF3" s="4">
        <v>200</v>
      </c>
      <c r="AG3" s="4">
        <v>0</v>
      </c>
      <c r="AH3" s="4">
        <v>0</v>
      </c>
      <c r="AI3" s="4">
        <v>0</v>
      </c>
      <c r="AJ3" s="4">
        <v>1</v>
      </c>
      <c r="AK3" s="4">
        <v>0</v>
      </c>
      <c r="AL3" s="4">
        <v>1</v>
      </c>
      <c r="AM3" s="4">
        <v>0</v>
      </c>
      <c r="AN3" s="4">
        <v>0</v>
      </c>
      <c r="AO3" s="4">
        <v>1</v>
      </c>
      <c r="AP3" s="4">
        <v>175</v>
      </c>
      <c r="AQ3" s="4">
        <v>250</v>
      </c>
      <c r="AR3" s="4">
        <v>50</v>
      </c>
      <c r="AS3" s="4">
        <v>1</v>
      </c>
      <c r="AT3" s="4">
        <v>1</v>
      </c>
      <c r="AU3" s="4">
        <v>0</v>
      </c>
      <c r="AV3" s="4">
        <v>3</v>
      </c>
      <c r="AW3" s="4">
        <v>4</v>
      </c>
      <c r="AX3" s="4">
        <v>4</v>
      </c>
      <c r="AY3" s="4">
        <v>4</v>
      </c>
      <c r="AZ3" s="4">
        <v>13</v>
      </c>
      <c r="BA3" s="4">
        <v>20</v>
      </c>
      <c r="BB3" s="44">
        <f>12261/1000</f>
        <v>12.260999999999999</v>
      </c>
      <c r="BC3" s="42"/>
      <c r="BD3" s="42"/>
    </row>
    <row r="4" spans="1:56" s="5" customFormat="1" x14ac:dyDescent="0.25">
      <c r="A4" s="14"/>
      <c r="B4" s="6"/>
      <c r="C4" s="6" t="s">
        <v>8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7">
        <v>0</v>
      </c>
      <c r="R4" s="7">
        <v>0</v>
      </c>
      <c r="S4" s="7">
        <v>0</v>
      </c>
      <c r="T4" s="7">
        <v>0</v>
      </c>
      <c r="U4" s="7">
        <v>0</v>
      </c>
      <c r="V4" s="7">
        <v>0</v>
      </c>
      <c r="W4" s="7">
        <v>0</v>
      </c>
      <c r="X4" s="7">
        <v>10</v>
      </c>
      <c r="Y4" s="7">
        <v>10</v>
      </c>
      <c r="Z4" s="7">
        <v>0</v>
      </c>
      <c r="AA4" s="7">
        <v>5</v>
      </c>
      <c r="AB4" s="7">
        <v>6</v>
      </c>
      <c r="AC4" s="7">
        <v>5</v>
      </c>
      <c r="AD4" s="7">
        <v>5</v>
      </c>
      <c r="AE4" s="7">
        <v>0</v>
      </c>
      <c r="AF4" s="7">
        <v>0</v>
      </c>
      <c r="AG4" s="7">
        <v>0</v>
      </c>
      <c r="AH4" s="7">
        <v>1</v>
      </c>
      <c r="AI4" s="7">
        <v>4</v>
      </c>
      <c r="AJ4" s="7">
        <v>28</v>
      </c>
      <c r="AK4" s="7">
        <v>36</v>
      </c>
      <c r="AL4" s="7">
        <v>17</v>
      </c>
      <c r="AM4" s="7">
        <v>42</v>
      </c>
      <c r="AN4" s="7">
        <v>8</v>
      </c>
      <c r="AO4" s="7">
        <v>7</v>
      </c>
      <c r="AP4" s="7">
        <v>2</v>
      </c>
      <c r="AQ4" s="7">
        <v>17</v>
      </c>
      <c r="AR4" s="7">
        <v>95</v>
      </c>
      <c r="AS4" s="7">
        <v>25</v>
      </c>
      <c r="AT4" s="7">
        <v>50</v>
      </c>
      <c r="AU4" s="8">
        <v>1257</v>
      </c>
      <c r="AV4" s="7">
        <v>448</v>
      </c>
      <c r="AW4" s="7">
        <v>521</v>
      </c>
      <c r="AX4" s="8">
        <v>1208</v>
      </c>
      <c r="AY4" s="8">
        <v>4473</v>
      </c>
      <c r="AZ4" s="8">
        <v>2608</v>
      </c>
      <c r="BA4" s="8">
        <v>1850</v>
      </c>
      <c r="BB4" s="47">
        <f>3952102/1000</f>
        <v>3952.1019999999999</v>
      </c>
      <c r="BC4" s="43"/>
      <c r="BD4" s="43"/>
    </row>
    <row r="5" spans="1:56" x14ac:dyDescent="0.25">
      <c r="A5" s="12"/>
      <c r="B5" s="2"/>
      <c r="C5" s="2" t="s">
        <v>9</v>
      </c>
      <c r="D5" s="3">
        <v>4255</v>
      </c>
      <c r="E5" s="3">
        <v>4364</v>
      </c>
      <c r="F5" s="3">
        <v>4676</v>
      </c>
      <c r="G5" s="3">
        <v>4589</v>
      </c>
      <c r="H5" s="3">
        <v>4749</v>
      </c>
      <c r="I5" s="3">
        <v>4946</v>
      </c>
      <c r="J5" s="3">
        <v>5051</v>
      </c>
      <c r="K5" s="3">
        <v>6044</v>
      </c>
      <c r="L5" s="3">
        <v>6002</v>
      </c>
      <c r="M5" s="3">
        <v>6413</v>
      </c>
      <c r="N5" s="3">
        <v>7500</v>
      </c>
      <c r="O5" s="3">
        <v>5301</v>
      </c>
      <c r="P5" s="3">
        <v>6288</v>
      </c>
      <c r="Q5" s="3">
        <v>5860</v>
      </c>
      <c r="R5" s="3">
        <v>5709</v>
      </c>
      <c r="S5" s="3">
        <v>6156</v>
      </c>
      <c r="T5" s="3">
        <v>6408</v>
      </c>
      <c r="U5" s="3">
        <v>6373</v>
      </c>
      <c r="V5" s="3">
        <v>6605</v>
      </c>
      <c r="W5" s="3">
        <v>5769</v>
      </c>
      <c r="X5" s="3">
        <v>6807</v>
      </c>
      <c r="Y5" s="3">
        <v>6987</v>
      </c>
      <c r="Z5" s="3">
        <v>6649</v>
      </c>
      <c r="AA5" s="3">
        <v>7717</v>
      </c>
      <c r="AB5" s="3">
        <v>8436</v>
      </c>
      <c r="AC5" s="3">
        <v>7038</v>
      </c>
      <c r="AD5" s="3">
        <v>7502</v>
      </c>
      <c r="AE5" s="3">
        <v>5996</v>
      </c>
      <c r="AF5" s="3">
        <v>8179</v>
      </c>
      <c r="AG5" s="3">
        <v>9451</v>
      </c>
      <c r="AH5" s="3">
        <v>9261</v>
      </c>
      <c r="AI5" s="3">
        <v>8156</v>
      </c>
      <c r="AJ5" s="3">
        <v>9965</v>
      </c>
      <c r="AK5" s="3">
        <v>9564</v>
      </c>
      <c r="AL5" s="3">
        <v>8868</v>
      </c>
      <c r="AM5" s="3">
        <v>9488</v>
      </c>
      <c r="AN5" s="3">
        <v>10304</v>
      </c>
      <c r="AO5" s="3">
        <v>10946</v>
      </c>
      <c r="AP5" s="3">
        <v>10853</v>
      </c>
      <c r="AQ5" s="3">
        <v>11350</v>
      </c>
      <c r="AR5" s="3">
        <v>11950</v>
      </c>
      <c r="AS5" s="3">
        <v>13050</v>
      </c>
      <c r="AT5" s="3">
        <v>12000</v>
      </c>
      <c r="AU5" s="3">
        <v>13500</v>
      </c>
      <c r="AV5" s="3">
        <v>13900</v>
      </c>
      <c r="AW5" s="3">
        <v>14200</v>
      </c>
      <c r="AX5" s="3">
        <v>13900</v>
      </c>
      <c r="AY5" s="3">
        <v>14200</v>
      </c>
      <c r="AZ5" s="3">
        <v>17000</v>
      </c>
      <c r="BA5" s="3">
        <v>15100</v>
      </c>
      <c r="BB5" s="44">
        <f>BB2+BB3-BB4</f>
        <v>17820.159</v>
      </c>
      <c r="BC5" s="42"/>
      <c r="BD5" s="42"/>
    </row>
    <row r="6" spans="1:56" s="5" customFormat="1" x14ac:dyDescent="0.25">
      <c r="A6" s="14"/>
      <c r="B6" s="6" t="s">
        <v>10</v>
      </c>
      <c r="C6" s="6" t="s">
        <v>6</v>
      </c>
      <c r="D6" s="8">
        <v>4694</v>
      </c>
      <c r="E6" s="8">
        <v>4109</v>
      </c>
      <c r="F6" s="8">
        <v>4989</v>
      </c>
      <c r="G6" s="8">
        <v>5068</v>
      </c>
      <c r="H6" s="8">
        <v>4737</v>
      </c>
      <c r="I6" s="8">
        <v>4413</v>
      </c>
      <c r="J6" s="8">
        <v>4407</v>
      </c>
      <c r="K6" s="8">
        <v>5184</v>
      </c>
      <c r="L6" s="8">
        <v>4754</v>
      </c>
      <c r="M6" s="8">
        <v>4795</v>
      </c>
      <c r="N6" s="8">
        <v>4423</v>
      </c>
      <c r="O6" s="8">
        <v>5787</v>
      </c>
      <c r="P6" s="8">
        <v>5167</v>
      </c>
      <c r="Q6" s="8">
        <v>4958</v>
      </c>
      <c r="R6" s="8">
        <v>5505</v>
      </c>
      <c r="S6" s="8">
        <v>5192</v>
      </c>
      <c r="T6" s="8">
        <v>4646</v>
      </c>
      <c r="U6" s="8">
        <v>5645</v>
      </c>
      <c r="V6" s="8">
        <v>6192</v>
      </c>
      <c r="W6" s="8">
        <v>6262</v>
      </c>
      <c r="X6" s="8">
        <v>6071</v>
      </c>
      <c r="Y6" s="8">
        <v>6559</v>
      </c>
      <c r="Z6" s="8">
        <v>6755</v>
      </c>
      <c r="AA6" s="8">
        <v>6122</v>
      </c>
      <c r="AB6" s="8">
        <v>8360</v>
      </c>
      <c r="AC6" s="8">
        <v>9021</v>
      </c>
      <c r="AD6" s="8">
        <v>7254</v>
      </c>
      <c r="AE6" s="8">
        <v>7140</v>
      </c>
      <c r="AF6" s="8">
        <v>8214</v>
      </c>
      <c r="AG6" s="8">
        <v>10541</v>
      </c>
      <c r="AH6" s="8">
        <v>9135</v>
      </c>
      <c r="AI6" s="8">
        <v>9291</v>
      </c>
      <c r="AJ6" s="8">
        <v>10775</v>
      </c>
      <c r="AK6" s="8">
        <v>9800</v>
      </c>
      <c r="AL6" s="8">
        <v>11148</v>
      </c>
      <c r="AM6" s="8">
        <v>13250</v>
      </c>
      <c r="AN6" s="8">
        <v>13918</v>
      </c>
      <c r="AO6" s="8">
        <v>12337</v>
      </c>
      <c r="AP6" s="8">
        <v>12883</v>
      </c>
      <c r="AQ6" s="8">
        <v>12180</v>
      </c>
      <c r="AR6" s="8">
        <v>10931</v>
      </c>
      <c r="AS6" s="8">
        <v>12300</v>
      </c>
      <c r="AT6" s="8">
        <v>10600</v>
      </c>
      <c r="AU6" s="8">
        <v>14000</v>
      </c>
      <c r="AV6" s="8">
        <v>19000</v>
      </c>
      <c r="AW6" s="8">
        <v>19050</v>
      </c>
      <c r="AX6" s="8">
        <v>21800</v>
      </c>
      <c r="AY6" s="8">
        <v>24000</v>
      </c>
      <c r="AZ6" s="8">
        <v>22600</v>
      </c>
      <c r="BA6" s="8">
        <v>23000</v>
      </c>
      <c r="BB6" s="47">
        <v>25000</v>
      </c>
      <c r="BC6" s="43">
        <f>5984000/1000</f>
        <v>5984</v>
      </c>
      <c r="BD6" s="43">
        <f>5817400/1000</f>
        <v>5817.4</v>
      </c>
    </row>
    <row r="7" spans="1:56" x14ac:dyDescent="0.25">
      <c r="A7" s="12"/>
      <c r="B7" s="2"/>
      <c r="C7" s="2" t="s">
        <v>7</v>
      </c>
      <c r="D7" s="4">
        <v>915</v>
      </c>
      <c r="E7" s="4">
        <v>741</v>
      </c>
      <c r="F7" s="4">
        <v>697</v>
      </c>
      <c r="G7" s="4">
        <v>544</v>
      </c>
      <c r="H7" s="4">
        <v>690</v>
      </c>
      <c r="I7" s="4">
        <v>457</v>
      </c>
      <c r="J7" s="4">
        <v>649</v>
      </c>
      <c r="K7" s="4">
        <v>644</v>
      </c>
      <c r="L7" s="4">
        <v>377</v>
      </c>
      <c r="M7" s="4">
        <v>721</v>
      </c>
      <c r="N7" s="4">
        <v>693</v>
      </c>
      <c r="O7" s="4">
        <v>642</v>
      </c>
      <c r="P7" s="4">
        <v>400</v>
      </c>
      <c r="Q7" s="4">
        <v>119</v>
      </c>
      <c r="R7" s="4">
        <v>113</v>
      </c>
      <c r="S7" s="4">
        <v>96</v>
      </c>
      <c r="T7" s="4">
        <v>447</v>
      </c>
      <c r="U7" s="4">
        <v>398</v>
      </c>
      <c r="V7" s="4">
        <v>44</v>
      </c>
      <c r="W7" s="4">
        <v>2</v>
      </c>
      <c r="X7" s="4">
        <v>0</v>
      </c>
      <c r="Y7" s="4">
        <v>36</v>
      </c>
      <c r="Z7" s="4">
        <v>3</v>
      </c>
      <c r="AA7" s="4">
        <v>0</v>
      </c>
      <c r="AB7" s="4">
        <v>0</v>
      </c>
      <c r="AC7" s="4">
        <v>0</v>
      </c>
      <c r="AD7" s="4">
        <v>0</v>
      </c>
      <c r="AE7" s="4">
        <v>107</v>
      </c>
      <c r="AF7" s="4">
        <v>171</v>
      </c>
      <c r="AG7" s="4">
        <v>15</v>
      </c>
      <c r="AH7" s="4">
        <v>0</v>
      </c>
      <c r="AI7" s="4">
        <v>214</v>
      </c>
      <c r="AJ7" s="4">
        <v>102</v>
      </c>
      <c r="AK7" s="4">
        <v>222</v>
      </c>
      <c r="AL7" s="4">
        <v>442</v>
      </c>
      <c r="AM7" s="4">
        <v>85</v>
      </c>
      <c r="AN7" s="4">
        <v>15</v>
      </c>
      <c r="AO7" s="4">
        <v>145</v>
      </c>
      <c r="AP7" s="4">
        <v>508</v>
      </c>
      <c r="AQ7" s="3">
        <v>1600</v>
      </c>
      <c r="AR7" s="3">
        <v>1567</v>
      </c>
      <c r="AS7" s="3">
        <v>2388</v>
      </c>
      <c r="AT7" s="3">
        <v>1216</v>
      </c>
      <c r="AU7" s="4">
        <v>800</v>
      </c>
      <c r="AV7" s="3">
        <v>1038</v>
      </c>
      <c r="AW7" s="4">
        <v>400</v>
      </c>
      <c r="AX7" s="4">
        <v>465</v>
      </c>
      <c r="AY7" s="4">
        <v>600</v>
      </c>
      <c r="AZ7" s="4">
        <v>800</v>
      </c>
      <c r="BA7" s="4">
        <v>480</v>
      </c>
      <c r="BB7" s="44">
        <v>450</v>
      </c>
      <c r="BC7" s="42">
        <f>41417/1000</f>
        <v>41.417000000000002</v>
      </c>
      <c r="BD7" s="42"/>
    </row>
    <row r="8" spans="1:56" s="5" customFormat="1" x14ac:dyDescent="0.25">
      <c r="A8" s="14"/>
      <c r="B8" s="6"/>
      <c r="C8" s="6" t="s">
        <v>8</v>
      </c>
      <c r="D8" s="7">
        <v>240</v>
      </c>
      <c r="E8" s="7">
        <v>269</v>
      </c>
      <c r="F8" s="7">
        <v>272</v>
      </c>
      <c r="G8" s="7">
        <v>227</v>
      </c>
      <c r="H8" s="7">
        <v>201</v>
      </c>
      <c r="I8" s="7">
        <v>155</v>
      </c>
      <c r="J8" s="7">
        <v>198</v>
      </c>
      <c r="K8" s="7">
        <v>191</v>
      </c>
      <c r="L8" s="7">
        <v>160</v>
      </c>
      <c r="M8" s="7">
        <v>169</v>
      </c>
      <c r="N8" s="7">
        <v>139</v>
      </c>
      <c r="O8" s="7">
        <v>166</v>
      </c>
      <c r="P8" s="7">
        <v>198</v>
      </c>
      <c r="Q8" s="7">
        <v>182</v>
      </c>
      <c r="R8" s="7">
        <v>89</v>
      </c>
      <c r="S8" s="7">
        <v>294</v>
      </c>
      <c r="T8" s="7">
        <v>35</v>
      </c>
      <c r="U8" s="7">
        <v>11</v>
      </c>
      <c r="V8" s="7">
        <v>195</v>
      </c>
      <c r="W8" s="7">
        <v>399</v>
      </c>
      <c r="X8" s="7">
        <v>527</v>
      </c>
      <c r="Y8" s="7">
        <v>339</v>
      </c>
      <c r="Z8" s="7">
        <v>500</v>
      </c>
      <c r="AA8" s="7">
        <v>299</v>
      </c>
      <c r="AB8" s="7">
        <v>151</v>
      </c>
      <c r="AC8" s="7">
        <v>336</v>
      </c>
      <c r="AD8" s="8">
        <v>1018</v>
      </c>
      <c r="AE8" s="7">
        <v>19</v>
      </c>
      <c r="AF8" s="7">
        <v>149</v>
      </c>
      <c r="AG8" s="8">
        <v>1077</v>
      </c>
      <c r="AH8" s="7">
        <v>708</v>
      </c>
      <c r="AI8" s="7">
        <v>303</v>
      </c>
      <c r="AJ8" s="7">
        <v>990</v>
      </c>
      <c r="AK8" s="7">
        <v>369</v>
      </c>
      <c r="AL8" s="7">
        <v>104</v>
      </c>
      <c r="AM8" s="7">
        <v>567</v>
      </c>
      <c r="AN8" s="8">
        <v>1187</v>
      </c>
      <c r="AO8" s="7">
        <v>312</v>
      </c>
      <c r="AP8" s="7">
        <v>195</v>
      </c>
      <c r="AQ8" s="7">
        <v>70</v>
      </c>
      <c r="AR8" s="7">
        <v>94</v>
      </c>
      <c r="AS8" s="7">
        <v>60</v>
      </c>
      <c r="AT8" s="7">
        <v>56</v>
      </c>
      <c r="AU8" s="7">
        <v>700</v>
      </c>
      <c r="AV8" s="7">
        <v>660</v>
      </c>
      <c r="AW8" s="8">
        <v>3675</v>
      </c>
      <c r="AX8" s="8">
        <v>4875</v>
      </c>
      <c r="AY8" s="8">
        <v>7500</v>
      </c>
      <c r="AZ8" s="8">
        <v>2360</v>
      </c>
      <c r="BA8" s="8">
        <v>6550</v>
      </c>
      <c r="BB8" s="47">
        <v>4800</v>
      </c>
      <c r="BC8" s="43">
        <f>1871156/1000</f>
        <v>1871.1559999999999</v>
      </c>
      <c r="BD8" s="43"/>
    </row>
    <row r="9" spans="1:56" x14ac:dyDescent="0.25">
      <c r="A9" s="12"/>
      <c r="B9" s="2"/>
      <c r="C9" s="2" t="s">
        <v>9</v>
      </c>
      <c r="D9" s="3">
        <v>4778</v>
      </c>
      <c r="E9" s="3">
        <v>4567</v>
      </c>
      <c r="F9" s="3">
        <v>5031</v>
      </c>
      <c r="G9" s="3">
        <v>5067</v>
      </c>
      <c r="H9" s="3">
        <v>5312</v>
      </c>
      <c r="I9" s="3">
        <v>4908</v>
      </c>
      <c r="J9" s="3">
        <v>5097</v>
      </c>
      <c r="K9" s="3">
        <v>5444</v>
      </c>
      <c r="L9" s="3">
        <v>5268</v>
      </c>
      <c r="M9" s="3">
        <v>5369</v>
      </c>
      <c r="N9" s="3">
        <v>5035</v>
      </c>
      <c r="O9" s="3">
        <v>5352</v>
      </c>
      <c r="P9" s="3">
        <v>5398</v>
      </c>
      <c r="Q9" s="3">
        <v>5520</v>
      </c>
      <c r="R9" s="3">
        <v>5025</v>
      </c>
      <c r="S9" s="3">
        <v>5888</v>
      </c>
      <c r="T9" s="3">
        <v>4995</v>
      </c>
      <c r="U9" s="3">
        <v>5397</v>
      </c>
      <c r="V9" s="3">
        <v>5616</v>
      </c>
      <c r="W9" s="3">
        <v>5955</v>
      </c>
      <c r="X9" s="3">
        <v>6311</v>
      </c>
      <c r="Y9" s="3">
        <v>5437</v>
      </c>
      <c r="Z9" s="3">
        <v>6232</v>
      </c>
      <c r="AA9" s="3">
        <v>6676</v>
      </c>
      <c r="AB9" s="3">
        <v>7093</v>
      </c>
      <c r="AC9" s="3">
        <v>7157</v>
      </c>
      <c r="AD9" s="3">
        <v>7886</v>
      </c>
      <c r="AE9" s="3">
        <v>7947</v>
      </c>
      <c r="AF9" s="3">
        <v>8118</v>
      </c>
      <c r="AG9" s="3">
        <v>8640</v>
      </c>
      <c r="AH9" s="3">
        <v>8962</v>
      </c>
      <c r="AI9" s="3">
        <v>8648</v>
      </c>
      <c r="AJ9" s="3">
        <v>9808</v>
      </c>
      <c r="AK9" s="3">
        <v>9840</v>
      </c>
      <c r="AL9" s="3">
        <v>10545</v>
      </c>
      <c r="AM9" s="3">
        <v>11747</v>
      </c>
      <c r="AN9" s="3">
        <v>13120</v>
      </c>
      <c r="AO9" s="3">
        <v>12675</v>
      </c>
      <c r="AP9" s="3">
        <v>12620</v>
      </c>
      <c r="AQ9" s="3">
        <v>13547</v>
      </c>
      <c r="AR9" s="3">
        <v>13544</v>
      </c>
      <c r="AS9" s="3">
        <v>13275</v>
      </c>
      <c r="AT9" s="3">
        <v>13300</v>
      </c>
      <c r="AU9" s="3">
        <v>13500</v>
      </c>
      <c r="AV9" s="3">
        <v>14800</v>
      </c>
      <c r="AW9" s="3">
        <v>16700</v>
      </c>
      <c r="AX9" s="3">
        <v>18100</v>
      </c>
      <c r="AY9" s="3">
        <v>18600</v>
      </c>
      <c r="AZ9" s="3">
        <v>17750</v>
      </c>
      <c r="BA9" s="3">
        <v>19650</v>
      </c>
      <c r="BB9" s="44">
        <v>21500</v>
      </c>
      <c r="BC9" s="42">
        <f>BC6+BC7-BC8</f>
        <v>4154.2610000000004</v>
      </c>
      <c r="BD9" s="42"/>
    </row>
    <row r="10" spans="1:56" s="5" customFormat="1" x14ac:dyDescent="0.25">
      <c r="A10" s="14"/>
      <c r="B10" s="6" t="s">
        <v>11</v>
      </c>
      <c r="C10" s="6" t="s">
        <v>6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11</v>
      </c>
      <c r="N10" s="7">
        <v>18</v>
      </c>
      <c r="O10" s="7">
        <v>20</v>
      </c>
      <c r="P10" s="7">
        <v>25</v>
      </c>
      <c r="Q10" s="7">
        <v>30</v>
      </c>
      <c r="R10" s="7">
        <v>35</v>
      </c>
      <c r="S10" s="7">
        <v>70</v>
      </c>
      <c r="T10" s="7">
        <v>150</v>
      </c>
      <c r="U10" s="7">
        <v>180</v>
      </c>
      <c r="V10" s="7">
        <v>220</v>
      </c>
      <c r="W10" s="7">
        <v>350</v>
      </c>
      <c r="X10" s="7">
        <v>442</v>
      </c>
      <c r="Y10" s="7">
        <v>467</v>
      </c>
      <c r="Z10" s="7">
        <v>491</v>
      </c>
      <c r="AA10" s="7">
        <v>614</v>
      </c>
      <c r="AB10" s="7">
        <v>955</v>
      </c>
      <c r="AC10" s="8">
        <v>1020</v>
      </c>
      <c r="AD10" s="7">
        <v>891</v>
      </c>
      <c r="AE10" s="7">
        <v>898</v>
      </c>
      <c r="AF10" s="8">
        <v>1547</v>
      </c>
      <c r="AG10" s="8">
        <v>1806</v>
      </c>
      <c r="AH10" s="8">
        <v>2602</v>
      </c>
      <c r="AI10" s="8">
        <v>2492</v>
      </c>
      <c r="AJ10" s="8">
        <v>3106</v>
      </c>
      <c r="AK10" s="8">
        <v>4000</v>
      </c>
      <c r="AL10" s="8">
        <v>3236</v>
      </c>
      <c r="AM10" s="8">
        <v>4476</v>
      </c>
      <c r="AN10" s="8">
        <v>4100</v>
      </c>
      <c r="AO10" s="8">
        <v>5350</v>
      </c>
      <c r="AP10" s="8">
        <v>6000</v>
      </c>
      <c r="AQ10" s="8">
        <v>5200</v>
      </c>
      <c r="AR10" s="8">
        <v>5250</v>
      </c>
      <c r="AS10" s="8">
        <v>5400</v>
      </c>
      <c r="AT10" s="8">
        <v>4000</v>
      </c>
      <c r="AU10" s="8">
        <v>6800</v>
      </c>
      <c r="AV10" s="8">
        <v>5850</v>
      </c>
      <c r="AW10" s="8">
        <v>7000</v>
      </c>
      <c r="AX10" s="8">
        <v>7690</v>
      </c>
      <c r="AY10" s="8">
        <v>9470</v>
      </c>
      <c r="AZ10" s="8">
        <v>9100</v>
      </c>
      <c r="BA10" s="8">
        <v>9000</v>
      </c>
      <c r="BB10" s="47">
        <v>9600</v>
      </c>
      <c r="BC10" s="43">
        <f>12214000/1000</f>
        <v>12214</v>
      </c>
      <c r="BD10" s="43">
        <f>14666000/1000</f>
        <v>14666</v>
      </c>
    </row>
    <row r="11" spans="1:56" x14ac:dyDescent="0.25">
      <c r="A11" s="12"/>
      <c r="B11" s="2"/>
      <c r="C11" s="2" t="s">
        <v>7</v>
      </c>
      <c r="D11" s="4">
        <v>0</v>
      </c>
      <c r="E11" s="4">
        <v>0</v>
      </c>
      <c r="F11" s="4">
        <v>0</v>
      </c>
      <c r="G11" s="4">
        <v>0</v>
      </c>
      <c r="H11" s="4">
        <v>12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21</v>
      </c>
      <c r="AE11" s="4">
        <v>25</v>
      </c>
      <c r="AF11" s="4">
        <v>0</v>
      </c>
      <c r="AG11" s="4">
        <v>0</v>
      </c>
      <c r="AH11" s="4">
        <v>0</v>
      </c>
      <c r="AI11" s="4">
        <v>0</v>
      </c>
      <c r="AJ11" s="4">
        <v>0</v>
      </c>
      <c r="AK11" s="4">
        <v>0</v>
      </c>
      <c r="AL11" s="4">
        <v>55</v>
      </c>
      <c r="AM11" s="4">
        <v>0</v>
      </c>
      <c r="AN11" s="4">
        <v>0</v>
      </c>
      <c r="AO11" s="4">
        <v>0</v>
      </c>
      <c r="AP11" s="4">
        <v>0</v>
      </c>
      <c r="AQ11" s="4">
        <v>0</v>
      </c>
      <c r="AR11" s="4">
        <v>0</v>
      </c>
      <c r="AS11" s="4">
        <v>0</v>
      </c>
      <c r="AT11" s="4">
        <v>0</v>
      </c>
      <c r="AU11" s="4">
        <v>0</v>
      </c>
      <c r="AV11" s="4">
        <v>0</v>
      </c>
      <c r="AW11" s="4">
        <v>0</v>
      </c>
      <c r="AX11" s="4">
        <v>0</v>
      </c>
      <c r="AY11" s="4">
        <v>0</v>
      </c>
      <c r="AZ11" s="4">
        <v>0</v>
      </c>
      <c r="BA11" s="4">
        <v>0</v>
      </c>
      <c r="BB11" s="44">
        <v>0</v>
      </c>
      <c r="BC11" s="42">
        <f>121/1000</f>
        <v>0.121</v>
      </c>
      <c r="BD11" s="42"/>
    </row>
    <row r="12" spans="1:56" s="5" customFormat="1" x14ac:dyDescent="0.25">
      <c r="A12" s="14"/>
      <c r="B12" s="6"/>
      <c r="C12" s="6" t="s">
        <v>8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17</v>
      </c>
      <c r="AR12" s="7">
        <v>60</v>
      </c>
      <c r="AS12" s="7">
        <v>1</v>
      </c>
      <c r="AT12" s="7">
        <v>5</v>
      </c>
      <c r="AU12" s="7">
        <v>239</v>
      </c>
      <c r="AV12" s="7">
        <v>6</v>
      </c>
      <c r="AW12" s="7">
        <v>6</v>
      </c>
      <c r="AX12" s="7">
        <v>1</v>
      </c>
      <c r="AY12" s="7">
        <v>12</v>
      </c>
      <c r="AZ12" s="7">
        <v>55</v>
      </c>
      <c r="BA12" s="7">
        <v>15</v>
      </c>
      <c r="BB12" s="47">
        <v>15</v>
      </c>
      <c r="BC12" s="43">
        <f>30556/1000</f>
        <v>30.556000000000001</v>
      </c>
      <c r="BD12" s="43"/>
    </row>
    <row r="13" spans="1:56" x14ac:dyDescent="0.25">
      <c r="A13" s="12"/>
      <c r="B13" s="2"/>
      <c r="C13" s="2" t="s">
        <v>9</v>
      </c>
      <c r="D13" s="4">
        <v>0</v>
      </c>
      <c r="E13" s="4">
        <v>0</v>
      </c>
      <c r="F13" s="4">
        <v>0</v>
      </c>
      <c r="G13" s="4">
        <v>0</v>
      </c>
      <c r="H13" s="4">
        <v>12</v>
      </c>
      <c r="I13" s="4">
        <v>0</v>
      </c>
      <c r="J13" s="4">
        <v>0</v>
      </c>
      <c r="K13" s="4">
        <v>0</v>
      </c>
      <c r="L13" s="4">
        <v>0</v>
      </c>
      <c r="M13" s="4">
        <v>11</v>
      </c>
      <c r="N13" s="4">
        <v>18</v>
      </c>
      <c r="O13" s="4">
        <v>20</v>
      </c>
      <c r="P13" s="4">
        <v>25</v>
      </c>
      <c r="Q13" s="4">
        <v>30</v>
      </c>
      <c r="R13" s="4">
        <v>35</v>
      </c>
      <c r="S13" s="4">
        <v>70</v>
      </c>
      <c r="T13" s="4">
        <v>150</v>
      </c>
      <c r="U13" s="4">
        <v>180</v>
      </c>
      <c r="V13" s="4">
        <v>220</v>
      </c>
      <c r="W13" s="4">
        <v>350</v>
      </c>
      <c r="X13" s="4">
        <v>442</v>
      </c>
      <c r="Y13" s="4">
        <v>467</v>
      </c>
      <c r="Z13" s="4">
        <v>491</v>
      </c>
      <c r="AA13" s="4">
        <v>614</v>
      </c>
      <c r="AB13" s="4">
        <v>955</v>
      </c>
      <c r="AC13" s="3">
        <v>1020</v>
      </c>
      <c r="AD13" s="4">
        <v>912</v>
      </c>
      <c r="AE13" s="4">
        <v>923</v>
      </c>
      <c r="AF13" s="3">
        <v>1547</v>
      </c>
      <c r="AG13" s="3">
        <v>1806</v>
      </c>
      <c r="AH13" s="3">
        <v>2602</v>
      </c>
      <c r="AI13" s="3">
        <v>2492</v>
      </c>
      <c r="AJ13" s="3">
        <v>3106</v>
      </c>
      <c r="AK13" s="3">
        <v>3990</v>
      </c>
      <c r="AL13" s="3">
        <v>3170</v>
      </c>
      <c r="AM13" s="3">
        <v>4531</v>
      </c>
      <c r="AN13" s="3">
        <v>4175</v>
      </c>
      <c r="AO13" s="3">
        <v>5350</v>
      </c>
      <c r="AP13" s="3">
        <v>6001</v>
      </c>
      <c r="AQ13" s="3">
        <v>5024</v>
      </c>
      <c r="AR13" s="3">
        <v>5215</v>
      </c>
      <c r="AS13" s="3">
        <v>5377</v>
      </c>
      <c r="AT13" s="3">
        <v>4025</v>
      </c>
      <c r="AU13" s="3">
        <v>6341</v>
      </c>
      <c r="AV13" s="3">
        <v>5314</v>
      </c>
      <c r="AW13" s="3">
        <v>7795</v>
      </c>
      <c r="AX13" s="3">
        <v>7546</v>
      </c>
      <c r="AY13" s="3">
        <v>9580</v>
      </c>
      <c r="AZ13" s="3">
        <v>8475</v>
      </c>
      <c r="BA13" s="3">
        <v>8461</v>
      </c>
      <c r="BB13" s="44">
        <v>10345</v>
      </c>
      <c r="BC13" s="42">
        <f>BC10+BC11-BC12</f>
        <v>12183.564999999999</v>
      </c>
      <c r="BD13" s="42"/>
    </row>
    <row r="14" spans="1:56" s="5" customFormat="1" x14ac:dyDescent="0.25">
      <c r="A14" s="14"/>
      <c r="B14" s="6" t="s">
        <v>12</v>
      </c>
      <c r="C14" s="6" t="s">
        <v>6</v>
      </c>
      <c r="D14" s="8">
        <v>34639</v>
      </c>
      <c r="E14" s="8">
        <v>35663</v>
      </c>
      <c r="F14" s="8">
        <v>33217</v>
      </c>
      <c r="G14" s="8">
        <v>36998</v>
      </c>
      <c r="H14" s="8">
        <v>39308</v>
      </c>
      <c r="I14" s="8">
        <v>30589</v>
      </c>
      <c r="J14" s="8">
        <v>30438</v>
      </c>
      <c r="K14" s="8">
        <v>37612</v>
      </c>
      <c r="L14" s="8">
        <v>39761</v>
      </c>
      <c r="M14" s="8">
        <v>40430</v>
      </c>
      <c r="N14" s="8">
        <v>42225</v>
      </c>
      <c r="O14" s="8">
        <v>43068</v>
      </c>
      <c r="P14" s="8">
        <v>39245</v>
      </c>
      <c r="Q14" s="8">
        <v>44051</v>
      </c>
      <c r="R14" s="8">
        <v>39579</v>
      </c>
      <c r="S14" s="8">
        <v>48740</v>
      </c>
      <c r="T14" s="8">
        <v>41917</v>
      </c>
      <c r="U14" s="8">
        <v>52617</v>
      </c>
      <c r="V14" s="8">
        <v>53773</v>
      </c>
      <c r="W14" s="8">
        <v>42330</v>
      </c>
      <c r="X14" s="8">
        <v>53631</v>
      </c>
      <c r="Y14" s="8">
        <v>53248</v>
      </c>
      <c r="Z14" s="8">
        <v>47116</v>
      </c>
      <c r="AA14" s="8">
        <v>60097</v>
      </c>
      <c r="AB14" s="8">
        <v>58337</v>
      </c>
      <c r="AC14" s="8">
        <v>63825</v>
      </c>
      <c r="AD14" s="8">
        <v>60416</v>
      </c>
      <c r="AE14" s="8">
        <v>56862</v>
      </c>
      <c r="AF14" s="8">
        <v>70489</v>
      </c>
      <c r="AG14" s="8">
        <v>73573</v>
      </c>
      <c r="AH14" s="8">
        <v>74291</v>
      </c>
      <c r="AI14" s="8">
        <v>74680</v>
      </c>
      <c r="AJ14" s="8">
        <v>72868</v>
      </c>
      <c r="AK14" s="8">
        <v>80300</v>
      </c>
      <c r="AL14" s="8">
        <v>81810</v>
      </c>
      <c r="AM14" s="8">
        <v>76980</v>
      </c>
      <c r="AN14" s="8">
        <v>81730</v>
      </c>
      <c r="AO14" s="8">
        <v>82540</v>
      </c>
      <c r="AP14" s="8">
        <v>86080</v>
      </c>
      <c r="AQ14" s="8">
        <v>89680</v>
      </c>
      <c r="AR14" s="8">
        <v>84980</v>
      </c>
      <c r="AS14" s="8">
        <v>93340</v>
      </c>
      <c r="AT14" s="8">
        <v>71820</v>
      </c>
      <c r="AU14" s="8">
        <v>88530</v>
      </c>
      <c r="AV14" s="8">
        <v>83130</v>
      </c>
      <c r="AW14" s="8">
        <v>91790</v>
      </c>
      <c r="AX14" s="8">
        <v>93350</v>
      </c>
      <c r="AY14" s="8">
        <v>96690</v>
      </c>
      <c r="AZ14" s="8">
        <v>99180</v>
      </c>
      <c r="BA14" s="8">
        <v>89130</v>
      </c>
      <c r="BB14" s="47">
        <v>94500</v>
      </c>
      <c r="BC14" s="43">
        <f>157900000/1000</f>
        <v>157900</v>
      </c>
      <c r="BD14" s="43">
        <f>157800000/1000</f>
        <v>157800</v>
      </c>
    </row>
    <row r="15" spans="1:56" x14ac:dyDescent="0.25">
      <c r="A15" s="12"/>
      <c r="B15" s="2"/>
      <c r="C15" s="2" t="s">
        <v>7</v>
      </c>
      <c r="D15" s="4">
        <v>401</v>
      </c>
      <c r="E15" s="4">
        <v>403</v>
      </c>
      <c r="F15" s="4">
        <v>510</v>
      </c>
      <c r="G15" s="4">
        <v>635</v>
      </c>
      <c r="H15" s="4">
        <v>726</v>
      </c>
      <c r="I15" s="4">
        <v>785</v>
      </c>
      <c r="J15" s="4">
        <v>455</v>
      </c>
      <c r="K15" s="4">
        <v>446</v>
      </c>
      <c r="L15" s="4">
        <v>487</v>
      </c>
      <c r="M15" s="4">
        <v>206</v>
      </c>
      <c r="N15" s="4">
        <v>307</v>
      </c>
      <c r="O15" s="4">
        <v>133</v>
      </c>
      <c r="P15" s="4">
        <v>0</v>
      </c>
      <c r="Q15" s="4">
        <v>65</v>
      </c>
      <c r="R15" s="4">
        <v>155</v>
      </c>
      <c r="S15" s="4">
        <v>230</v>
      </c>
      <c r="T15" s="4">
        <v>42</v>
      </c>
      <c r="U15" s="4">
        <v>10</v>
      </c>
      <c r="V15" s="4">
        <v>10</v>
      </c>
      <c r="W15" s="4">
        <v>5</v>
      </c>
      <c r="X15" s="4">
        <v>70</v>
      </c>
      <c r="Y15" s="4">
        <v>10</v>
      </c>
      <c r="Z15" s="4">
        <v>80</v>
      </c>
      <c r="AA15" s="4">
        <v>850</v>
      </c>
      <c r="AB15" s="4">
        <v>10</v>
      </c>
      <c r="AC15" s="4">
        <v>5</v>
      </c>
      <c r="AD15" s="4">
        <v>5</v>
      </c>
      <c r="AE15" s="4">
        <v>650</v>
      </c>
      <c r="AF15" s="4">
        <v>650</v>
      </c>
      <c r="AG15" s="4">
        <v>50</v>
      </c>
      <c r="AH15" s="4">
        <v>0</v>
      </c>
      <c r="AI15" s="4">
        <v>15</v>
      </c>
      <c r="AJ15" s="4">
        <v>55</v>
      </c>
      <c r="AK15" s="4">
        <v>0</v>
      </c>
      <c r="AL15" s="4">
        <v>0</v>
      </c>
      <c r="AM15" s="4">
        <v>0</v>
      </c>
      <c r="AN15" s="4">
        <v>0</v>
      </c>
      <c r="AO15" s="4">
        <v>12</v>
      </c>
      <c r="AP15" s="4">
        <v>4</v>
      </c>
      <c r="AQ15" s="4">
        <v>86</v>
      </c>
      <c r="AR15" s="4">
        <v>0</v>
      </c>
      <c r="AS15" s="4">
        <v>0</v>
      </c>
      <c r="AT15" s="4">
        <v>0</v>
      </c>
      <c r="AU15" s="4">
        <v>0</v>
      </c>
      <c r="AV15" s="4">
        <v>0</v>
      </c>
      <c r="AW15" s="4">
        <v>6</v>
      </c>
      <c r="AX15" s="4">
        <v>0</v>
      </c>
      <c r="AY15" s="4">
        <v>0</v>
      </c>
      <c r="AZ15" s="4">
        <v>0</v>
      </c>
      <c r="BA15" s="4">
        <v>0</v>
      </c>
      <c r="BB15" s="44">
        <v>0</v>
      </c>
      <c r="BC15" s="42">
        <f>1093/1000</f>
        <v>1.093</v>
      </c>
      <c r="BD15" s="42"/>
    </row>
    <row r="16" spans="1:56" s="5" customFormat="1" x14ac:dyDescent="0.25">
      <c r="A16" s="14"/>
      <c r="B16" s="6"/>
      <c r="C16" s="6" t="s">
        <v>8</v>
      </c>
      <c r="D16" s="7">
        <v>67</v>
      </c>
      <c r="E16" s="7">
        <v>2</v>
      </c>
      <c r="F16" s="7">
        <v>5</v>
      </c>
      <c r="G16" s="7">
        <v>3</v>
      </c>
      <c r="H16" s="7">
        <v>3</v>
      </c>
      <c r="I16" s="7">
        <v>3</v>
      </c>
      <c r="J16" s="7">
        <v>0</v>
      </c>
      <c r="K16" s="7">
        <v>0</v>
      </c>
      <c r="L16" s="7">
        <v>15</v>
      </c>
      <c r="M16" s="7">
        <v>27</v>
      </c>
      <c r="N16" s="7">
        <v>20</v>
      </c>
      <c r="O16" s="7">
        <v>10</v>
      </c>
      <c r="P16" s="7">
        <v>15</v>
      </c>
      <c r="Q16" s="7">
        <v>35</v>
      </c>
      <c r="R16" s="7">
        <v>18</v>
      </c>
      <c r="S16" s="7">
        <v>38</v>
      </c>
      <c r="T16" s="7">
        <v>23</v>
      </c>
      <c r="U16" s="7">
        <v>143</v>
      </c>
      <c r="V16" s="7">
        <v>450</v>
      </c>
      <c r="W16" s="7">
        <v>425</v>
      </c>
      <c r="X16" s="7">
        <v>900</v>
      </c>
      <c r="Y16" s="7">
        <v>675</v>
      </c>
      <c r="Z16" s="7">
        <v>200</v>
      </c>
      <c r="AA16" s="7">
        <v>220</v>
      </c>
      <c r="AB16" s="7">
        <v>160</v>
      </c>
      <c r="AC16" s="7">
        <v>250</v>
      </c>
      <c r="AD16" s="7">
        <v>350</v>
      </c>
      <c r="AE16" s="7">
        <v>200</v>
      </c>
      <c r="AF16" s="7">
        <v>450</v>
      </c>
      <c r="AG16" s="7">
        <v>500</v>
      </c>
      <c r="AH16" s="7">
        <v>700</v>
      </c>
      <c r="AI16" s="7">
        <v>600</v>
      </c>
      <c r="AJ16" s="7">
        <v>650</v>
      </c>
      <c r="AK16" s="7">
        <v>750</v>
      </c>
      <c r="AL16" s="8">
        <v>4150</v>
      </c>
      <c r="AM16" s="8">
        <v>3700</v>
      </c>
      <c r="AN16" s="8">
        <v>2100</v>
      </c>
      <c r="AO16" s="8">
        <v>4000</v>
      </c>
      <c r="AP16" s="8">
        <v>3350</v>
      </c>
      <c r="AQ16" s="8">
        <v>1400</v>
      </c>
      <c r="AR16" s="8">
        <v>1685</v>
      </c>
      <c r="AS16" s="8">
        <v>6300</v>
      </c>
      <c r="AT16" s="8">
        <v>5440</v>
      </c>
      <c r="AU16" s="8">
        <v>3100</v>
      </c>
      <c r="AV16" s="8">
        <v>4569</v>
      </c>
      <c r="AW16" s="8">
        <v>4688</v>
      </c>
      <c r="AX16" s="8">
        <v>5740</v>
      </c>
      <c r="AY16" s="8">
        <v>4654</v>
      </c>
      <c r="AZ16" s="8">
        <v>2090</v>
      </c>
      <c r="BA16" s="8">
        <v>1900</v>
      </c>
      <c r="BB16" s="47">
        <v>2400</v>
      </c>
      <c r="BC16" s="43">
        <f>5004280/1000</f>
        <v>5004.28</v>
      </c>
      <c r="BD16" s="43"/>
    </row>
    <row r="17" spans="1:56" x14ac:dyDescent="0.25">
      <c r="A17" s="12"/>
      <c r="B17" s="2"/>
      <c r="C17" s="2" t="s">
        <v>9</v>
      </c>
      <c r="D17" s="3">
        <v>35473</v>
      </c>
      <c r="E17" s="3">
        <v>36064</v>
      </c>
      <c r="F17" s="3">
        <v>33722</v>
      </c>
      <c r="G17" s="3">
        <v>36130</v>
      </c>
      <c r="H17" s="3">
        <v>37531</v>
      </c>
      <c r="I17" s="3">
        <v>31371</v>
      </c>
      <c r="J17" s="3">
        <v>32893</v>
      </c>
      <c r="K17" s="3">
        <v>37058</v>
      </c>
      <c r="L17" s="3">
        <v>40033</v>
      </c>
      <c r="M17" s="3">
        <v>41309</v>
      </c>
      <c r="N17" s="3">
        <v>41512</v>
      </c>
      <c r="O17" s="3">
        <v>43541</v>
      </c>
      <c r="P17" s="3">
        <v>40780</v>
      </c>
      <c r="Q17" s="3">
        <v>43181</v>
      </c>
      <c r="R17" s="3">
        <v>43502</v>
      </c>
      <c r="S17" s="3">
        <v>43646</v>
      </c>
      <c r="T17" s="3">
        <v>43436</v>
      </c>
      <c r="U17" s="3">
        <v>49484</v>
      </c>
      <c r="V17" s="3">
        <v>50333</v>
      </c>
      <c r="W17" s="3">
        <v>45910</v>
      </c>
      <c r="X17" s="3">
        <v>53301</v>
      </c>
      <c r="Y17" s="3">
        <v>54083</v>
      </c>
      <c r="Z17" s="3">
        <v>48496</v>
      </c>
      <c r="AA17" s="3">
        <v>58227</v>
      </c>
      <c r="AB17" s="3">
        <v>56687</v>
      </c>
      <c r="AC17" s="3">
        <v>62080</v>
      </c>
      <c r="AD17" s="3">
        <v>60071</v>
      </c>
      <c r="AE17" s="3">
        <v>59312</v>
      </c>
      <c r="AF17" s="3">
        <v>65689</v>
      </c>
      <c r="AG17" s="3">
        <v>71123</v>
      </c>
      <c r="AH17" s="3">
        <v>73091</v>
      </c>
      <c r="AI17" s="3">
        <v>74595</v>
      </c>
      <c r="AJ17" s="3">
        <v>75273</v>
      </c>
      <c r="AK17" s="3">
        <v>76050</v>
      </c>
      <c r="AL17" s="3">
        <v>77660</v>
      </c>
      <c r="AM17" s="3">
        <v>76280</v>
      </c>
      <c r="AN17" s="3">
        <v>81630</v>
      </c>
      <c r="AO17" s="3">
        <v>77552</v>
      </c>
      <c r="AP17" s="3">
        <v>81234</v>
      </c>
      <c r="AQ17" s="3">
        <v>82650</v>
      </c>
      <c r="AR17" s="3">
        <v>75960</v>
      </c>
      <c r="AS17" s="3">
        <v>87611</v>
      </c>
      <c r="AT17" s="3">
        <v>79860</v>
      </c>
      <c r="AU17" s="3">
        <v>85630</v>
      </c>
      <c r="AV17" s="3">
        <v>80861</v>
      </c>
      <c r="AW17" s="3">
        <v>85088</v>
      </c>
      <c r="AX17" s="3">
        <v>86700</v>
      </c>
      <c r="AY17" s="3">
        <v>90466</v>
      </c>
      <c r="AZ17" s="3">
        <v>91090</v>
      </c>
      <c r="BA17" s="3">
        <v>85730</v>
      </c>
      <c r="BB17" s="44">
        <v>91000</v>
      </c>
      <c r="BC17" s="42">
        <f>BC14+BC15-BC16</f>
        <v>152896.81299999999</v>
      </c>
      <c r="BD17" s="42"/>
    </row>
    <row r="18" spans="1:56" s="5" customFormat="1" x14ac:dyDescent="0.25">
      <c r="A18" s="14"/>
      <c r="B18" s="6" t="s">
        <v>13</v>
      </c>
      <c r="C18" s="6" t="s">
        <v>6</v>
      </c>
      <c r="D18" s="8">
        <v>9814</v>
      </c>
      <c r="E18" s="8">
        <v>8026</v>
      </c>
      <c r="F18" s="8">
        <v>9744</v>
      </c>
      <c r="G18" s="8">
        <v>9195</v>
      </c>
      <c r="H18" s="8">
        <v>9681</v>
      </c>
      <c r="I18" s="8">
        <v>7581</v>
      </c>
      <c r="J18" s="8">
        <v>9224</v>
      </c>
      <c r="K18" s="8">
        <v>10048</v>
      </c>
      <c r="L18" s="8">
        <v>9804</v>
      </c>
      <c r="M18" s="8">
        <v>9721</v>
      </c>
      <c r="N18" s="8">
        <v>8105</v>
      </c>
      <c r="O18" s="8">
        <v>7722</v>
      </c>
      <c r="P18" s="8">
        <v>6968</v>
      </c>
      <c r="Q18" s="8">
        <v>9097</v>
      </c>
      <c r="R18" s="8">
        <v>10414</v>
      </c>
      <c r="S18" s="8">
        <v>9504</v>
      </c>
      <c r="T18" s="8">
        <v>10524</v>
      </c>
      <c r="U18" s="8">
        <v>12064</v>
      </c>
      <c r="V18" s="8">
        <v>11436</v>
      </c>
      <c r="W18" s="8">
        <v>11648</v>
      </c>
      <c r="X18" s="8">
        <v>10431</v>
      </c>
      <c r="Y18" s="8">
        <v>12062</v>
      </c>
      <c r="Z18" s="8">
        <v>10753</v>
      </c>
      <c r="AA18" s="8">
        <v>11919</v>
      </c>
      <c r="AB18" s="8">
        <v>11402</v>
      </c>
      <c r="AC18" s="8">
        <v>10197</v>
      </c>
      <c r="AD18" s="8">
        <v>8866</v>
      </c>
      <c r="AE18" s="8">
        <v>9500</v>
      </c>
      <c r="AF18" s="8">
        <v>10170</v>
      </c>
      <c r="AG18" s="8">
        <v>12914</v>
      </c>
      <c r="AH18" s="8">
        <v>11681</v>
      </c>
      <c r="AI18" s="8">
        <v>8100</v>
      </c>
      <c r="AJ18" s="8">
        <v>12806</v>
      </c>
      <c r="AK18" s="8">
        <v>11410</v>
      </c>
      <c r="AL18" s="8">
        <v>9200</v>
      </c>
      <c r="AM18" s="8">
        <v>9550</v>
      </c>
      <c r="AN18" s="8">
        <v>11088</v>
      </c>
      <c r="AO18" s="8">
        <v>7982</v>
      </c>
      <c r="AP18" s="8">
        <v>8710</v>
      </c>
      <c r="AQ18" s="8">
        <v>8860</v>
      </c>
      <c r="AR18" s="8">
        <v>7716</v>
      </c>
      <c r="AS18" s="8">
        <v>8390</v>
      </c>
      <c r="AT18" s="8">
        <v>7060</v>
      </c>
      <c r="AU18" s="8">
        <v>6680</v>
      </c>
      <c r="AV18" s="8">
        <v>7240</v>
      </c>
      <c r="AW18" s="8">
        <v>7630</v>
      </c>
      <c r="AX18" s="8">
        <v>7150</v>
      </c>
      <c r="AY18" s="8">
        <v>7930</v>
      </c>
      <c r="AZ18" s="8">
        <v>7250</v>
      </c>
      <c r="BA18" s="8">
        <v>6700</v>
      </c>
      <c r="BB18" s="47">
        <v>6800</v>
      </c>
      <c r="BC18" s="43">
        <f>7003100/1000</f>
        <v>7003.1</v>
      </c>
      <c r="BD18" s="43">
        <f>5980000/1000</f>
        <v>5980</v>
      </c>
    </row>
    <row r="19" spans="1:56" x14ac:dyDescent="0.25">
      <c r="A19" s="12"/>
      <c r="B19" s="2"/>
      <c r="C19" s="2" t="s">
        <v>7</v>
      </c>
      <c r="D19" s="4">
        <v>53</v>
      </c>
      <c r="E19" s="4">
        <v>0</v>
      </c>
      <c r="F19" s="4">
        <v>0</v>
      </c>
      <c r="G19" s="4">
        <v>25</v>
      </c>
      <c r="H19" s="4">
        <v>54</v>
      </c>
      <c r="I19" s="3">
        <v>1040</v>
      </c>
      <c r="J19" s="3">
        <v>2130</v>
      </c>
      <c r="K19" s="3">
        <v>1239</v>
      </c>
      <c r="L19" s="4">
        <v>55</v>
      </c>
      <c r="M19" s="4">
        <v>275</v>
      </c>
      <c r="N19" s="4">
        <v>1</v>
      </c>
      <c r="O19" s="4">
        <v>0</v>
      </c>
      <c r="P19" s="4">
        <v>836</v>
      </c>
      <c r="Q19" s="4">
        <v>822</v>
      </c>
      <c r="R19" s="4">
        <v>286</v>
      </c>
      <c r="S19" s="4">
        <v>670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1</v>
      </c>
      <c r="AT19" s="4">
        <v>0</v>
      </c>
      <c r="AU19" s="4">
        <v>0</v>
      </c>
      <c r="AV19" s="4">
        <v>3</v>
      </c>
      <c r="AW19" s="4">
        <v>0</v>
      </c>
      <c r="AX19" s="4">
        <v>0</v>
      </c>
      <c r="AY19" s="4">
        <v>0</v>
      </c>
      <c r="AZ19" s="4">
        <v>0</v>
      </c>
      <c r="BA19" s="4">
        <v>0</v>
      </c>
      <c r="BB19" s="44">
        <v>0</v>
      </c>
      <c r="BC19" s="42">
        <v>0</v>
      </c>
      <c r="BD19" s="42"/>
    </row>
    <row r="20" spans="1:56" s="5" customFormat="1" x14ac:dyDescent="0.25">
      <c r="A20" s="14"/>
      <c r="B20" s="6"/>
      <c r="C20" s="6" t="s">
        <v>8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3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2</v>
      </c>
      <c r="AI20" s="7">
        <v>1</v>
      </c>
      <c r="AJ20" s="7">
        <v>13</v>
      </c>
      <c r="AK20" s="7">
        <v>84</v>
      </c>
      <c r="AL20" s="7">
        <v>1</v>
      </c>
      <c r="AM20" s="7">
        <v>36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1</v>
      </c>
      <c r="AT20" s="7">
        <v>7</v>
      </c>
      <c r="AU20" s="7">
        <v>42</v>
      </c>
      <c r="AV20" s="7">
        <v>24</v>
      </c>
      <c r="AW20" s="7">
        <v>4</v>
      </c>
      <c r="AX20" s="7">
        <v>9</v>
      </c>
      <c r="AY20" s="7">
        <v>94</v>
      </c>
      <c r="AZ20" s="7">
        <v>52</v>
      </c>
      <c r="BA20" s="7">
        <v>125</v>
      </c>
      <c r="BB20" s="47">
        <v>50</v>
      </c>
      <c r="BC20" s="43">
        <f>38395/1000</f>
        <v>38.395000000000003</v>
      </c>
      <c r="BD20" s="43"/>
    </row>
    <row r="21" spans="1:56" x14ac:dyDescent="0.25">
      <c r="A21" s="12"/>
      <c r="B21" s="2"/>
      <c r="C21" s="2" t="s">
        <v>9</v>
      </c>
      <c r="D21" s="3">
        <v>9367</v>
      </c>
      <c r="E21" s="3">
        <v>8526</v>
      </c>
      <c r="F21" s="3">
        <v>8744</v>
      </c>
      <c r="G21" s="3">
        <v>9220</v>
      </c>
      <c r="H21" s="3">
        <v>9735</v>
      </c>
      <c r="I21" s="3">
        <v>9621</v>
      </c>
      <c r="J21" s="3">
        <v>9854</v>
      </c>
      <c r="K21" s="3">
        <v>10787</v>
      </c>
      <c r="L21" s="3">
        <v>10859</v>
      </c>
      <c r="M21" s="3">
        <v>10496</v>
      </c>
      <c r="N21" s="3">
        <v>9106</v>
      </c>
      <c r="O21" s="3">
        <v>8222</v>
      </c>
      <c r="P21" s="3">
        <v>8804</v>
      </c>
      <c r="Q21" s="3">
        <v>10169</v>
      </c>
      <c r="R21" s="3">
        <v>10450</v>
      </c>
      <c r="S21" s="3">
        <v>10174</v>
      </c>
      <c r="T21" s="3">
        <v>10524</v>
      </c>
      <c r="U21" s="3">
        <v>11561</v>
      </c>
      <c r="V21" s="3">
        <v>11736</v>
      </c>
      <c r="W21" s="3">
        <v>12048</v>
      </c>
      <c r="X21" s="3">
        <v>10631</v>
      </c>
      <c r="Y21" s="3">
        <v>11962</v>
      </c>
      <c r="Z21" s="3">
        <v>10853</v>
      </c>
      <c r="AA21" s="3">
        <v>11819</v>
      </c>
      <c r="AB21" s="3">
        <v>11502</v>
      </c>
      <c r="AC21" s="3">
        <v>10397</v>
      </c>
      <c r="AD21" s="3">
        <v>9066</v>
      </c>
      <c r="AE21" s="3">
        <v>9500</v>
      </c>
      <c r="AF21" s="3">
        <v>10070</v>
      </c>
      <c r="AG21" s="3">
        <v>12714</v>
      </c>
      <c r="AH21" s="3">
        <v>11679</v>
      </c>
      <c r="AI21" s="3">
        <v>8299</v>
      </c>
      <c r="AJ21" s="3">
        <v>12294</v>
      </c>
      <c r="AK21" s="3">
        <v>11825</v>
      </c>
      <c r="AL21" s="3">
        <v>9399</v>
      </c>
      <c r="AM21" s="3">
        <v>9514</v>
      </c>
      <c r="AN21" s="3">
        <v>10888</v>
      </c>
      <c r="AO21" s="3">
        <v>8182</v>
      </c>
      <c r="AP21" s="3">
        <v>8690</v>
      </c>
      <c r="AQ21" s="3">
        <v>8850</v>
      </c>
      <c r="AR21" s="3">
        <v>7716</v>
      </c>
      <c r="AS21" s="3">
        <v>8300</v>
      </c>
      <c r="AT21" s="3">
        <v>7150</v>
      </c>
      <c r="AU21" s="3">
        <v>6700</v>
      </c>
      <c r="AV21" s="3">
        <v>7200</v>
      </c>
      <c r="AW21" s="3">
        <v>7500</v>
      </c>
      <c r="AX21" s="3">
        <v>7100</v>
      </c>
      <c r="AY21" s="3">
        <v>7900</v>
      </c>
      <c r="AZ21" s="3">
        <v>7200</v>
      </c>
      <c r="BA21" s="3">
        <v>6600</v>
      </c>
      <c r="BB21" s="44">
        <v>6700</v>
      </c>
      <c r="BC21" s="42">
        <f>BC18+BC19-BC20</f>
        <v>6964.7049999999999</v>
      </c>
      <c r="BD21" s="42"/>
    </row>
    <row r="22" spans="1:56" s="5" customFormat="1" x14ac:dyDescent="0.25">
      <c r="A22" s="12"/>
      <c r="B22" s="2" t="s">
        <v>14</v>
      </c>
      <c r="C22" s="2" t="s">
        <v>42</v>
      </c>
      <c r="D22" s="3">
        <f>110001008/1000</f>
        <v>110001.008</v>
      </c>
      <c r="E22" s="3">
        <f>103967008/1000</f>
        <v>103967.008</v>
      </c>
      <c r="F22" s="3">
        <f>91913008/1000</f>
        <v>91913.008000000002</v>
      </c>
      <c r="G22" s="3">
        <f>104225008/1000</f>
        <v>104225.008</v>
      </c>
      <c r="H22" s="3">
        <f>122077008/1000</f>
        <v>122077.008</v>
      </c>
      <c r="I22" s="3">
        <f>123990000/1000</f>
        <v>123990</v>
      </c>
      <c r="J22" s="3">
        <f>92827008/1000</f>
        <v>92827.008000000002</v>
      </c>
      <c r="K22" s="3">
        <f>95500000/1000</f>
        <v>95500</v>
      </c>
      <c r="L22" s="3">
        <f>124676096/1000</f>
        <v>124676.09600000001</v>
      </c>
      <c r="M22" s="3">
        <f>135024000/1000</f>
        <v>135024</v>
      </c>
      <c r="N22" s="3">
        <f>126368000/1000</f>
        <v>126368</v>
      </c>
      <c r="O22" s="3">
        <f>113569504/1000</f>
        <v>113569.504</v>
      </c>
      <c r="P22" s="3">
        <f>124866704/1000</f>
        <v>124866.704</v>
      </c>
      <c r="Q22" s="3">
        <f>140805008/1000</f>
        <v>140805.008</v>
      </c>
      <c r="R22" s="3">
        <f>144288896/1000</f>
        <v>144288.89600000001</v>
      </c>
      <c r="S22" s="3">
        <f>140603504/1000</f>
        <v>140603.50399999999</v>
      </c>
      <c r="T22" s="3">
        <f>153007008/1000</f>
        <v>153007.008</v>
      </c>
      <c r="U22" s="3">
        <f>176965008/1000</f>
        <v>176965.008</v>
      </c>
      <c r="V22" s="3">
        <f>151655104/1000</f>
        <v>151655.10399999999</v>
      </c>
      <c r="W22" s="3">
        <f>128833408/1000</f>
        <v>128833.408</v>
      </c>
      <c r="X22" s="3">
        <f>154248000/1000</f>
        <v>154248</v>
      </c>
      <c r="Y22" s="3">
        <f>186357600/1000</f>
        <v>186357.6</v>
      </c>
      <c r="Z22" s="3">
        <f>189505600/1000</f>
        <v>189505.6</v>
      </c>
      <c r="AA22" s="3">
        <f>174076000/1000</f>
        <v>174076</v>
      </c>
      <c r="AB22" s="3">
        <f>170319200/1000</f>
        <v>170319.2</v>
      </c>
      <c r="AC22" s="3">
        <f>171680992/1000</f>
        <v>171680.992</v>
      </c>
      <c r="AD22" s="3">
        <f>186089504/1000</f>
        <v>186089.50399999999</v>
      </c>
      <c r="AE22" s="3">
        <f>196736896/1000</f>
        <v>196736.89600000001</v>
      </c>
      <c r="AF22" s="3">
        <f>203036800/1000</f>
        <v>203036.79999999999</v>
      </c>
      <c r="AG22" s="3">
        <f>225569200/1000</f>
        <v>225569.2</v>
      </c>
      <c r="AH22" s="3">
        <f>241045504/1000</f>
        <v>241045.50399999999</v>
      </c>
      <c r="AI22" s="3">
        <f>254000000/1000</f>
        <v>254000</v>
      </c>
      <c r="AJ22" s="3">
        <f>228030000/1000</f>
        <v>228030</v>
      </c>
      <c r="AK22" s="3">
        <f>229670000/1000</f>
        <v>229670</v>
      </c>
      <c r="AL22" s="3">
        <f>27554000/1000</f>
        <v>27554</v>
      </c>
      <c r="AM22" s="3">
        <f>281100000/1000</f>
        <v>281100</v>
      </c>
      <c r="AN22" s="3">
        <f>277560000/1000</f>
        <v>277560</v>
      </c>
      <c r="AO22" s="3">
        <f>279541500/1000</f>
        <v>279541.5</v>
      </c>
      <c r="AP22" s="3">
        <f>310332800/1000</f>
        <v>310332.79999999999</v>
      </c>
      <c r="AQ22" s="3">
        <f>299323900/1000</f>
        <v>299323.90000000002</v>
      </c>
      <c r="AR22" s="3">
        <f>295956000/1000</f>
        <v>295956</v>
      </c>
      <c r="AS22" s="3">
        <f>297207800/1000</f>
        <v>297207.8</v>
      </c>
      <c r="AT22" s="3">
        <f>287383200/1000</f>
        <v>287383.2</v>
      </c>
      <c r="AU22" s="3">
        <f>233861800/1000</f>
        <v>233861.8</v>
      </c>
      <c r="AV22" s="3">
        <f>237088400/1000</f>
        <v>237088.4</v>
      </c>
      <c r="AW22" s="3">
        <f>281171800/1000</f>
        <v>281171.8</v>
      </c>
      <c r="AX22" s="3">
        <f>355519700/1000</f>
        <v>355519.7</v>
      </c>
      <c r="AY22" s="3">
        <f>348187900/1000</f>
        <v>348187.9</v>
      </c>
      <c r="AZ22" s="3">
        <f>285029300/1000</f>
        <v>285029.3</v>
      </c>
      <c r="BA22" s="3">
        <f>292301600/1000</f>
        <v>292301.59999999998</v>
      </c>
      <c r="BB22" s="45">
        <f>342382000/1000</f>
        <v>342382</v>
      </c>
      <c r="BC22" s="43">
        <f>361037000/1000</f>
        <v>361037</v>
      </c>
      <c r="BD22" s="43">
        <f>341200000/1000</f>
        <v>341200</v>
      </c>
    </row>
    <row r="23" spans="1:56" x14ac:dyDescent="0.25">
      <c r="A23" s="12"/>
      <c r="B23" s="6"/>
      <c r="C23" s="6" t="s">
        <v>45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1</v>
      </c>
      <c r="Q23" s="7">
        <v>3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192</v>
      </c>
      <c r="X23" s="7">
        <v>228</v>
      </c>
      <c r="Y23" s="7">
        <v>0</v>
      </c>
      <c r="Z23" s="7">
        <v>0</v>
      </c>
      <c r="AA23" s="7">
        <v>81</v>
      </c>
      <c r="AB23" s="8">
        <v>1298</v>
      </c>
      <c r="AC23" s="8">
        <v>1732</v>
      </c>
      <c r="AD23" s="8">
        <v>1020</v>
      </c>
      <c r="AE23" s="7">
        <v>76</v>
      </c>
      <c r="AF23" s="7">
        <v>0</v>
      </c>
      <c r="AG23" s="7">
        <v>53</v>
      </c>
      <c r="AH23" s="7">
        <v>0</v>
      </c>
      <c r="AI23" s="7">
        <v>0</v>
      </c>
      <c r="AJ23" s="7">
        <v>0</v>
      </c>
      <c r="AK23" s="8">
        <v>1500</v>
      </c>
      <c r="AL23" s="7">
        <v>685</v>
      </c>
      <c r="AM23" s="7">
        <v>0</v>
      </c>
      <c r="AN23" s="7">
        <v>27</v>
      </c>
      <c r="AO23" s="8">
        <v>1000</v>
      </c>
      <c r="AP23" s="8">
        <v>1075</v>
      </c>
      <c r="AQ23" s="7">
        <v>438</v>
      </c>
      <c r="AR23" s="7">
        <v>0</v>
      </c>
      <c r="AS23" s="7">
        <v>100</v>
      </c>
      <c r="AT23" s="7">
        <v>10</v>
      </c>
      <c r="AU23" s="7">
        <v>550</v>
      </c>
      <c r="AV23" s="8">
        <v>2135</v>
      </c>
      <c r="AW23" s="7">
        <v>50</v>
      </c>
      <c r="AX23" s="7">
        <v>0</v>
      </c>
      <c r="AY23" s="7">
        <v>0</v>
      </c>
      <c r="AZ23" s="8">
        <v>2786</v>
      </c>
      <c r="BA23" s="8">
        <v>4110</v>
      </c>
      <c r="BB23" s="48">
        <v>1000</v>
      </c>
      <c r="BC23" s="42"/>
      <c r="BD23" s="42"/>
    </row>
    <row r="24" spans="1:56" s="5" customFormat="1" x14ac:dyDescent="0.25">
      <c r="A24" s="12"/>
      <c r="B24" s="2"/>
      <c r="C24" s="2" t="s">
        <v>44</v>
      </c>
      <c r="D24" s="4">
        <v>296</v>
      </c>
      <c r="E24" s="4">
        <v>381</v>
      </c>
      <c r="F24" s="4">
        <v>290</v>
      </c>
      <c r="G24" s="4">
        <v>274</v>
      </c>
      <c r="H24" s="4">
        <v>270</v>
      </c>
      <c r="I24" s="4">
        <v>446</v>
      </c>
      <c r="J24" s="4">
        <v>177</v>
      </c>
      <c r="K24" s="4">
        <v>164</v>
      </c>
      <c r="L24" s="4">
        <v>106</v>
      </c>
      <c r="M24" s="4">
        <v>358</v>
      </c>
      <c r="N24" s="4">
        <v>323</v>
      </c>
      <c r="O24" s="4">
        <v>166</v>
      </c>
      <c r="P24" s="4">
        <v>102</v>
      </c>
      <c r="Q24" s="4">
        <v>375</v>
      </c>
      <c r="R24" s="4">
        <v>398</v>
      </c>
      <c r="S24" s="4">
        <v>887</v>
      </c>
      <c r="T24" s="4">
        <v>332</v>
      </c>
      <c r="U24" s="4">
        <v>215</v>
      </c>
      <c r="V24" s="4">
        <v>919</v>
      </c>
      <c r="W24" s="4">
        <v>243</v>
      </c>
      <c r="X24" s="4">
        <v>65</v>
      </c>
      <c r="Y24" s="4">
        <v>408</v>
      </c>
      <c r="Z24" s="4">
        <v>441</v>
      </c>
      <c r="AA24" s="4">
        <v>765</v>
      </c>
      <c r="AB24" s="4">
        <v>20</v>
      </c>
      <c r="AC24" s="4">
        <v>39</v>
      </c>
      <c r="AD24" s="4">
        <v>21</v>
      </c>
      <c r="AE24" s="4">
        <v>19</v>
      </c>
      <c r="AF24" s="4">
        <v>30</v>
      </c>
      <c r="AG24" s="4">
        <v>32</v>
      </c>
      <c r="AH24" s="4">
        <v>239</v>
      </c>
      <c r="AI24" s="4">
        <v>590</v>
      </c>
      <c r="AJ24" s="4">
        <v>390</v>
      </c>
      <c r="AK24" s="4">
        <v>30</v>
      </c>
      <c r="AL24" s="4">
        <v>40</v>
      </c>
      <c r="AM24" s="4">
        <v>940</v>
      </c>
      <c r="AN24" s="4">
        <v>422</v>
      </c>
      <c r="AO24" s="4">
        <v>21</v>
      </c>
      <c r="AP24" s="4">
        <v>10</v>
      </c>
      <c r="AQ24" s="4">
        <v>25</v>
      </c>
      <c r="AR24" s="3">
        <v>1360</v>
      </c>
      <c r="AS24" s="3">
        <v>1130</v>
      </c>
      <c r="AT24" s="3">
        <v>1410</v>
      </c>
      <c r="AU24" s="4">
        <v>250</v>
      </c>
      <c r="AV24" s="4">
        <v>40</v>
      </c>
      <c r="AW24" s="3">
        <v>1510</v>
      </c>
      <c r="AX24" s="3">
        <v>2680</v>
      </c>
      <c r="AY24" s="3">
        <v>5830</v>
      </c>
      <c r="AZ24" s="4">
        <v>176</v>
      </c>
      <c r="BA24" s="4">
        <v>5</v>
      </c>
      <c r="BB24" s="45">
        <v>20</v>
      </c>
      <c r="BC24" s="43"/>
      <c r="BD24" s="43"/>
    </row>
    <row r="25" spans="1:56" ht="30" x14ac:dyDescent="0.25">
      <c r="A25" s="12"/>
      <c r="B25" s="6"/>
      <c r="C25" s="6" t="s">
        <v>43</v>
      </c>
      <c r="D25" s="8">
        <f>D22+D23-D24</f>
        <v>109705.008</v>
      </c>
      <c r="E25" s="8">
        <f t="shared" ref="E25:BC25" si="0">E22+E23-E24</f>
        <v>103586.008</v>
      </c>
      <c r="F25" s="8">
        <f t="shared" si="0"/>
        <v>91623.008000000002</v>
      </c>
      <c r="G25" s="8">
        <f t="shared" si="0"/>
        <v>103951.008</v>
      </c>
      <c r="H25" s="8">
        <f t="shared" si="0"/>
        <v>121807.008</v>
      </c>
      <c r="I25" s="8">
        <f t="shared" si="0"/>
        <v>123544</v>
      </c>
      <c r="J25" s="8">
        <f t="shared" si="0"/>
        <v>92650.008000000002</v>
      </c>
      <c r="K25" s="8">
        <f t="shared" si="0"/>
        <v>95336</v>
      </c>
      <c r="L25" s="8">
        <f t="shared" si="0"/>
        <v>124570.09600000001</v>
      </c>
      <c r="M25" s="8">
        <f t="shared" si="0"/>
        <v>134666</v>
      </c>
      <c r="N25" s="8">
        <f t="shared" si="0"/>
        <v>126045</v>
      </c>
      <c r="O25" s="8">
        <f t="shared" si="0"/>
        <v>113403.504</v>
      </c>
      <c r="P25" s="8">
        <f t="shared" si="0"/>
        <v>124765.704</v>
      </c>
      <c r="Q25" s="8">
        <f t="shared" si="0"/>
        <v>140433.008</v>
      </c>
      <c r="R25" s="8">
        <f t="shared" si="0"/>
        <v>143890.89600000001</v>
      </c>
      <c r="S25" s="8">
        <f t="shared" si="0"/>
        <v>139716.50399999999</v>
      </c>
      <c r="T25" s="8">
        <f t="shared" si="0"/>
        <v>152675.008</v>
      </c>
      <c r="U25" s="8">
        <f t="shared" si="0"/>
        <v>176750.008</v>
      </c>
      <c r="V25" s="8">
        <f t="shared" si="0"/>
        <v>150736.10399999999</v>
      </c>
      <c r="W25" s="8">
        <f t="shared" si="0"/>
        <v>128782.408</v>
      </c>
      <c r="X25" s="8">
        <f t="shared" si="0"/>
        <v>154411</v>
      </c>
      <c r="Y25" s="8">
        <f t="shared" si="0"/>
        <v>185949.6</v>
      </c>
      <c r="Z25" s="8">
        <f t="shared" si="0"/>
        <v>189064.6</v>
      </c>
      <c r="AA25" s="8">
        <f t="shared" si="0"/>
        <v>173392</v>
      </c>
      <c r="AB25" s="8">
        <f t="shared" si="0"/>
        <v>171597.2</v>
      </c>
      <c r="AC25" s="8">
        <f t="shared" si="0"/>
        <v>173373.992</v>
      </c>
      <c r="AD25" s="8">
        <f t="shared" si="0"/>
        <v>187088.50399999999</v>
      </c>
      <c r="AE25" s="8">
        <f t="shared" si="0"/>
        <v>196793.89600000001</v>
      </c>
      <c r="AF25" s="8">
        <f t="shared" si="0"/>
        <v>203006.8</v>
      </c>
      <c r="AG25" s="8">
        <f t="shared" si="0"/>
        <v>225590.2</v>
      </c>
      <c r="AH25" s="8">
        <f t="shared" si="0"/>
        <v>240806.50399999999</v>
      </c>
      <c r="AI25" s="8">
        <f t="shared" si="0"/>
        <v>253410</v>
      </c>
      <c r="AJ25" s="8">
        <f t="shared" si="0"/>
        <v>227640</v>
      </c>
      <c r="AK25" s="8">
        <f t="shared" si="0"/>
        <v>231140</v>
      </c>
      <c r="AL25" s="8">
        <f t="shared" si="0"/>
        <v>28199</v>
      </c>
      <c r="AM25" s="8">
        <f t="shared" si="0"/>
        <v>280160</v>
      </c>
      <c r="AN25" s="8">
        <f t="shared" si="0"/>
        <v>277165</v>
      </c>
      <c r="AO25" s="8">
        <f t="shared" si="0"/>
        <v>280520.5</v>
      </c>
      <c r="AP25" s="8">
        <f t="shared" si="0"/>
        <v>311397.8</v>
      </c>
      <c r="AQ25" s="8">
        <f t="shared" si="0"/>
        <v>299736.90000000002</v>
      </c>
      <c r="AR25" s="8">
        <f t="shared" si="0"/>
        <v>294596</v>
      </c>
      <c r="AS25" s="8">
        <f t="shared" si="0"/>
        <v>296177.8</v>
      </c>
      <c r="AT25" s="8">
        <f t="shared" si="0"/>
        <v>285983.2</v>
      </c>
      <c r="AU25" s="8">
        <f t="shared" si="0"/>
        <v>234161.8</v>
      </c>
      <c r="AV25" s="8">
        <f t="shared" si="0"/>
        <v>239183.4</v>
      </c>
      <c r="AW25" s="8">
        <f t="shared" si="0"/>
        <v>279711.8</v>
      </c>
      <c r="AX25" s="8">
        <f t="shared" si="0"/>
        <v>352839.7</v>
      </c>
      <c r="AY25" s="8">
        <f t="shared" si="0"/>
        <v>342357.9</v>
      </c>
      <c r="AZ25" s="8">
        <f t="shared" si="0"/>
        <v>287639.3</v>
      </c>
      <c r="BA25" s="8">
        <f t="shared" si="0"/>
        <v>296406.59999999998</v>
      </c>
      <c r="BB25" s="47">
        <f t="shared" si="0"/>
        <v>343362</v>
      </c>
      <c r="BC25" s="47">
        <f t="shared" si="0"/>
        <v>361037</v>
      </c>
      <c r="BD25" s="42"/>
    </row>
    <row r="26" spans="1:56" x14ac:dyDescent="0.25">
      <c r="A26" s="12"/>
      <c r="B26" s="2" t="s">
        <v>15</v>
      </c>
      <c r="C26" s="2" t="s">
        <v>6</v>
      </c>
      <c r="D26" s="3">
        <v>10320</v>
      </c>
      <c r="E26" s="3">
        <v>10995</v>
      </c>
      <c r="F26" s="3">
        <v>12076</v>
      </c>
      <c r="G26" s="3">
        <v>10779</v>
      </c>
      <c r="H26" s="3">
        <v>9854</v>
      </c>
      <c r="I26" s="3">
        <v>12258</v>
      </c>
      <c r="J26" s="3">
        <v>10394</v>
      </c>
      <c r="K26" s="3">
        <v>11393</v>
      </c>
      <c r="L26" s="3">
        <v>16540</v>
      </c>
      <c r="M26" s="3">
        <v>18651</v>
      </c>
      <c r="N26" s="3">
        <v>20093</v>
      </c>
      <c r="O26" s="3">
        <v>23832</v>
      </c>
      <c r="P26" s="3">
        <v>26410</v>
      </c>
      <c r="Q26" s="3">
        <v>24735</v>
      </c>
      <c r="R26" s="3">
        <v>21778</v>
      </c>
      <c r="S26" s="3">
        <v>24104</v>
      </c>
      <c r="T26" s="3">
        <v>28846</v>
      </c>
      <c r="U26" s="3">
        <v>29010</v>
      </c>
      <c r="V26" s="3">
        <v>31749</v>
      </c>
      <c r="W26" s="3">
        <v>35508</v>
      </c>
      <c r="X26" s="3">
        <v>31830</v>
      </c>
      <c r="Y26" s="3">
        <v>36313</v>
      </c>
      <c r="Z26" s="3">
        <v>37452</v>
      </c>
      <c r="AA26" s="3">
        <v>42794</v>
      </c>
      <c r="AB26" s="3">
        <v>45476</v>
      </c>
      <c r="AC26" s="3">
        <v>44069</v>
      </c>
      <c r="AD26" s="3">
        <v>47052</v>
      </c>
      <c r="AE26" s="3">
        <v>44323</v>
      </c>
      <c r="AF26" s="3">
        <v>46169</v>
      </c>
      <c r="AG26" s="3">
        <v>54110</v>
      </c>
      <c r="AH26" s="3">
        <v>49850</v>
      </c>
      <c r="AI26" s="3">
        <v>55134</v>
      </c>
      <c r="AJ26" s="3">
        <v>55690</v>
      </c>
      <c r="AK26" s="3">
        <v>57210</v>
      </c>
      <c r="AL26" s="3">
        <v>59840</v>
      </c>
      <c r="AM26" s="3">
        <v>65470</v>
      </c>
      <c r="AN26" s="3">
        <v>62097</v>
      </c>
      <c r="AO26" s="3">
        <v>69350</v>
      </c>
      <c r="AP26" s="3">
        <v>66350</v>
      </c>
      <c r="AQ26" s="3">
        <v>70780</v>
      </c>
      <c r="AR26" s="3">
        <v>76369</v>
      </c>
      <c r="AS26" s="3">
        <v>69680</v>
      </c>
      <c r="AT26" s="3">
        <v>71810</v>
      </c>
      <c r="AU26" s="3">
        <v>65100</v>
      </c>
      <c r="AV26" s="3">
        <v>72150</v>
      </c>
      <c r="AW26" s="3">
        <v>68640</v>
      </c>
      <c r="AX26" s="3">
        <v>69350</v>
      </c>
      <c r="AY26" s="3">
        <v>75810</v>
      </c>
      <c r="AZ26" s="3">
        <v>78570</v>
      </c>
      <c r="BA26" s="3">
        <v>80680</v>
      </c>
      <c r="BB26" s="44">
        <v>80800</v>
      </c>
      <c r="BC26" s="42">
        <f>86874000/1000</f>
        <v>86874</v>
      </c>
      <c r="BD26" s="42">
        <f>94880000/1000</f>
        <v>94880</v>
      </c>
    </row>
    <row r="27" spans="1:56" s="5" customFormat="1" x14ac:dyDescent="0.25">
      <c r="A27" s="14"/>
      <c r="B27" s="6"/>
      <c r="C27" s="6" t="s">
        <v>7</v>
      </c>
      <c r="D27" s="8">
        <v>4398</v>
      </c>
      <c r="E27" s="8">
        <v>2798</v>
      </c>
      <c r="F27" s="8">
        <v>3546</v>
      </c>
      <c r="G27" s="8">
        <v>4275</v>
      </c>
      <c r="H27" s="8">
        <v>5977</v>
      </c>
      <c r="I27" s="8">
        <v>7157</v>
      </c>
      <c r="J27" s="8">
        <v>8030</v>
      </c>
      <c r="K27" s="8">
        <v>6393</v>
      </c>
      <c r="L27" s="8">
        <v>4355</v>
      </c>
      <c r="M27" s="8">
        <v>3188</v>
      </c>
      <c r="N27" s="8">
        <v>2927</v>
      </c>
      <c r="O27" s="8">
        <v>1749</v>
      </c>
      <c r="P27" s="7">
        <v>502</v>
      </c>
      <c r="Q27" s="8">
        <v>3243</v>
      </c>
      <c r="R27" s="8">
        <v>4970</v>
      </c>
      <c r="S27" s="8">
        <v>6900</v>
      </c>
      <c r="T27" s="8">
        <v>5066</v>
      </c>
      <c r="U27" s="7">
        <v>298</v>
      </c>
      <c r="V27" s="7">
        <v>50</v>
      </c>
      <c r="W27" s="7">
        <v>0</v>
      </c>
      <c r="X27" s="7">
        <v>50</v>
      </c>
      <c r="Y27" s="8">
        <v>2000</v>
      </c>
      <c r="Z27" s="8">
        <v>2486</v>
      </c>
      <c r="AA27" s="8">
        <v>3270</v>
      </c>
      <c r="AB27" s="7">
        <v>700</v>
      </c>
      <c r="AC27" s="7">
        <v>50</v>
      </c>
      <c r="AD27" s="7">
        <v>15</v>
      </c>
      <c r="AE27" s="7">
        <v>10</v>
      </c>
      <c r="AF27" s="8">
        <v>2100</v>
      </c>
      <c r="AG27" s="7">
        <v>100</v>
      </c>
      <c r="AH27" s="7">
        <v>100</v>
      </c>
      <c r="AI27" s="7">
        <v>100</v>
      </c>
      <c r="AJ27" s="8">
        <v>2500</v>
      </c>
      <c r="AK27" s="7">
        <v>500</v>
      </c>
      <c r="AL27" s="7">
        <v>30</v>
      </c>
      <c r="AM27" s="7">
        <v>50</v>
      </c>
      <c r="AN27" s="8">
        <v>1445</v>
      </c>
      <c r="AO27" s="8">
        <v>1731</v>
      </c>
      <c r="AP27" s="8">
        <v>2203</v>
      </c>
      <c r="AQ27" s="8">
        <v>1372</v>
      </c>
      <c r="AR27" s="7">
        <v>441</v>
      </c>
      <c r="AS27" s="7">
        <v>32</v>
      </c>
      <c r="AT27" s="7">
        <v>34</v>
      </c>
      <c r="AU27" s="7">
        <v>8</v>
      </c>
      <c r="AV27" s="7">
        <v>8</v>
      </c>
      <c r="AW27" s="7">
        <v>41</v>
      </c>
      <c r="AX27" s="8">
        <v>6721</v>
      </c>
      <c r="AY27" s="8">
        <v>1962</v>
      </c>
      <c r="AZ27" s="7">
        <v>7</v>
      </c>
      <c r="BA27" s="7">
        <v>291</v>
      </c>
      <c r="BB27" s="47">
        <v>300</v>
      </c>
      <c r="BC27" s="43">
        <f>25/1000</f>
        <v>2.5000000000000001E-2</v>
      </c>
      <c r="BD27" s="43"/>
    </row>
    <row r="28" spans="1:56" x14ac:dyDescent="0.25">
      <c r="A28" s="12"/>
      <c r="B28" s="2"/>
      <c r="C28" s="2" t="s">
        <v>8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1</v>
      </c>
      <c r="M28" s="4">
        <v>14</v>
      </c>
      <c r="N28" s="4">
        <v>13</v>
      </c>
      <c r="O28" s="4">
        <v>5</v>
      </c>
      <c r="P28" s="4">
        <v>667</v>
      </c>
      <c r="Q28" s="4">
        <v>0</v>
      </c>
      <c r="R28" s="4">
        <v>0</v>
      </c>
      <c r="S28" s="4">
        <v>0</v>
      </c>
      <c r="T28" s="4">
        <v>0</v>
      </c>
      <c r="U28" s="4">
        <v>536</v>
      </c>
      <c r="V28" s="4">
        <v>614</v>
      </c>
      <c r="W28" s="4">
        <v>481</v>
      </c>
      <c r="X28" s="4">
        <v>55</v>
      </c>
      <c r="Y28" s="4">
        <v>0</v>
      </c>
      <c r="Z28" s="4">
        <v>100</v>
      </c>
      <c r="AA28" s="4">
        <v>35</v>
      </c>
      <c r="AB28" s="4">
        <v>100</v>
      </c>
      <c r="AC28" s="4">
        <v>400</v>
      </c>
      <c r="AD28" s="4">
        <v>500</v>
      </c>
      <c r="AE28" s="4">
        <v>500</v>
      </c>
      <c r="AF28" s="4">
        <v>20</v>
      </c>
      <c r="AG28" s="4">
        <v>20</v>
      </c>
      <c r="AH28" s="4">
        <v>200</v>
      </c>
      <c r="AI28" s="4">
        <v>680</v>
      </c>
      <c r="AJ28" s="4">
        <v>50</v>
      </c>
      <c r="AK28" s="4">
        <v>28</v>
      </c>
      <c r="AL28" s="4">
        <v>100</v>
      </c>
      <c r="AM28" s="3">
        <v>1500</v>
      </c>
      <c r="AN28" s="3">
        <v>2000</v>
      </c>
      <c r="AO28" s="4">
        <v>0</v>
      </c>
      <c r="AP28" s="4">
        <v>0</v>
      </c>
      <c r="AQ28" s="4">
        <v>200</v>
      </c>
      <c r="AR28" s="3">
        <v>1569</v>
      </c>
      <c r="AS28" s="3">
        <v>3087</v>
      </c>
      <c r="AT28" s="3">
        <v>4850</v>
      </c>
      <c r="AU28" s="3">
        <v>5650</v>
      </c>
      <c r="AV28" s="3">
        <v>2120</v>
      </c>
      <c r="AW28" s="4">
        <v>801</v>
      </c>
      <c r="AX28" s="4">
        <v>94</v>
      </c>
      <c r="AY28" s="4">
        <v>49</v>
      </c>
      <c r="AZ28" s="4">
        <v>23</v>
      </c>
      <c r="BA28" s="4">
        <v>58</v>
      </c>
      <c r="BB28" s="44">
        <v>200</v>
      </c>
      <c r="BC28" s="42">
        <f>499901/1000</f>
        <v>499.90100000000001</v>
      </c>
      <c r="BD28" s="42"/>
    </row>
    <row r="29" spans="1:56" s="5" customFormat="1" x14ac:dyDescent="0.25">
      <c r="A29" s="14"/>
      <c r="B29" s="6"/>
      <c r="C29" s="6" t="s">
        <v>9</v>
      </c>
      <c r="D29" s="8">
        <v>14218</v>
      </c>
      <c r="E29" s="8">
        <v>13893</v>
      </c>
      <c r="F29" s="8">
        <v>14822</v>
      </c>
      <c r="G29" s="8">
        <v>16054</v>
      </c>
      <c r="H29" s="8">
        <v>16531</v>
      </c>
      <c r="I29" s="8">
        <v>18115</v>
      </c>
      <c r="J29" s="8">
        <v>19324</v>
      </c>
      <c r="K29" s="8">
        <v>17786</v>
      </c>
      <c r="L29" s="8">
        <v>19294</v>
      </c>
      <c r="M29" s="8">
        <v>21725</v>
      </c>
      <c r="N29" s="8">
        <v>22007</v>
      </c>
      <c r="O29" s="8">
        <v>23576</v>
      </c>
      <c r="P29" s="8">
        <v>28245</v>
      </c>
      <c r="Q29" s="8">
        <v>30178</v>
      </c>
      <c r="R29" s="8">
        <v>27048</v>
      </c>
      <c r="S29" s="8">
        <v>27004</v>
      </c>
      <c r="T29" s="8">
        <v>28412</v>
      </c>
      <c r="U29" s="8">
        <v>30772</v>
      </c>
      <c r="V29" s="8">
        <v>33685</v>
      </c>
      <c r="W29" s="8">
        <v>36027</v>
      </c>
      <c r="X29" s="8">
        <v>34325</v>
      </c>
      <c r="Y29" s="8">
        <v>36313</v>
      </c>
      <c r="Z29" s="8">
        <v>37838</v>
      </c>
      <c r="AA29" s="8">
        <v>42029</v>
      </c>
      <c r="AB29" s="8">
        <v>43076</v>
      </c>
      <c r="AC29" s="8">
        <v>43719</v>
      </c>
      <c r="AD29" s="8">
        <v>45567</v>
      </c>
      <c r="AE29" s="8">
        <v>56492</v>
      </c>
      <c r="AF29" s="8">
        <v>48929</v>
      </c>
      <c r="AG29" s="8">
        <v>53201</v>
      </c>
      <c r="AH29" s="8">
        <v>47595</v>
      </c>
      <c r="AI29" s="8">
        <v>58009</v>
      </c>
      <c r="AJ29" s="8">
        <v>57515</v>
      </c>
      <c r="AK29" s="8">
        <v>53377</v>
      </c>
      <c r="AL29" s="8">
        <v>58330</v>
      </c>
      <c r="AM29" s="8">
        <v>64978</v>
      </c>
      <c r="AN29" s="8">
        <v>66064</v>
      </c>
      <c r="AO29" s="8">
        <v>69246</v>
      </c>
      <c r="AP29" s="8">
        <v>63707</v>
      </c>
      <c r="AQ29" s="8">
        <v>68793</v>
      </c>
      <c r="AR29" s="8">
        <v>66821</v>
      </c>
      <c r="AS29" s="8">
        <v>65125</v>
      </c>
      <c r="AT29" s="8">
        <v>74294</v>
      </c>
      <c r="AU29" s="8">
        <v>68258</v>
      </c>
      <c r="AV29" s="8">
        <v>72838</v>
      </c>
      <c r="AW29" s="8">
        <v>69980</v>
      </c>
      <c r="AX29" s="8">
        <v>73477</v>
      </c>
      <c r="AY29" s="8">
        <v>76423</v>
      </c>
      <c r="AZ29" s="8">
        <v>70924</v>
      </c>
      <c r="BA29" s="8">
        <v>78150</v>
      </c>
      <c r="BB29" s="47">
        <v>82525</v>
      </c>
      <c r="BC29" s="43">
        <f>BC26+BC27-BC28</f>
        <v>86374.123999999996</v>
      </c>
      <c r="BD29" s="43"/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4"/>
  <sheetViews>
    <sheetView zoomScaleNormal="100" workbookViewId="0">
      <pane xSplit="6" ySplit="15" topLeftCell="AW22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x14ac:dyDescent="0.25">
      <c r="A2" s="12" t="s">
        <v>23</v>
      </c>
      <c r="B2" s="2" t="s">
        <v>5</v>
      </c>
      <c r="C2" s="2" t="s">
        <v>6</v>
      </c>
      <c r="D2" s="3">
        <v>2460</v>
      </c>
      <c r="E2" s="3">
        <v>2283</v>
      </c>
      <c r="F2" s="3">
        <v>3243</v>
      </c>
      <c r="G2" s="3">
        <v>2358</v>
      </c>
      <c r="H2" s="3">
        <v>3769</v>
      </c>
      <c r="I2" s="3">
        <v>2365</v>
      </c>
      <c r="J2" s="3">
        <v>3717</v>
      </c>
      <c r="K2" s="3">
        <v>2369</v>
      </c>
      <c r="L2" s="3">
        <v>3166</v>
      </c>
      <c r="M2" s="3">
        <v>2293</v>
      </c>
      <c r="N2" s="3">
        <v>2825</v>
      </c>
      <c r="O2" s="3">
        <v>2606</v>
      </c>
      <c r="P2" s="3">
        <v>2254</v>
      </c>
      <c r="Q2" s="3">
        <v>3690</v>
      </c>
      <c r="R2" s="3">
        <v>3011</v>
      </c>
      <c r="S2" s="3">
        <v>2903</v>
      </c>
      <c r="T2" s="3">
        <v>2572</v>
      </c>
      <c r="U2" s="3">
        <v>3143</v>
      </c>
      <c r="V2" s="3">
        <v>4029</v>
      </c>
      <c r="W2" s="3">
        <v>3606</v>
      </c>
      <c r="X2" s="3">
        <v>3991</v>
      </c>
      <c r="Y2" s="3">
        <v>4509</v>
      </c>
      <c r="Z2" s="3">
        <v>3235</v>
      </c>
      <c r="AA2" s="3">
        <v>5087</v>
      </c>
      <c r="AB2" s="3">
        <v>5288</v>
      </c>
      <c r="AC2" s="3">
        <v>4330</v>
      </c>
      <c r="AD2" s="3">
        <v>5000</v>
      </c>
      <c r="AE2" s="3">
        <v>4800</v>
      </c>
      <c r="AF2" s="3">
        <v>5200</v>
      </c>
      <c r="AG2" s="3">
        <v>5000</v>
      </c>
      <c r="AH2" s="3">
        <v>5000</v>
      </c>
      <c r="AI2" s="3">
        <v>5400</v>
      </c>
      <c r="AJ2" s="3">
        <v>5650</v>
      </c>
      <c r="AK2" s="3">
        <v>5400</v>
      </c>
      <c r="AL2" s="3">
        <v>6100</v>
      </c>
      <c r="AM2" s="3">
        <v>6000</v>
      </c>
      <c r="AN2" s="3">
        <v>5950</v>
      </c>
      <c r="AO2" s="3">
        <v>5700</v>
      </c>
      <c r="AP2" s="3">
        <v>6500</v>
      </c>
      <c r="AQ2" s="3">
        <v>6200</v>
      </c>
      <c r="AR2" s="3">
        <v>5900</v>
      </c>
      <c r="AS2" s="3">
        <v>6000</v>
      </c>
      <c r="AT2" s="3">
        <v>6100</v>
      </c>
      <c r="AU2" s="3">
        <v>6350</v>
      </c>
      <c r="AV2" s="3">
        <v>7200</v>
      </c>
      <c r="AW2" s="3">
        <v>6800</v>
      </c>
      <c r="AX2" s="3">
        <v>7850</v>
      </c>
      <c r="AY2" s="3">
        <v>8500</v>
      </c>
      <c r="AZ2" s="3">
        <v>8700</v>
      </c>
      <c r="BA2" s="3">
        <v>6900</v>
      </c>
      <c r="BB2" s="3">
        <f>17643250/1000</f>
        <v>17643.25</v>
      </c>
      <c r="BC2" s="42">
        <f>19387022/1000</f>
        <v>19387.022000000001</v>
      </c>
      <c r="BD2" s="42">
        <f>18511853/1000</f>
        <v>18511.852999999999</v>
      </c>
    </row>
    <row r="3" spans="1:56" s="5" customFormat="1" x14ac:dyDescent="0.25">
      <c r="A3" s="14"/>
      <c r="B3" s="6"/>
      <c r="C3" s="6" t="s">
        <v>7</v>
      </c>
      <c r="D3" s="7">
        <v>0</v>
      </c>
      <c r="E3" s="7">
        <v>0</v>
      </c>
      <c r="F3" s="7">
        <v>0</v>
      </c>
      <c r="G3" s="7">
        <v>0</v>
      </c>
      <c r="H3" s="7">
        <v>0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5</v>
      </c>
      <c r="Q3" s="7">
        <v>142</v>
      </c>
      <c r="R3" s="7">
        <v>0</v>
      </c>
      <c r="S3" s="7">
        <v>0</v>
      </c>
      <c r="T3" s="7">
        <v>69</v>
      </c>
      <c r="U3" s="7">
        <v>14</v>
      </c>
      <c r="V3" s="7">
        <v>46</v>
      </c>
      <c r="W3" s="7">
        <v>70</v>
      </c>
      <c r="X3" s="7">
        <v>34</v>
      </c>
      <c r="Y3" s="7">
        <v>2</v>
      </c>
      <c r="Z3" s="7">
        <v>198</v>
      </c>
      <c r="AA3" s="7">
        <v>51</v>
      </c>
      <c r="AB3" s="7">
        <v>59</v>
      </c>
      <c r="AC3" s="7">
        <v>50</v>
      </c>
      <c r="AD3" s="7">
        <v>61</v>
      </c>
      <c r="AE3" s="7">
        <v>200</v>
      </c>
      <c r="AF3" s="7">
        <v>15</v>
      </c>
      <c r="AG3" s="7">
        <v>0</v>
      </c>
      <c r="AH3" s="7">
        <v>135</v>
      </c>
      <c r="AI3" s="7">
        <v>228</v>
      </c>
      <c r="AJ3" s="7">
        <v>357</v>
      </c>
      <c r="AK3" s="8">
        <v>1082</v>
      </c>
      <c r="AL3" s="8">
        <v>1736</v>
      </c>
      <c r="AM3" s="7">
        <v>842</v>
      </c>
      <c r="AN3" s="7">
        <v>895</v>
      </c>
      <c r="AO3" s="7">
        <v>516</v>
      </c>
      <c r="AP3" s="7">
        <v>455</v>
      </c>
      <c r="AQ3" s="8">
        <v>1229</v>
      </c>
      <c r="AR3" s="8">
        <v>1280</v>
      </c>
      <c r="AS3" s="8">
        <v>1149</v>
      </c>
      <c r="AT3" s="8">
        <v>1633</v>
      </c>
      <c r="AU3" s="8">
        <v>1436</v>
      </c>
      <c r="AV3" s="7">
        <v>541</v>
      </c>
      <c r="AW3" s="8">
        <v>1443</v>
      </c>
      <c r="AX3" s="8">
        <v>1069</v>
      </c>
      <c r="AY3" s="7">
        <v>294</v>
      </c>
      <c r="AZ3" s="7">
        <v>317</v>
      </c>
      <c r="BA3" s="8">
        <v>1321</v>
      </c>
      <c r="BB3" s="8">
        <f>3207657/1000</f>
        <v>3207.6570000000002</v>
      </c>
      <c r="BC3" s="43"/>
      <c r="BD3" s="43"/>
    </row>
    <row r="4" spans="1:56" x14ac:dyDescent="0.25">
      <c r="A4" s="12"/>
      <c r="B4" s="2"/>
      <c r="C4" s="2" t="s">
        <v>8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5</v>
      </c>
      <c r="J4" s="4">
        <v>86</v>
      </c>
      <c r="K4" s="4">
        <v>159</v>
      </c>
      <c r="L4" s="4">
        <v>66</v>
      </c>
      <c r="M4" s="4">
        <v>156</v>
      </c>
      <c r="N4" s="4">
        <v>286</v>
      </c>
      <c r="O4" s="4">
        <v>219</v>
      </c>
      <c r="P4" s="4">
        <v>80</v>
      </c>
      <c r="Q4" s="4">
        <v>181</v>
      </c>
      <c r="R4" s="4">
        <v>197</v>
      </c>
      <c r="S4" s="4">
        <v>51</v>
      </c>
      <c r="T4" s="4">
        <v>4</v>
      </c>
      <c r="U4" s="4">
        <v>10</v>
      </c>
      <c r="V4" s="4">
        <v>21</v>
      </c>
      <c r="W4" s="4">
        <v>7</v>
      </c>
      <c r="X4" s="4">
        <v>15</v>
      </c>
      <c r="Y4" s="4">
        <v>5</v>
      </c>
      <c r="Z4" s="4">
        <v>1</v>
      </c>
      <c r="AA4" s="4">
        <v>18</v>
      </c>
      <c r="AB4" s="4">
        <v>160</v>
      </c>
      <c r="AC4" s="4">
        <v>5</v>
      </c>
      <c r="AD4" s="4">
        <v>4</v>
      </c>
      <c r="AE4" s="4">
        <v>77</v>
      </c>
      <c r="AF4" s="4">
        <v>230</v>
      </c>
      <c r="AG4" s="4">
        <v>125</v>
      </c>
      <c r="AH4" s="4">
        <v>28</v>
      </c>
      <c r="AI4" s="4">
        <v>145</v>
      </c>
      <c r="AJ4" s="4">
        <v>81</v>
      </c>
      <c r="AK4" s="4">
        <v>35</v>
      </c>
      <c r="AL4" s="4">
        <v>60</v>
      </c>
      <c r="AM4" s="4">
        <v>37</v>
      </c>
      <c r="AN4" s="4">
        <v>20</v>
      </c>
      <c r="AO4" s="4">
        <v>559</v>
      </c>
      <c r="AP4" s="4">
        <v>144</v>
      </c>
      <c r="AQ4" s="4">
        <v>29</v>
      </c>
      <c r="AR4" s="4">
        <v>90</v>
      </c>
      <c r="AS4" s="4">
        <v>19</v>
      </c>
      <c r="AT4" s="4">
        <v>19</v>
      </c>
      <c r="AU4" s="4">
        <v>41</v>
      </c>
      <c r="AV4" s="4">
        <v>46</v>
      </c>
      <c r="AW4" s="4">
        <v>42</v>
      </c>
      <c r="AX4" s="4">
        <v>79</v>
      </c>
      <c r="AY4" s="4">
        <v>91</v>
      </c>
      <c r="AZ4" s="4">
        <v>101</v>
      </c>
      <c r="BA4" s="4">
        <v>37</v>
      </c>
      <c r="BB4" s="4">
        <f>12717/1000</f>
        <v>12.717000000000001</v>
      </c>
      <c r="BC4" s="42"/>
      <c r="BD4" s="42"/>
    </row>
    <row r="5" spans="1:56" s="5" customFormat="1" x14ac:dyDescent="0.25">
      <c r="A5" s="14"/>
      <c r="B5" s="6"/>
      <c r="C5" s="6" t="s">
        <v>9</v>
      </c>
      <c r="D5" s="8">
        <v>2460</v>
      </c>
      <c r="E5" s="8">
        <v>2283</v>
      </c>
      <c r="F5" s="8">
        <v>3243</v>
      </c>
      <c r="G5" s="8">
        <v>2358</v>
      </c>
      <c r="H5" s="8">
        <v>3769</v>
      </c>
      <c r="I5" s="8">
        <v>2360</v>
      </c>
      <c r="J5" s="8">
        <v>3631</v>
      </c>
      <c r="K5" s="8">
        <v>2210</v>
      </c>
      <c r="L5" s="8">
        <v>3100</v>
      </c>
      <c r="M5" s="8">
        <v>2137</v>
      </c>
      <c r="N5" s="8">
        <v>2539</v>
      </c>
      <c r="O5" s="8">
        <v>2387</v>
      </c>
      <c r="P5" s="8">
        <v>2179</v>
      </c>
      <c r="Q5" s="8">
        <v>3651</v>
      </c>
      <c r="R5" s="8">
        <v>2814</v>
      </c>
      <c r="S5" s="8">
        <v>2852</v>
      </c>
      <c r="T5" s="8">
        <v>2637</v>
      </c>
      <c r="U5" s="8">
        <v>3147</v>
      </c>
      <c r="V5" s="8">
        <v>4054</v>
      </c>
      <c r="W5" s="8">
        <v>3669</v>
      </c>
      <c r="X5" s="8">
        <v>4010</v>
      </c>
      <c r="Y5" s="8">
        <v>4406</v>
      </c>
      <c r="Z5" s="8">
        <v>3432</v>
      </c>
      <c r="AA5" s="8">
        <v>4920</v>
      </c>
      <c r="AB5" s="8">
        <v>5187</v>
      </c>
      <c r="AC5" s="8">
        <v>4575</v>
      </c>
      <c r="AD5" s="8">
        <v>4957</v>
      </c>
      <c r="AE5" s="8">
        <v>4923</v>
      </c>
      <c r="AF5" s="8">
        <v>4910</v>
      </c>
      <c r="AG5" s="8">
        <v>4975</v>
      </c>
      <c r="AH5" s="8">
        <v>5182</v>
      </c>
      <c r="AI5" s="8">
        <v>5420</v>
      </c>
      <c r="AJ5" s="8">
        <v>5900</v>
      </c>
      <c r="AK5" s="8">
        <v>6271</v>
      </c>
      <c r="AL5" s="8">
        <v>7041</v>
      </c>
      <c r="AM5" s="8">
        <v>7305</v>
      </c>
      <c r="AN5" s="8">
        <v>6825</v>
      </c>
      <c r="AO5" s="8">
        <v>5707</v>
      </c>
      <c r="AP5" s="8">
        <v>6711</v>
      </c>
      <c r="AQ5" s="8">
        <v>7300</v>
      </c>
      <c r="AR5" s="8">
        <v>7300</v>
      </c>
      <c r="AS5" s="8">
        <v>7300</v>
      </c>
      <c r="AT5" s="8">
        <v>7500</v>
      </c>
      <c r="AU5" s="8">
        <v>7800</v>
      </c>
      <c r="AV5" s="8">
        <v>7800</v>
      </c>
      <c r="AW5" s="8">
        <v>8300</v>
      </c>
      <c r="AX5" s="8">
        <v>8100</v>
      </c>
      <c r="AY5" s="8">
        <v>8500</v>
      </c>
      <c r="AZ5" s="8">
        <v>8900</v>
      </c>
      <c r="BA5" s="8">
        <v>8800</v>
      </c>
      <c r="BB5" s="8">
        <f>BB2+BB3-BB4</f>
        <v>20838.189999999999</v>
      </c>
      <c r="BC5" s="43"/>
      <c r="BD5" s="43"/>
    </row>
    <row r="6" spans="1:56" x14ac:dyDescent="0.25">
      <c r="A6" s="12"/>
      <c r="B6" s="2" t="s">
        <v>10</v>
      </c>
      <c r="C6" s="2" t="s">
        <v>6</v>
      </c>
      <c r="D6" s="4">
        <v>2</v>
      </c>
      <c r="E6" s="4">
        <v>4</v>
      </c>
      <c r="F6" s="4">
        <v>5</v>
      </c>
      <c r="G6" s="4">
        <v>5</v>
      </c>
      <c r="H6" s="4">
        <v>3</v>
      </c>
      <c r="I6" s="4">
        <v>3</v>
      </c>
      <c r="J6" s="4">
        <v>3</v>
      </c>
      <c r="K6" s="4">
        <v>3</v>
      </c>
      <c r="L6" s="4">
        <v>3</v>
      </c>
      <c r="M6" s="4">
        <v>3</v>
      </c>
      <c r="N6" s="4">
        <v>4</v>
      </c>
      <c r="O6" s="4">
        <v>7</v>
      </c>
      <c r="P6" s="4">
        <v>12</v>
      </c>
      <c r="Q6" s="4">
        <v>7</v>
      </c>
      <c r="R6" s="4">
        <v>6</v>
      </c>
      <c r="S6" s="4">
        <v>3</v>
      </c>
      <c r="T6" s="4">
        <v>2</v>
      </c>
      <c r="U6" s="4">
        <v>1</v>
      </c>
      <c r="V6" s="4">
        <v>0</v>
      </c>
      <c r="W6" s="4">
        <v>4</v>
      </c>
      <c r="X6" s="4">
        <v>15</v>
      </c>
      <c r="Y6" s="4">
        <v>23</v>
      </c>
      <c r="Z6" s="4">
        <v>30</v>
      </c>
      <c r="AA6" s="4">
        <v>22</v>
      </c>
      <c r="AB6" s="4">
        <v>24</v>
      </c>
      <c r="AC6" s="4">
        <v>29</v>
      </c>
      <c r="AD6" s="4">
        <v>14</v>
      </c>
      <c r="AE6" s="4">
        <v>14</v>
      </c>
      <c r="AF6" s="4">
        <v>14</v>
      </c>
      <c r="AG6" s="4">
        <v>15</v>
      </c>
      <c r="AH6" s="4">
        <v>15</v>
      </c>
      <c r="AI6" s="4">
        <v>14</v>
      </c>
      <c r="AJ6" s="4">
        <v>14</v>
      </c>
      <c r="AK6" s="4">
        <v>15</v>
      </c>
      <c r="AL6" s="4">
        <v>16</v>
      </c>
      <c r="AM6" s="4">
        <v>17</v>
      </c>
      <c r="AN6" s="4">
        <v>17</v>
      </c>
      <c r="AO6" s="4">
        <v>17</v>
      </c>
      <c r="AP6" s="4">
        <v>14</v>
      </c>
      <c r="AQ6" s="4">
        <v>14</v>
      </c>
      <c r="AR6" s="4">
        <v>32</v>
      </c>
      <c r="AS6" s="4">
        <v>55</v>
      </c>
      <c r="AT6" s="4">
        <v>37</v>
      </c>
      <c r="AU6" s="4">
        <v>32</v>
      </c>
      <c r="AV6" s="4">
        <v>32</v>
      </c>
      <c r="AW6" s="4">
        <v>32</v>
      </c>
      <c r="AX6" s="4">
        <v>32</v>
      </c>
      <c r="AY6" s="4">
        <v>32</v>
      </c>
      <c r="AZ6" s="4">
        <v>30</v>
      </c>
      <c r="BA6" s="4">
        <v>30</v>
      </c>
      <c r="BB6" s="4">
        <v>30</v>
      </c>
      <c r="BC6" s="42">
        <f>757.57/1000</f>
        <v>0.75757000000000008</v>
      </c>
      <c r="BD6" s="43">
        <f>981.68/1000</f>
        <v>0.98168</v>
      </c>
    </row>
    <row r="7" spans="1:56" s="5" customFormat="1" x14ac:dyDescent="0.25">
      <c r="A7" s="14"/>
      <c r="B7" s="6"/>
      <c r="C7" s="6" t="s">
        <v>7</v>
      </c>
      <c r="D7" s="7">
        <v>34</v>
      </c>
      <c r="E7" s="7">
        <v>38</v>
      </c>
      <c r="F7" s="7">
        <v>46</v>
      </c>
      <c r="G7" s="7">
        <v>45</v>
      </c>
      <c r="H7" s="7">
        <v>50</v>
      </c>
      <c r="I7" s="7">
        <v>0</v>
      </c>
      <c r="J7" s="7">
        <v>160</v>
      </c>
      <c r="K7" s="7">
        <v>62</v>
      </c>
      <c r="L7" s="7">
        <v>107</v>
      </c>
      <c r="M7" s="7">
        <v>160</v>
      </c>
      <c r="N7" s="7">
        <v>180</v>
      </c>
      <c r="O7" s="7">
        <v>230</v>
      </c>
      <c r="P7" s="7">
        <v>279</v>
      </c>
      <c r="Q7" s="7">
        <v>250</v>
      </c>
      <c r="R7" s="7">
        <v>157</v>
      </c>
      <c r="S7" s="7">
        <v>351</v>
      </c>
      <c r="T7" s="7">
        <v>287</v>
      </c>
      <c r="U7" s="7">
        <v>394</v>
      </c>
      <c r="V7" s="7">
        <v>404</v>
      </c>
      <c r="W7" s="7">
        <v>474</v>
      </c>
      <c r="X7" s="7">
        <v>490</v>
      </c>
      <c r="Y7" s="7">
        <v>490</v>
      </c>
      <c r="Z7" s="7">
        <v>492</v>
      </c>
      <c r="AA7" s="7">
        <v>603</v>
      </c>
      <c r="AB7" s="7">
        <v>538</v>
      </c>
      <c r="AC7" s="7">
        <v>808</v>
      </c>
      <c r="AD7" s="7">
        <v>919</v>
      </c>
      <c r="AE7" s="7">
        <v>882</v>
      </c>
      <c r="AF7" s="8">
        <v>1112</v>
      </c>
      <c r="AG7" s="8">
        <v>1292</v>
      </c>
      <c r="AH7" s="8">
        <v>1490</v>
      </c>
      <c r="AI7" s="8">
        <v>1873</v>
      </c>
      <c r="AJ7" s="8">
        <v>1989</v>
      </c>
      <c r="AK7" s="8">
        <v>2039</v>
      </c>
      <c r="AL7" s="8">
        <v>2075</v>
      </c>
      <c r="AM7" s="8">
        <v>2139</v>
      </c>
      <c r="AN7" s="8">
        <v>2147</v>
      </c>
      <c r="AO7" s="8">
        <v>1910</v>
      </c>
      <c r="AP7" s="8">
        <v>2323</v>
      </c>
      <c r="AQ7" s="8">
        <v>2076</v>
      </c>
      <c r="AR7" s="8">
        <v>2650</v>
      </c>
      <c r="AS7" s="8">
        <v>2356</v>
      </c>
      <c r="AT7" s="8">
        <v>2228</v>
      </c>
      <c r="AU7" s="8">
        <v>2150</v>
      </c>
      <c r="AV7" s="8">
        <v>2200</v>
      </c>
      <c r="AW7" s="8">
        <v>2200</v>
      </c>
      <c r="AX7" s="8">
        <v>2200</v>
      </c>
      <c r="AY7" s="8">
        <v>2300</v>
      </c>
      <c r="AZ7" s="8">
        <v>2000</v>
      </c>
      <c r="BA7" s="8">
        <v>2100</v>
      </c>
      <c r="BB7" s="8">
        <v>1925</v>
      </c>
      <c r="BC7" s="43">
        <f>546997/1000</f>
        <v>546.99699999999996</v>
      </c>
      <c r="BD7" s="43"/>
    </row>
    <row r="8" spans="1:56" x14ac:dyDescent="0.25">
      <c r="A8" s="12"/>
      <c r="B8" s="2"/>
      <c r="C8" s="2" t="s">
        <v>8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4">
        <v>0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  <c r="AF8" s="4">
        <v>0</v>
      </c>
      <c r="AG8" s="4">
        <v>0</v>
      </c>
      <c r="AH8" s="4">
        <v>0</v>
      </c>
      <c r="AI8" s="4">
        <v>0</v>
      </c>
      <c r="AJ8" s="4">
        <v>0</v>
      </c>
      <c r="AK8" s="4">
        <v>0</v>
      </c>
      <c r="AL8" s="4">
        <v>0</v>
      </c>
      <c r="AM8" s="4">
        <v>0</v>
      </c>
      <c r="AN8" s="4">
        <v>0</v>
      </c>
      <c r="AO8" s="4">
        <v>2</v>
      </c>
      <c r="AP8" s="4">
        <v>5</v>
      </c>
      <c r="AQ8" s="4">
        <v>17</v>
      </c>
      <c r="AR8" s="4">
        <v>15</v>
      </c>
      <c r="AS8" s="4">
        <v>15</v>
      </c>
      <c r="AT8" s="4">
        <v>15</v>
      </c>
      <c r="AU8" s="4">
        <v>20</v>
      </c>
      <c r="AV8" s="4">
        <v>20</v>
      </c>
      <c r="AW8" s="4">
        <v>20</v>
      </c>
      <c r="AX8" s="4">
        <v>20</v>
      </c>
      <c r="AY8" s="4">
        <v>20</v>
      </c>
      <c r="AZ8" s="4">
        <v>20</v>
      </c>
      <c r="BA8" s="4">
        <v>15</v>
      </c>
      <c r="BB8" s="4">
        <v>20</v>
      </c>
      <c r="BC8" s="42">
        <f>720/1000</f>
        <v>0.72</v>
      </c>
      <c r="BD8" s="42"/>
    </row>
    <row r="9" spans="1:56" s="5" customFormat="1" x14ac:dyDescent="0.25">
      <c r="A9" s="14"/>
      <c r="B9" s="6"/>
      <c r="C9" s="6" t="s">
        <v>9</v>
      </c>
      <c r="D9" s="7">
        <v>45</v>
      </c>
      <c r="E9" s="7">
        <v>50</v>
      </c>
      <c r="F9" s="7">
        <v>51</v>
      </c>
      <c r="G9" s="7">
        <v>50</v>
      </c>
      <c r="H9" s="7">
        <v>40</v>
      </c>
      <c r="I9" s="7">
        <v>20</v>
      </c>
      <c r="J9" s="7">
        <v>80</v>
      </c>
      <c r="K9" s="7">
        <v>100</v>
      </c>
      <c r="L9" s="7">
        <v>130</v>
      </c>
      <c r="M9" s="7">
        <v>150</v>
      </c>
      <c r="N9" s="7">
        <v>200</v>
      </c>
      <c r="O9" s="7">
        <v>200</v>
      </c>
      <c r="P9" s="7">
        <v>220</v>
      </c>
      <c r="Q9" s="7">
        <v>245</v>
      </c>
      <c r="R9" s="7">
        <v>275</v>
      </c>
      <c r="S9" s="7">
        <v>325</v>
      </c>
      <c r="T9" s="7">
        <v>300</v>
      </c>
      <c r="U9" s="7">
        <v>370</v>
      </c>
      <c r="V9" s="7">
        <v>410</v>
      </c>
      <c r="W9" s="7">
        <v>495</v>
      </c>
      <c r="X9" s="7">
        <v>476</v>
      </c>
      <c r="Y9" s="7">
        <v>510</v>
      </c>
      <c r="Z9" s="7">
        <v>529</v>
      </c>
      <c r="AA9" s="7">
        <v>613</v>
      </c>
      <c r="AB9" s="7">
        <v>625</v>
      </c>
      <c r="AC9" s="7">
        <v>750</v>
      </c>
      <c r="AD9" s="7">
        <v>825</v>
      </c>
      <c r="AE9" s="7">
        <v>910</v>
      </c>
      <c r="AF9" s="8">
        <v>1148</v>
      </c>
      <c r="AG9" s="8">
        <v>1332</v>
      </c>
      <c r="AH9" s="8">
        <v>1541</v>
      </c>
      <c r="AI9" s="8">
        <v>1793</v>
      </c>
      <c r="AJ9" s="8">
        <v>1977</v>
      </c>
      <c r="AK9" s="8">
        <v>2097</v>
      </c>
      <c r="AL9" s="8">
        <v>2143</v>
      </c>
      <c r="AM9" s="8">
        <v>2184</v>
      </c>
      <c r="AN9" s="8">
        <v>2186</v>
      </c>
      <c r="AO9" s="8">
        <v>1900</v>
      </c>
      <c r="AP9" s="8">
        <v>2241</v>
      </c>
      <c r="AQ9" s="8">
        <v>2050</v>
      </c>
      <c r="AR9" s="8">
        <v>2500</v>
      </c>
      <c r="AS9" s="8">
        <v>2350</v>
      </c>
      <c r="AT9" s="8">
        <v>2300</v>
      </c>
      <c r="AU9" s="8">
        <v>2200</v>
      </c>
      <c r="AV9" s="8">
        <v>2200</v>
      </c>
      <c r="AW9" s="8">
        <v>2225</v>
      </c>
      <c r="AX9" s="8">
        <v>2225</v>
      </c>
      <c r="AY9" s="8">
        <v>2275</v>
      </c>
      <c r="AZ9" s="8">
        <v>2050</v>
      </c>
      <c r="BA9" s="8">
        <v>2100</v>
      </c>
      <c r="BB9" s="8">
        <v>1950</v>
      </c>
      <c r="BC9" s="43">
        <f>BC6+BC7-BC8</f>
        <v>547.03456999999992</v>
      </c>
      <c r="BD9" s="43"/>
    </row>
    <row r="10" spans="1:56" x14ac:dyDescent="0.25">
      <c r="A10" s="12"/>
      <c r="B10" s="2" t="s">
        <v>11</v>
      </c>
      <c r="C10" s="2" t="s">
        <v>6</v>
      </c>
      <c r="D10" s="4">
        <v>0</v>
      </c>
      <c r="E10" s="4">
        <v>0</v>
      </c>
      <c r="F10" s="4">
        <v>0</v>
      </c>
      <c r="G10" s="4">
        <v>0</v>
      </c>
      <c r="H10" s="4">
        <v>410</v>
      </c>
      <c r="I10" s="4">
        <v>417</v>
      </c>
      <c r="J10" s="4">
        <v>416</v>
      </c>
      <c r="K10" s="4">
        <v>420</v>
      </c>
      <c r="L10" s="4">
        <v>389</v>
      </c>
      <c r="M10" s="4">
        <v>498</v>
      </c>
      <c r="N10" s="4">
        <v>516</v>
      </c>
      <c r="O10" s="4">
        <v>518</v>
      </c>
      <c r="P10" s="4">
        <v>541</v>
      </c>
      <c r="Q10" s="4">
        <v>589</v>
      </c>
      <c r="R10" s="4">
        <v>590</v>
      </c>
      <c r="S10" s="4">
        <v>522</v>
      </c>
      <c r="T10" s="4">
        <v>523</v>
      </c>
      <c r="U10" s="4">
        <v>617</v>
      </c>
      <c r="V10" s="4">
        <v>680</v>
      </c>
      <c r="W10" s="4">
        <v>653</v>
      </c>
      <c r="X10" s="4">
        <v>704</v>
      </c>
      <c r="Y10" s="4">
        <v>521</v>
      </c>
      <c r="Z10" s="4">
        <v>536</v>
      </c>
      <c r="AA10" s="4">
        <v>769</v>
      </c>
      <c r="AB10" s="4">
        <v>870</v>
      </c>
      <c r="AC10" s="4">
        <v>950</v>
      </c>
      <c r="AD10" s="4">
        <v>900</v>
      </c>
      <c r="AE10" s="3">
        <v>1100</v>
      </c>
      <c r="AF10" s="3">
        <v>1285</v>
      </c>
      <c r="AG10" s="3">
        <v>1315</v>
      </c>
      <c r="AH10" s="3">
        <v>1400</v>
      </c>
      <c r="AI10" s="3">
        <v>1750</v>
      </c>
      <c r="AJ10" s="3">
        <v>1700</v>
      </c>
      <c r="AK10" s="3">
        <v>1565</v>
      </c>
      <c r="AL10" s="3">
        <v>1680</v>
      </c>
      <c r="AM10" s="3">
        <v>1517</v>
      </c>
      <c r="AN10" s="3">
        <v>1460</v>
      </c>
      <c r="AO10" s="3">
        <v>1306</v>
      </c>
      <c r="AP10" s="3">
        <v>1300</v>
      </c>
      <c r="AQ10" s="3">
        <v>1300</v>
      </c>
      <c r="AR10" s="3">
        <v>1020</v>
      </c>
      <c r="AS10" s="4">
        <v>870</v>
      </c>
      <c r="AT10" s="4">
        <v>780</v>
      </c>
      <c r="AU10" s="4">
        <v>820</v>
      </c>
      <c r="AV10" s="4">
        <v>825</v>
      </c>
      <c r="AW10" s="4">
        <v>832</v>
      </c>
      <c r="AX10" s="4">
        <v>815</v>
      </c>
      <c r="AY10" s="4">
        <v>780</v>
      </c>
      <c r="AZ10" s="4">
        <v>800</v>
      </c>
      <c r="BA10" s="4">
        <v>700</v>
      </c>
      <c r="BB10" s="4">
        <v>720</v>
      </c>
      <c r="BC10" s="42">
        <f>851286/1000</f>
        <v>851.28599999999994</v>
      </c>
      <c r="BD10" s="42">
        <f>843153/1000</f>
        <v>843.15300000000002</v>
      </c>
    </row>
    <row r="11" spans="1:56" s="5" customFormat="1" x14ac:dyDescent="0.25">
      <c r="A11" s="14"/>
      <c r="B11" s="6"/>
      <c r="C11" s="6" t="s">
        <v>7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18</v>
      </c>
      <c r="S11" s="7">
        <v>172</v>
      </c>
      <c r="T11" s="7">
        <v>89</v>
      </c>
      <c r="U11" s="7">
        <v>130</v>
      </c>
      <c r="V11" s="7">
        <v>177</v>
      </c>
      <c r="W11" s="7">
        <v>101</v>
      </c>
      <c r="X11" s="7">
        <v>361</v>
      </c>
      <c r="Y11" s="7">
        <v>361</v>
      </c>
      <c r="Z11" s="7">
        <v>485</v>
      </c>
      <c r="AA11" s="7">
        <v>323</v>
      </c>
      <c r="AB11" s="7">
        <v>315</v>
      </c>
      <c r="AC11" s="7">
        <v>375</v>
      </c>
      <c r="AD11" s="7">
        <v>324</v>
      </c>
      <c r="AE11" s="7">
        <v>628</v>
      </c>
      <c r="AF11" s="7">
        <v>369</v>
      </c>
      <c r="AG11" s="7">
        <v>525</v>
      </c>
      <c r="AH11" s="7">
        <v>524</v>
      </c>
      <c r="AI11" s="7">
        <v>492</v>
      </c>
      <c r="AJ11" s="7">
        <v>527</v>
      </c>
      <c r="AK11" s="7">
        <v>709</v>
      </c>
      <c r="AL11" s="7">
        <v>619</v>
      </c>
      <c r="AM11" s="7">
        <v>718</v>
      </c>
      <c r="AN11" s="7">
        <v>684</v>
      </c>
      <c r="AO11" s="7">
        <v>826</v>
      </c>
      <c r="AP11" s="8">
        <v>1128</v>
      </c>
      <c r="AQ11" s="8">
        <v>1153</v>
      </c>
      <c r="AR11" s="8">
        <v>1127</v>
      </c>
      <c r="AS11" s="8">
        <v>1414</v>
      </c>
      <c r="AT11" s="8">
        <v>1238</v>
      </c>
      <c r="AU11" s="8">
        <v>1059</v>
      </c>
      <c r="AV11" s="8">
        <v>1112</v>
      </c>
      <c r="AW11" s="8">
        <v>1187</v>
      </c>
      <c r="AX11" s="8">
        <v>1309</v>
      </c>
      <c r="AY11" s="8">
        <v>1147</v>
      </c>
      <c r="AZ11" s="8">
        <v>1393</v>
      </c>
      <c r="BA11" s="8">
        <v>1620</v>
      </c>
      <c r="BB11" s="8">
        <v>1635</v>
      </c>
      <c r="BC11" s="43">
        <f>2088616/1000</f>
        <v>2088.616</v>
      </c>
      <c r="BD11" s="43"/>
    </row>
    <row r="12" spans="1:56" x14ac:dyDescent="0.25">
      <c r="A12" s="12"/>
      <c r="B12" s="2"/>
      <c r="C12" s="2" t="s">
        <v>8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7</v>
      </c>
      <c r="K12" s="4">
        <v>8</v>
      </c>
      <c r="L12" s="4">
        <v>1</v>
      </c>
      <c r="M12" s="4">
        <v>3</v>
      </c>
      <c r="N12" s="4">
        <v>1</v>
      </c>
      <c r="O12" s="4">
        <v>3</v>
      </c>
      <c r="P12" s="4">
        <v>34</v>
      </c>
      <c r="Q12" s="4">
        <v>4</v>
      </c>
      <c r="R12" s="4">
        <v>0</v>
      </c>
      <c r="S12" s="4">
        <v>1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  <c r="AF12" s="4">
        <v>0</v>
      </c>
      <c r="AG12" s="4">
        <v>0</v>
      </c>
      <c r="AH12" s="4">
        <v>0</v>
      </c>
      <c r="AI12" s="4">
        <v>0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0</v>
      </c>
      <c r="AP12" s="4">
        <v>0</v>
      </c>
      <c r="AQ12" s="4">
        <v>0</v>
      </c>
      <c r="AR12" s="4">
        <v>0</v>
      </c>
      <c r="AS12" s="4">
        <v>0</v>
      </c>
      <c r="AT12" s="4">
        <v>0</v>
      </c>
      <c r="AU12" s="4">
        <v>1</v>
      </c>
      <c r="AV12" s="4">
        <v>1</v>
      </c>
      <c r="AW12" s="4">
        <v>1</v>
      </c>
      <c r="AX12" s="4">
        <v>2</v>
      </c>
      <c r="AY12" s="4">
        <v>1</v>
      </c>
      <c r="AZ12" s="4">
        <v>0</v>
      </c>
      <c r="BA12" s="4">
        <v>0</v>
      </c>
      <c r="BB12" s="4">
        <v>0</v>
      </c>
      <c r="BC12" s="42">
        <f>547/1000</f>
        <v>0.54700000000000004</v>
      </c>
      <c r="BD12" s="42"/>
    </row>
    <row r="13" spans="1:56" s="5" customFormat="1" x14ac:dyDescent="0.25">
      <c r="A13" s="14"/>
      <c r="B13" s="6"/>
      <c r="C13" s="6" t="s">
        <v>9</v>
      </c>
      <c r="D13" s="7">
        <v>0</v>
      </c>
      <c r="E13" s="7">
        <v>0</v>
      </c>
      <c r="F13" s="7">
        <v>0</v>
      </c>
      <c r="G13" s="7">
        <v>0</v>
      </c>
      <c r="H13" s="7">
        <v>410</v>
      </c>
      <c r="I13" s="7">
        <v>417</v>
      </c>
      <c r="J13" s="7">
        <v>409</v>
      </c>
      <c r="K13" s="7">
        <v>412</v>
      </c>
      <c r="L13" s="7">
        <v>388</v>
      </c>
      <c r="M13" s="7">
        <v>495</v>
      </c>
      <c r="N13" s="7">
        <v>515</v>
      </c>
      <c r="O13" s="7">
        <v>515</v>
      </c>
      <c r="P13" s="7">
        <v>507</v>
      </c>
      <c r="Q13" s="7">
        <v>585</v>
      </c>
      <c r="R13" s="7">
        <v>608</v>
      </c>
      <c r="S13" s="7">
        <v>693</v>
      </c>
      <c r="T13" s="7">
        <v>612</v>
      </c>
      <c r="U13" s="7">
        <v>747</v>
      </c>
      <c r="V13" s="7">
        <v>857</v>
      </c>
      <c r="W13" s="7">
        <v>754</v>
      </c>
      <c r="X13" s="8">
        <v>1065</v>
      </c>
      <c r="Y13" s="7">
        <v>851</v>
      </c>
      <c r="Z13" s="8">
        <v>1001</v>
      </c>
      <c r="AA13" s="8">
        <v>1118</v>
      </c>
      <c r="AB13" s="8">
        <v>1173</v>
      </c>
      <c r="AC13" s="8">
        <v>1267</v>
      </c>
      <c r="AD13" s="8">
        <v>1279</v>
      </c>
      <c r="AE13" s="8">
        <v>1595</v>
      </c>
      <c r="AF13" s="8">
        <v>1770</v>
      </c>
      <c r="AG13" s="8">
        <v>1765</v>
      </c>
      <c r="AH13" s="8">
        <v>1930</v>
      </c>
      <c r="AI13" s="8">
        <v>2215</v>
      </c>
      <c r="AJ13" s="8">
        <v>2300</v>
      </c>
      <c r="AK13" s="8">
        <v>2250</v>
      </c>
      <c r="AL13" s="8">
        <v>2300</v>
      </c>
      <c r="AM13" s="8">
        <v>2220</v>
      </c>
      <c r="AN13" s="8">
        <v>2182</v>
      </c>
      <c r="AO13" s="8">
        <v>2182</v>
      </c>
      <c r="AP13" s="8">
        <v>2435</v>
      </c>
      <c r="AQ13" s="8">
        <v>2360</v>
      </c>
      <c r="AR13" s="8">
        <v>2153</v>
      </c>
      <c r="AS13" s="8">
        <v>2281</v>
      </c>
      <c r="AT13" s="8">
        <v>2031</v>
      </c>
      <c r="AU13" s="8">
        <v>1873</v>
      </c>
      <c r="AV13" s="8">
        <v>1939</v>
      </c>
      <c r="AW13" s="8">
        <v>2029</v>
      </c>
      <c r="AX13" s="8">
        <v>2074</v>
      </c>
      <c r="AY13" s="8">
        <v>2042</v>
      </c>
      <c r="AZ13" s="8">
        <v>2116</v>
      </c>
      <c r="BA13" s="8">
        <v>2350</v>
      </c>
      <c r="BB13" s="8">
        <v>2375</v>
      </c>
      <c r="BC13" s="43">
        <f>BC10+BC11-BC12</f>
        <v>2939.355</v>
      </c>
      <c r="BD13" s="43"/>
    </row>
    <row r="14" spans="1:56" x14ac:dyDescent="0.25">
      <c r="A14" s="12"/>
      <c r="B14" s="2" t="s">
        <v>12</v>
      </c>
      <c r="C14" s="2" t="s">
        <v>6</v>
      </c>
      <c r="D14" s="3">
        <v>10168</v>
      </c>
      <c r="E14" s="3">
        <v>9585</v>
      </c>
      <c r="F14" s="3">
        <v>10284</v>
      </c>
      <c r="G14" s="3">
        <v>9158</v>
      </c>
      <c r="H14" s="3">
        <v>9611</v>
      </c>
      <c r="I14" s="3">
        <v>10243</v>
      </c>
      <c r="J14" s="3">
        <v>10752</v>
      </c>
      <c r="K14" s="3">
        <v>10402</v>
      </c>
      <c r="L14" s="3">
        <v>11666</v>
      </c>
      <c r="M14" s="3">
        <v>12249</v>
      </c>
      <c r="N14" s="3">
        <v>13140</v>
      </c>
      <c r="O14" s="3">
        <v>13724</v>
      </c>
      <c r="P14" s="3">
        <v>13183</v>
      </c>
      <c r="Q14" s="3">
        <v>14607</v>
      </c>
      <c r="R14" s="3">
        <v>15276</v>
      </c>
      <c r="S14" s="3">
        <v>15185</v>
      </c>
      <c r="T14" s="3">
        <v>15845</v>
      </c>
      <c r="U14" s="3">
        <v>15876</v>
      </c>
      <c r="V14" s="3">
        <v>17525</v>
      </c>
      <c r="W14" s="3">
        <v>17872</v>
      </c>
      <c r="X14" s="3">
        <v>22286</v>
      </c>
      <c r="Y14" s="3">
        <v>22837</v>
      </c>
      <c r="Z14" s="3">
        <v>24006</v>
      </c>
      <c r="AA14" s="3">
        <v>25933</v>
      </c>
      <c r="AB14" s="3">
        <v>26542</v>
      </c>
      <c r="AC14" s="3">
        <v>27014</v>
      </c>
      <c r="AD14" s="3">
        <v>26051</v>
      </c>
      <c r="AE14" s="3">
        <v>27089</v>
      </c>
      <c r="AF14" s="3">
        <v>29072</v>
      </c>
      <c r="AG14" s="3">
        <v>29366</v>
      </c>
      <c r="AH14" s="3">
        <v>29042</v>
      </c>
      <c r="AI14" s="3">
        <v>31350</v>
      </c>
      <c r="AJ14" s="3">
        <v>31318</v>
      </c>
      <c r="AK14" s="3">
        <v>30315</v>
      </c>
      <c r="AL14" s="3">
        <v>32333</v>
      </c>
      <c r="AM14" s="3">
        <v>33215</v>
      </c>
      <c r="AN14" s="3">
        <v>32084</v>
      </c>
      <c r="AO14" s="3">
        <v>31118</v>
      </c>
      <c r="AP14" s="3">
        <v>32147</v>
      </c>
      <c r="AQ14" s="3">
        <v>32800</v>
      </c>
      <c r="AR14" s="3">
        <v>32960</v>
      </c>
      <c r="AS14" s="3">
        <v>32960</v>
      </c>
      <c r="AT14" s="3">
        <v>33411</v>
      </c>
      <c r="AU14" s="3">
        <v>35024</v>
      </c>
      <c r="AV14" s="3">
        <v>34830</v>
      </c>
      <c r="AW14" s="3">
        <v>34959</v>
      </c>
      <c r="AX14" s="3">
        <v>35300</v>
      </c>
      <c r="AY14" s="3">
        <v>37000</v>
      </c>
      <c r="AZ14" s="3">
        <v>38310</v>
      </c>
      <c r="BA14" s="3">
        <v>36370</v>
      </c>
      <c r="BB14" s="3">
        <v>36900</v>
      </c>
      <c r="BC14" s="42">
        <f>65756904/1000</f>
        <v>65756.903999999995</v>
      </c>
      <c r="BD14" s="42">
        <f>69056126/1000</f>
        <v>69056.126000000004</v>
      </c>
    </row>
    <row r="15" spans="1:56" s="5" customFormat="1" x14ac:dyDescent="0.25">
      <c r="A15" s="14"/>
      <c r="B15" s="6"/>
      <c r="C15" s="6" t="s">
        <v>7</v>
      </c>
      <c r="D15" s="8">
        <v>1064</v>
      </c>
      <c r="E15" s="8">
        <v>1025</v>
      </c>
      <c r="F15" s="8">
        <v>1043</v>
      </c>
      <c r="G15" s="8">
        <v>1010</v>
      </c>
      <c r="H15" s="7">
        <v>203</v>
      </c>
      <c r="I15" s="7">
        <v>308</v>
      </c>
      <c r="J15" s="7">
        <v>354</v>
      </c>
      <c r="K15" s="7">
        <v>628</v>
      </c>
      <c r="L15" s="7">
        <v>604</v>
      </c>
      <c r="M15" s="7">
        <v>956</v>
      </c>
      <c r="N15" s="7">
        <v>516</v>
      </c>
      <c r="O15" s="7">
        <v>762</v>
      </c>
      <c r="P15" s="8">
        <v>1638</v>
      </c>
      <c r="Q15" s="8">
        <v>1056</v>
      </c>
      <c r="R15" s="7">
        <v>671</v>
      </c>
      <c r="S15" s="8">
        <v>1309</v>
      </c>
      <c r="T15" s="8">
        <v>1989</v>
      </c>
      <c r="U15" s="8">
        <v>1824</v>
      </c>
      <c r="V15" s="8">
        <v>1934</v>
      </c>
      <c r="W15" s="8">
        <v>2040</v>
      </c>
      <c r="X15" s="7">
        <v>543</v>
      </c>
      <c r="Y15" s="7">
        <v>364</v>
      </c>
      <c r="Z15" s="8">
        <v>1068</v>
      </c>
      <c r="AA15" s="7">
        <v>419</v>
      </c>
      <c r="AB15" s="7">
        <v>53</v>
      </c>
      <c r="AC15" s="7">
        <v>24</v>
      </c>
      <c r="AD15" s="7">
        <v>131</v>
      </c>
      <c r="AE15" s="7">
        <v>50</v>
      </c>
      <c r="AF15" s="7">
        <v>384</v>
      </c>
      <c r="AG15" s="7">
        <v>77</v>
      </c>
      <c r="AH15" s="7">
        <v>192</v>
      </c>
      <c r="AI15" s="7">
        <v>539</v>
      </c>
      <c r="AJ15" s="7">
        <v>22</v>
      </c>
      <c r="AK15" s="8">
        <v>1120</v>
      </c>
      <c r="AL15" s="8">
        <v>3081</v>
      </c>
      <c r="AM15" s="8">
        <v>1081</v>
      </c>
      <c r="AN15" s="7">
        <v>839</v>
      </c>
      <c r="AO15" s="8">
        <v>5765</v>
      </c>
      <c r="AP15" s="8">
        <v>3729</v>
      </c>
      <c r="AQ15" s="8">
        <v>1500</v>
      </c>
      <c r="AR15" s="8">
        <v>1500</v>
      </c>
      <c r="AS15" s="8">
        <v>3500</v>
      </c>
      <c r="AT15" s="8">
        <v>2750</v>
      </c>
      <c r="AU15" s="7">
        <v>650</v>
      </c>
      <c r="AV15" s="7">
        <v>500</v>
      </c>
      <c r="AW15" s="7">
        <v>539</v>
      </c>
      <c r="AX15" s="8">
        <v>2000</v>
      </c>
      <c r="AY15" s="7">
        <v>350</v>
      </c>
      <c r="AZ15" s="7">
        <v>250</v>
      </c>
      <c r="BA15" s="8">
        <v>1150</v>
      </c>
      <c r="BB15" s="8">
        <v>1750</v>
      </c>
      <c r="BC15" s="43">
        <f>2745281/1000</f>
        <v>2745.2809999999999</v>
      </c>
      <c r="BD15" s="43"/>
    </row>
    <row r="16" spans="1:56" x14ac:dyDescent="0.25">
      <c r="A16" s="12"/>
      <c r="B16" s="2"/>
      <c r="C16" s="2" t="s">
        <v>8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14</v>
      </c>
      <c r="X16" s="4">
        <v>64</v>
      </c>
      <c r="Y16" s="4">
        <v>0</v>
      </c>
      <c r="Z16" s="4">
        <v>0</v>
      </c>
      <c r="AA16" s="4">
        <v>0</v>
      </c>
      <c r="AB16" s="4">
        <v>392</v>
      </c>
      <c r="AC16" s="4">
        <v>212</v>
      </c>
      <c r="AD16" s="4">
        <v>150</v>
      </c>
      <c r="AE16" s="4">
        <v>0</v>
      </c>
      <c r="AF16" s="4">
        <v>104</v>
      </c>
      <c r="AG16" s="4">
        <v>0</v>
      </c>
      <c r="AH16" s="4">
        <v>0</v>
      </c>
      <c r="AI16" s="4">
        <v>0</v>
      </c>
      <c r="AJ16" s="4">
        <v>472</v>
      </c>
      <c r="AK16" s="4">
        <v>222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0</v>
      </c>
      <c r="AT16" s="4">
        <v>0</v>
      </c>
      <c r="AU16" s="4">
        <v>0</v>
      </c>
      <c r="AV16" s="4">
        <v>50</v>
      </c>
      <c r="AW16" s="4">
        <v>0</v>
      </c>
      <c r="AX16" s="4">
        <v>0</v>
      </c>
      <c r="AY16" s="4">
        <v>0</v>
      </c>
      <c r="AZ16" s="4">
        <v>10</v>
      </c>
      <c r="BA16" s="4">
        <v>0</v>
      </c>
      <c r="BB16" s="4">
        <v>0</v>
      </c>
      <c r="BC16" s="42">
        <f>830/1000</f>
        <v>0.83</v>
      </c>
      <c r="BD16" s="42"/>
    </row>
    <row r="17" spans="1:56" s="5" customFormat="1" x14ac:dyDescent="0.25">
      <c r="A17" s="14"/>
      <c r="B17" s="6"/>
      <c r="C17" s="6" t="s">
        <v>9</v>
      </c>
      <c r="D17" s="8">
        <v>11204</v>
      </c>
      <c r="E17" s="8">
        <v>10632</v>
      </c>
      <c r="F17" s="8">
        <v>11208</v>
      </c>
      <c r="G17" s="8">
        <v>10164</v>
      </c>
      <c r="H17" s="8">
        <v>9916</v>
      </c>
      <c r="I17" s="8">
        <v>10455</v>
      </c>
      <c r="J17" s="8">
        <v>11131</v>
      </c>
      <c r="K17" s="8">
        <v>10685</v>
      </c>
      <c r="L17" s="8">
        <v>12504</v>
      </c>
      <c r="M17" s="8">
        <v>12937</v>
      </c>
      <c r="N17" s="8">
        <v>13634</v>
      </c>
      <c r="O17" s="8">
        <v>14206</v>
      </c>
      <c r="P17" s="8">
        <v>14742</v>
      </c>
      <c r="Q17" s="8">
        <v>15295</v>
      </c>
      <c r="R17" s="8">
        <v>15994</v>
      </c>
      <c r="S17" s="8">
        <v>16706</v>
      </c>
      <c r="T17" s="8">
        <v>17395</v>
      </c>
      <c r="U17" s="8">
        <v>18083</v>
      </c>
      <c r="V17" s="8">
        <v>18913</v>
      </c>
      <c r="W17" s="8">
        <v>19756</v>
      </c>
      <c r="X17" s="8">
        <v>21504</v>
      </c>
      <c r="Y17" s="8">
        <v>23149</v>
      </c>
      <c r="Z17" s="8">
        <v>24679</v>
      </c>
      <c r="AA17" s="8">
        <v>25460</v>
      </c>
      <c r="AB17" s="8">
        <v>26092</v>
      </c>
      <c r="AC17" s="8">
        <v>26738</v>
      </c>
      <c r="AD17" s="8">
        <v>27392</v>
      </c>
      <c r="AE17" s="8">
        <v>28053</v>
      </c>
      <c r="AF17" s="8">
        <v>28723</v>
      </c>
      <c r="AG17" s="8">
        <v>29410</v>
      </c>
      <c r="AH17" s="8">
        <v>30121</v>
      </c>
      <c r="AI17" s="8">
        <v>30838</v>
      </c>
      <c r="AJ17" s="8">
        <v>31375</v>
      </c>
      <c r="AK17" s="8">
        <v>32097</v>
      </c>
      <c r="AL17" s="8">
        <v>32922</v>
      </c>
      <c r="AM17" s="8">
        <v>33461</v>
      </c>
      <c r="AN17" s="8">
        <v>33911</v>
      </c>
      <c r="AO17" s="8">
        <v>34667</v>
      </c>
      <c r="AP17" s="8">
        <v>35033</v>
      </c>
      <c r="AQ17" s="8">
        <v>35400</v>
      </c>
      <c r="AR17" s="8">
        <v>35877</v>
      </c>
      <c r="AS17" s="8">
        <v>36382</v>
      </c>
      <c r="AT17" s="8">
        <v>36500</v>
      </c>
      <c r="AU17" s="8">
        <v>36000</v>
      </c>
      <c r="AV17" s="8">
        <v>35850</v>
      </c>
      <c r="AW17" s="8">
        <v>35739</v>
      </c>
      <c r="AX17" s="8">
        <v>35900</v>
      </c>
      <c r="AY17" s="8">
        <v>36350</v>
      </c>
      <c r="AZ17" s="8">
        <v>37100</v>
      </c>
      <c r="BA17" s="8">
        <v>38000</v>
      </c>
      <c r="BB17" s="8">
        <v>38850</v>
      </c>
      <c r="BC17" s="43">
        <f>BC14+BC15-BC16</f>
        <v>68501.354999999996</v>
      </c>
      <c r="BD17" s="43"/>
    </row>
    <row r="18" spans="1:56" s="5" customFormat="1" x14ac:dyDescent="0.25">
      <c r="A18" s="12"/>
      <c r="B18" s="2" t="s">
        <v>14</v>
      </c>
      <c r="C18" s="2" t="s">
        <v>42</v>
      </c>
      <c r="D18" s="44">
        <f>10931200/1000</f>
        <v>10931.2</v>
      </c>
      <c r="E18" s="44">
        <f>10211100/1000</f>
        <v>10211.1</v>
      </c>
      <c r="F18" s="44">
        <f>8959500/1000</f>
        <v>8959.5</v>
      </c>
      <c r="G18" s="44">
        <f>10959400/1000</f>
        <v>10959.4</v>
      </c>
      <c r="H18" s="44">
        <f>11224800/1000</f>
        <v>11224.8</v>
      </c>
      <c r="I18" s="44">
        <f>9549900/1000</f>
        <v>9549.9</v>
      </c>
      <c r="J18" s="44">
        <f>10211700/1000</f>
        <v>10211.700000000001</v>
      </c>
      <c r="K18" s="44">
        <f>8858300/1000</f>
        <v>8858.2999999999993</v>
      </c>
      <c r="L18" s="44">
        <f>9990100/1000</f>
        <v>9990.1</v>
      </c>
      <c r="M18" s="44">
        <f>9747900/1000</f>
        <v>9747.9</v>
      </c>
      <c r="N18" s="44">
        <f>11226900/1000</f>
        <v>11226.9</v>
      </c>
      <c r="O18" s="44">
        <f>11649600/1000</f>
        <v>11649.6</v>
      </c>
      <c r="P18" s="44">
        <f>10847800/1000</f>
        <v>10847.8</v>
      </c>
      <c r="Q18" s="44">
        <f>13426500/1000</f>
        <v>13426.5</v>
      </c>
      <c r="R18" s="44">
        <f>13079200/1000</f>
        <v>13079.2</v>
      </c>
      <c r="S18" s="44">
        <f>14034480/1000</f>
        <v>14034.48</v>
      </c>
      <c r="T18" s="44">
        <f>14516280/1000</f>
        <v>14516.28</v>
      </c>
      <c r="U18" s="44">
        <f>19334000/1000</f>
        <v>19334</v>
      </c>
      <c r="V18" s="44">
        <f>19083008/1000</f>
        <v>19083.008000000002</v>
      </c>
      <c r="W18" s="44">
        <f>17133296/1000</f>
        <v>17133.295999999998</v>
      </c>
      <c r="X18" s="44">
        <f>22301808/1000</f>
        <v>22301.808000000001</v>
      </c>
      <c r="Y18" s="44">
        <f>21794096/1000</f>
        <v>21794.096000000001</v>
      </c>
      <c r="Z18" s="44">
        <f>24450496/1000</f>
        <v>24450.495999999999</v>
      </c>
      <c r="AA18" s="44">
        <f>22957136/1000</f>
        <v>22957.135999999999</v>
      </c>
      <c r="AB18" s="44">
        <f>22621168/1000</f>
        <v>22621.168000000001</v>
      </c>
      <c r="AC18" s="44">
        <f>24608384/1000</f>
        <v>24608.383999999998</v>
      </c>
      <c r="AD18" s="44">
        <f>26130736/1000</f>
        <v>26130.736000000001</v>
      </c>
      <c r="AE18" s="44">
        <f>27965360/1000</f>
        <v>27965.360000000001</v>
      </c>
      <c r="AF18" s="44">
        <f>26812320/1000</f>
        <v>26812.32</v>
      </c>
      <c r="AG18" s="44">
        <f>27979632/1000</f>
        <v>27979.632000000001</v>
      </c>
      <c r="AH18" s="44">
        <f>28133008/1000</f>
        <v>28133.008000000002</v>
      </c>
      <c r="AI18" s="44">
        <f>32000000/1000</f>
        <v>32000</v>
      </c>
      <c r="AJ18" s="44">
        <f>33000000/1000</f>
        <v>33000</v>
      </c>
      <c r="AK18" s="44">
        <f>32834000/1000</f>
        <v>32834</v>
      </c>
      <c r="AL18" s="44">
        <f>28998800/1000</f>
        <v>28998.799999999999</v>
      </c>
      <c r="AM18" s="44">
        <f>29486300/1000</f>
        <v>29486.3</v>
      </c>
      <c r="AN18" s="44">
        <f>27763750/1000</f>
        <v>27763.75</v>
      </c>
      <c r="AO18" s="44">
        <f>27954000/1000</f>
        <v>27954</v>
      </c>
      <c r="AP18" s="44">
        <f>23500000/1000</f>
        <v>23500</v>
      </c>
      <c r="AQ18" s="44">
        <f>23900000/1000</f>
        <v>23900</v>
      </c>
      <c r="AR18" s="44">
        <f>25185000/1000</f>
        <v>25185</v>
      </c>
      <c r="AS18" s="44">
        <f>25530000/1000</f>
        <v>25530</v>
      </c>
      <c r="AT18" s="44">
        <f>24500000/1000</f>
        <v>24500</v>
      </c>
      <c r="AU18" s="44">
        <f>26750000/1000</f>
        <v>26750</v>
      </c>
      <c r="AV18" s="44">
        <f>29300000/1000</f>
        <v>29300</v>
      </c>
      <c r="AW18" s="44">
        <f>29200000/1000</f>
        <v>29200</v>
      </c>
      <c r="AX18" s="44">
        <f>25200000/1000</f>
        <v>25200</v>
      </c>
      <c r="AY18" s="44">
        <f>25600000/1000</f>
        <v>25600</v>
      </c>
      <c r="AZ18" s="44">
        <f>26400000/1000</f>
        <v>26400</v>
      </c>
      <c r="BA18" s="44">
        <f>26600000/1000</f>
        <v>26600</v>
      </c>
      <c r="BB18" s="45">
        <f>24000000/1000</f>
        <v>24000</v>
      </c>
      <c r="BC18" s="43">
        <f>28700000/1000</f>
        <v>28700</v>
      </c>
      <c r="BD18" s="43">
        <f>33700000/1000</f>
        <v>33700</v>
      </c>
    </row>
    <row r="19" spans="1:56" x14ac:dyDescent="0.25">
      <c r="A19" s="12"/>
      <c r="B19" s="6"/>
      <c r="C19" s="6" t="s">
        <v>45</v>
      </c>
      <c r="D19" s="47">
        <v>0</v>
      </c>
      <c r="E19" s="47">
        <v>0</v>
      </c>
      <c r="F19" s="47">
        <v>0</v>
      </c>
      <c r="G19" s="47">
        <v>0</v>
      </c>
      <c r="H19" s="47">
        <v>0</v>
      </c>
      <c r="I19" s="47">
        <v>36</v>
      </c>
      <c r="J19" s="47">
        <v>38</v>
      </c>
      <c r="K19" s="47">
        <v>108</v>
      </c>
      <c r="L19" s="47">
        <v>78</v>
      </c>
      <c r="M19" s="47">
        <v>90</v>
      </c>
      <c r="N19" s="47">
        <v>110</v>
      </c>
      <c r="O19" s="47">
        <v>3</v>
      </c>
      <c r="P19" s="47">
        <v>185</v>
      </c>
      <c r="Q19" s="47">
        <v>208</v>
      </c>
      <c r="R19" s="47">
        <v>190</v>
      </c>
      <c r="S19" s="47">
        <v>161</v>
      </c>
      <c r="T19" s="47">
        <v>180</v>
      </c>
      <c r="U19" s="47">
        <v>515</v>
      </c>
      <c r="V19" s="47">
        <v>523</v>
      </c>
      <c r="W19" s="47">
        <v>368</v>
      </c>
      <c r="X19" s="47">
        <v>574</v>
      </c>
      <c r="Y19" s="47">
        <v>797</v>
      </c>
      <c r="Z19" s="47">
        <v>475</v>
      </c>
      <c r="AA19" s="47">
        <v>17</v>
      </c>
      <c r="AB19" s="47">
        <v>0</v>
      </c>
      <c r="AC19" s="47">
        <v>0</v>
      </c>
      <c r="AD19" s="47">
        <v>179</v>
      </c>
      <c r="AE19" s="47">
        <v>148</v>
      </c>
      <c r="AF19" s="47">
        <v>282</v>
      </c>
      <c r="AG19" s="47">
        <v>369</v>
      </c>
      <c r="AH19" s="47">
        <v>244</v>
      </c>
      <c r="AI19" s="47">
        <v>298</v>
      </c>
      <c r="AJ19" s="47">
        <v>273</v>
      </c>
      <c r="AK19" s="47">
        <v>162</v>
      </c>
      <c r="AL19" s="47">
        <v>301</v>
      </c>
      <c r="AM19" s="47">
        <v>919</v>
      </c>
      <c r="AN19" s="47">
        <v>1091</v>
      </c>
      <c r="AO19" s="47">
        <v>921</v>
      </c>
      <c r="AP19" s="47">
        <v>1702</v>
      </c>
      <c r="AQ19" s="47">
        <v>1949</v>
      </c>
      <c r="AR19" s="47">
        <v>1591</v>
      </c>
      <c r="AS19" s="47">
        <v>1600</v>
      </c>
      <c r="AT19" s="47">
        <v>1600</v>
      </c>
      <c r="AU19" s="47">
        <v>1500</v>
      </c>
      <c r="AV19" s="47">
        <v>1450</v>
      </c>
      <c r="AW19" s="47">
        <v>1800</v>
      </c>
      <c r="AX19" s="47">
        <v>1800</v>
      </c>
      <c r="AY19" s="47">
        <v>2420</v>
      </c>
      <c r="AZ19" s="47">
        <v>2197</v>
      </c>
      <c r="BA19" s="47">
        <v>2600</v>
      </c>
      <c r="BB19" s="48">
        <v>2910</v>
      </c>
      <c r="BC19" s="42"/>
      <c r="BD19" s="42"/>
    </row>
    <row r="20" spans="1:56" s="5" customFormat="1" x14ac:dyDescent="0.25">
      <c r="A20" s="12"/>
      <c r="B20" s="2"/>
      <c r="C20" s="2" t="s">
        <v>44</v>
      </c>
      <c r="D20" s="44">
        <v>0</v>
      </c>
      <c r="E20" s="44">
        <v>33</v>
      </c>
      <c r="F20" s="44">
        <v>50</v>
      </c>
      <c r="G20" s="44">
        <v>103</v>
      </c>
      <c r="H20" s="44">
        <v>80</v>
      </c>
      <c r="I20" s="44">
        <v>53</v>
      </c>
      <c r="J20" s="44">
        <v>0</v>
      </c>
      <c r="K20" s="44">
        <v>0</v>
      </c>
      <c r="L20" s="44">
        <v>0</v>
      </c>
      <c r="M20" s="44">
        <v>0</v>
      </c>
      <c r="N20" s="44">
        <v>0</v>
      </c>
      <c r="O20" s="44">
        <v>0</v>
      </c>
      <c r="P20" s="44">
        <v>0</v>
      </c>
      <c r="Q20" s="44">
        <v>0</v>
      </c>
      <c r="R20" s="44">
        <v>0</v>
      </c>
      <c r="S20" s="44">
        <v>0</v>
      </c>
      <c r="T20" s="44">
        <v>0</v>
      </c>
      <c r="U20" s="44">
        <v>0</v>
      </c>
      <c r="V20" s="44">
        <v>0</v>
      </c>
      <c r="W20" s="44">
        <v>0</v>
      </c>
      <c r="X20" s="44">
        <v>0</v>
      </c>
      <c r="Y20" s="44">
        <v>0</v>
      </c>
      <c r="Z20" s="44">
        <v>0</v>
      </c>
      <c r="AA20" s="44">
        <v>0</v>
      </c>
      <c r="AB20" s="44">
        <v>0</v>
      </c>
      <c r="AC20" s="44">
        <v>0</v>
      </c>
      <c r="AD20" s="44">
        <v>0</v>
      </c>
      <c r="AE20" s="44">
        <v>0</v>
      </c>
      <c r="AF20" s="44">
        <v>0</v>
      </c>
      <c r="AG20" s="44">
        <v>0</v>
      </c>
      <c r="AH20" s="44">
        <v>0</v>
      </c>
      <c r="AI20" s="44">
        <v>0</v>
      </c>
      <c r="AJ20" s="44">
        <v>0</v>
      </c>
      <c r="AK20" s="44">
        <v>0</v>
      </c>
      <c r="AL20" s="44">
        <v>0</v>
      </c>
      <c r="AM20" s="44">
        <v>0</v>
      </c>
      <c r="AN20" s="44">
        <v>0</v>
      </c>
      <c r="AO20" s="44">
        <v>0</v>
      </c>
      <c r="AP20" s="44">
        <v>6</v>
      </c>
      <c r="AQ20" s="44">
        <v>17</v>
      </c>
      <c r="AR20" s="44">
        <v>6</v>
      </c>
      <c r="AS20" s="44">
        <v>5</v>
      </c>
      <c r="AT20" s="44">
        <v>0</v>
      </c>
      <c r="AU20" s="44">
        <v>0</v>
      </c>
      <c r="AV20" s="44">
        <v>0</v>
      </c>
      <c r="AW20" s="44">
        <v>0</v>
      </c>
      <c r="AX20" s="44">
        <v>0</v>
      </c>
      <c r="AY20" s="44">
        <v>0</v>
      </c>
      <c r="AZ20" s="44">
        <v>0</v>
      </c>
      <c r="BA20" s="44">
        <v>0</v>
      </c>
      <c r="BB20" s="45">
        <v>0</v>
      </c>
      <c r="BC20" s="43"/>
      <c r="BD20" s="43"/>
    </row>
    <row r="21" spans="1:56" ht="30" x14ac:dyDescent="0.25">
      <c r="A21" s="12"/>
      <c r="B21" s="6"/>
      <c r="C21" s="6" t="s">
        <v>43</v>
      </c>
      <c r="D21" s="7">
        <f>D18+D19-D20</f>
        <v>10931.2</v>
      </c>
      <c r="E21" s="7">
        <f t="shared" ref="E21:BC21" si="0">E18+E19-E20</f>
        <v>10178.1</v>
      </c>
      <c r="F21" s="7">
        <f t="shared" si="0"/>
        <v>8909.5</v>
      </c>
      <c r="G21" s="7">
        <f t="shared" si="0"/>
        <v>10856.4</v>
      </c>
      <c r="H21" s="7">
        <f t="shared" si="0"/>
        <v>11144.8</v>
      </c>
      <c r="I21" s="7">
        <f t="shared" si="0"/>
        <v>9532.9</v>
      </c>
      <c r="J21" s="7">
        <f t="shared" si="0"/>
        <v>10249.700000000001</v>
      </c>
      <c r="K21" s="7">
        <f t="shared" si="0"/>
        <v>8966.2999999999993</v>
      </c>
      <c r="L21" s="7">
        <f t="shared" si="0"/>
        <v>10068.1</v>
      </c>
      <c r="M21" s="7">
        <f t="shared" si="0"/>
        <v>9837.9</v>
      </c>
      <c r="N21" s="7">
        <f t="shared" si="0"/>
        <v>11336.9</v>
      </c>
      <c r="O21" s="7">
        <f t="shared" si="0"/>
        <v>11652.6</v>
      </c>
      <c r="P21" s="7">
        <f t="shared" si="0"/>
        <v>11032.8</v>
      </c>
      <c r="Q21" s="7">
        <f t="shared" si="0"/>
        <v>13634.5</v>
      </c>
      <c r="R21" s="7">
        <f t="shared" si="0"/>
        <v>13269.2</v>
      </c>
      <c r="S21" s="7">
        <f t="shared" si="0"/>
        <v>14195.48</v>
      </c>
      <c r="T21" s="7">
        <f t="shared" si="0"/>
        <v>14696.28</v>
      </c>
      <c r="U21" s="7">
        <f t="shared" si="0"/>
        <v>19849</v>
      </c>
      <c r="V21" s="7">
        <f t="shared" si="0"/>
        <v>19606.008000000002</v>
      </c>
      <c r="W21" s="7">
        <f t="shared" si="0"/>
        <v>17501.295999999998</v>
      </c>
      <c r="X21" s="7">
        <f t="shared" si="0"/>
        <v>22875.808000000001</v>
      </c>
      <c r="Y21" s="7">
        <f t="shared" si="0"/>
        <v>22591.096000000001</v>
      </c>
      <c r="Z21" s="7">
        <f t="shared" si="0"/>
        <v>24925.495999999999</v>
      </c>
      <c r="AA21" s="7">
        <f t="shared" si="0"/>
        <v>22974.135999999999</v>
      </c>
      <c r="AB21" s="7">
        <f t="shared" si="0"/>
        <v>22621.168000000001</v>
      </c>
      <c r="AC21" s="7">
        <f t="shared" si="0"/>
        <v>24608.383999999998</v>
      </c>
      <c r="AD21" s="7">
        <f t="shared" si="0"/>
        <v>26309.736000000001</v>
      </c>
      <c r="AE21" s="7">
        <f t="shared" si="0"/>
        <v>28113.360000000001</v>
      </c>
      <c r="AF21" s="7">
        <f t="shared" si="0"/>
        <v>27094.32</v>
      </c>
      <c r="AG21" s="7">
        <f t="shared" si="0"/>
        <v>28348.632000000001</v>
      </c>
      <c r="AH21" s="7">
        <f t="shared" si="0"/>
        <v>28377.008000000002</v>
      </c>
      <c r="AI21" s="7">
        <f t="shared" si="0"/>
        <v>32298</v>
      </c>
      <c r="AJ21" s="7">
        <f t="shared" si="0"/>
        <v>33273</v>
      </c>
      <c r="AK21" s="7">
        <f t="shared" si="0"/>
        <v>32996</v>
      </c>
      <c r="AL21" s="7">
        <f t="shared" si="0"/>
        <v>29299.8</v>
      </c>
      <c r="AM21" s="7">
        <f t="shared" si="0"/>
        <v>30405.3</v>
      </c>
      <c r="AN21" s="7">
        <f t="shared" si="0"/>
        <v>28854.75</v>
      </c>
      <c r="AO21" s="7">
        <f t="shared" si="0"/>
        <v>28875</v>
      </c>
      <c r="AP21" s="7">
        <f t="shared" si="0"/>
        <v>25196</v>
      </c>
      <c r="AQ21" s="7">
        <f t="shared" si="0"/>
        <v>25832</v>
      </c>
      <c r="AR21" s="7">
        <f t="shared" si="0"/>
        <v>26770</v>
      </c>
      <c r="AS21" s="7">
        <f t="shared" si="0"/>
        <v>27125</v>
      </c>
      <c r="AT21" s="7">
        <f t="shared" si="0"/>
        <v>26100</v>
      </c>
      <c r="AU21" s="7">
        <f t="shared" si="0"/>
        <v>28250</v>
      </c>
      <c r="AV21" s="7">
        <f t="shared" si="0"/>
        <v>30750</v>
      </c>
      <c r="AW21" s="7">
        <f t="shared" si="0"/>
        <v>31000</v>
      </c>
      <c r="AX21" s="7">
        <f t="shared" si="0"/>
        <v>27000</v>
      </c>
      <c r="AY21" s="7">
        <f t="shared" si="0"/>
        <v>28020</v>
      </c>
      <c r="AZ21" s="7">
        <f t="shared" si="0"/>
        <v>28597</v>
      </c>
      <c r="BA21" s="7">
        <f t="shared" si="0"/>
        <v>29200</v>
      </c>
      <c r="BB21" s="7">
        <f t="shared" si="0"/>
        <v>26910</v>
      </c>
      <c r="BC21" s="7">
        <f t="shared" si="0"/>
        <v>28700</v>
      </c>
      <c r="BD21" s="42"/>
    </row>
    <row r="22" spans="1:56" s="5" customFormat="1" x14ac:dyDescent="0.25">
      <c r="A22" s="14"/>
      <c r="B22" s="6" t="s">
        <v>15</v>
      </c>
      <c r="C22" s="6" t="s">
        <v>7</v>
      </c>
      <c r="D22" s="7">
        <v>161</v>
      </c>
      <c r="E22" s="7">
        <v>150</v>
      </c>
      <c r="F22" s="7">
        <v>24</v>
      </c>
      <c r="G22" s="7">
        <v>100</v>
      </c>
      <c r="H22" s="7">
        <v>20</v>
      </c>
      <c r="I22" s="7">
        <v>20</v>
      </c>
      <c r="J22" s="7">
        <v>40</v>
      </c>
      <c r="K22" s="7">
        <v>170</v>
      </c>
      <c r="L22" s="7">
        <v>335</v>
      </c>
      <c r="M22" s="7">
        <v>685</v>
      </c>
      <c r="N22" s="7">
        <v>455</v>
      </c>
      <c r="O22" s="7">
        <v>487</v>
      </c>
      <c r="P22" s="7">
        <v>686</v>
      </c>
      <c r="Q22" s="7">
        <v>576</v>
      </c>
      <c r="R22" s="7">
        <v>846</v>
      </c>
      <c r="S22" s="7">
        <v>834</v>
      </c>
      <c r="T22" s="8">
        <v>1155</v>
      </c>
      <c r="U22" s="8">
        <v>1127</v>
      </c>
      <c r="V22" s="8">
        <v>1257</v>
      </c>
      <c r="W22" s="8">
        <v>1374</v>
      </c>
      <c r="X22" s="8">
        <v>1233</v>
      </c>
      <c r="Y22" s="8">
        <v>1352</v>
      </c>
      <c r="Z22" s="8">
        <v>1484</v>
      </c>
      <c r="AA22" s="8">
        <v>1557</v>
      </c>
      <c r="AB22" s="8">
        <v>1369</v>
      </c>
      <c r="AC22" s="8">
        <v>1543</v>
      </c>
      <c r="AD22" s="8">
        <v>1597</v>
      </c>
      <c r="AE22" s="8">
        <v>1800</v>
      </c>
      <c r="AF22" s="8">
        <v>1717</v>
      </c>
      <c r="AG22" s="8">
        <v>1942</v>
      </c>
      <c r="AH22" s="8">
        <v>2036</v>
      </c>
      <c r="AI22" s="8">
        <v>2550</v>
      </c>
      <c r="AJ22" s="8">
        <v>2672</v>
      </c>
      <c r="AK22" s="8">
        <v>2925</v>
      </c>
      <c r="AL22" s="8">
        <v>3881</v>
      </c>
      <c r="AM22" s="8">
        <v>3632</v>
      </c>
      <c r="AN22" s="8">
        <v>4201</v>
      </c>
      <c r="AO22" s="8">
        <v>3664</v>
      </c>
      <c r="AP22" s="8">
        <v>3117</v>
      </c>
      <c r="AQ22" s="8">
        <v>3744</v>
      </c>
      <c r="AR22" s="8">
        <v>4069</v>
      </c>
      <c r="AS22" s="8">
        <v>3748</v>
      </c>
      <c r="AT22" s="8">
        <v>4008</v>
      </c>
      <c r="AU22" s="8">
        <v>4434</v>
      </c>
      <c r="AV22" s="8">
        <v>4720</v>
      </c>
      <c r="AW22" s="8">
        <v>5072</v>
      </c>
      <c r="AX22" s="8">
        <v>5601</v>
      </c>
      <c r="AY22" s="8">
        <v>5227</v>
      </c>
      <c r="AZ22" s="8">
        <v>5419</v>
      </c>
      <c r="BA22" s="8">
        <v>5364</v>
      </c>
      <c r="BB22" s="8">
        <v>5600</v>
      </c>
      <c r="BC22" s="43"/>
      <c r="BD22" s="43"/>
    </row>
    <row r="23" spans="1:56" x14ac:dyDescent="0.25">
      <c r="A23" s="12"/>
      <c r="B23" s="2"/>
      <c r="C23" s="2" t="s">
        <v>8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  <c r="AG23" s="4">
        <v>0</v>
      </c>
      <c r="AH23" s="4">
        <v>5</v>
      </c>
      <c r="AI23" s="4">
        <v>7</v>
      </c>
      <c r="AJ23" s="4">
        <v>7</v>
      </c>
      <c r="AK23" s="4">
        <v>8</v>
      </c>
      <c r="AL23" s="4">
        <v>11</v>
      </c>
      <c r="AM23" s="4">
        <v>18</v>
      </c>
      <c r="AN23" s="4">
        <v>49</v>
      </c>
      <c r="AO23" s="4">
        <v>23</v>
      </c>
      <c r="AP23" s="4">
        <v>9</v>
      </c>
      <c r="AQ23" s="4">
        <v>31</v>
      </c>
      <c r="AR23" s="4">
        <v>49</v>
      </c>
      <c r="AS23" s="4">
        <v>45</v>
      </c>
      <c r="AT23" s="4">
        <v>73</v>
      </c>
      <c r="AU23" s="4">
        <v>91</v>
      </c>
      <c r="AV23" s="4">
        <v>221</v>
      </c>
      <c r="AW23" s="4">
        <v>163</v>
      </c>
      <c r="AX23" s="4">
        <v>192</v>
      </c>
      <c r="AY23" s="4">
        <v>221</v>
      </c>
      <c r="AZ23" s="4">
        <v>144</v>
      </c>
      <c r="BA23" s="4">
        <v>200</v>
      </c>
      <c r="BB23" s="4">
        <v>250</v>
      </c>
      <c r="BC23" s="42"/>
      <c r="BD23" s="42"/>
    </row>
    <row r="24" spans="1:56" s="5" customFormat="1" x14ac:dyDescent="0.25">
      <c r="A24" s="14"/>
      <c r="B24" s="6"/>
      <c r="C24" s="6" t="s">
        <v>9</v>
      </c>
      <c r="D24" s="7">
        <v>161</v>
      </c>
      <c r="E24" s="7">
        <v>150</v>
      </c>
      <c r="F24" s="7">
        <v>24</v>
      </c>
      <c r="G24" s="7">
        <v>100</v>
      </c>
      <c r="H24" s="7">
        <v>20</v>
      </c>
      <c r="I24" s="7">
        <v>20</v>
      </c>
      <c r="J24" s="7">
        <v>40</v>
      </c>
      <c r="K24" s="7">
        <v>170</v>
      </c>
      <c r="L24" s="7">
        <v>279</v>
      </c>
      <c r="M24" s="7">
        <v>567</v>
      </c>
      <c r="N24" s="7">
        <v>396</v>
      </c>
      <c r="O24" s="7">
        <v>683</v>
      </c>
      <c r="P24" s="7">
        <v>642</v>
      </c>
      <c r="Q24" s="7">
        <v>557</v>
      </c>
      <c r="R24" s="7">
        <v>826</v>
      </c>
      <c r="S24" s="7">
        <v>819</v>
      </c>
      <c r="T24" s="8">
        <v>1090</v>
      </c>
      <c r="U24" s="8">
        <v>1125</v>
      </c>
      <c r="V24" s="8">
        <v>1251</v>
      </c>
      <c r="W24" s="8">
        <v>1285</v>
      </c>
      <c r="X24" s="8">
        <v>1309</v>
      </c>
      <c r="Y24" s="8">
        <v>1339</v>
      </c>
      <c r="Z24" s="8">
        <v>1471</v>
      </c>
      <c r="AA24" s="8">
        <v>1604</v>
      </c>
      <c r="AB24" s="8">
        <v>1419</v>
      </c>
      <c r="AC24" s="8">
        <v>1443</v>
      </c>
      <c r="AD24" s="8">
        <v>1547</v>
      </c>
      <c r="AE24" s="8">
        <v>1800</v>
      </c>
      <c r="AF24" s="8">
        <v>1817</v>
      </c>
      <c r="AG24" s="8">
        <v>1892</v>
      </c>
      <c r="AH24" s="8">
        <v>1967</v>
      </c>
      <c r="AI24" s="8">
        <v>2537</v>
      </c>
      <c r="AJ24" s="8">
        <v>2715</v>
      </c>
      <c r="AK24" s="8">
        <v>3012</v>
      </c>
      <c r="AL24" s="8">
        <v>3595</v>
      </c>
      <c r="AM24" s="8">
        <v>3752</v>
      </c>
      <c r="AN24" s="8">
        <v>4152</v>
      </c>
      <c r="AO24" s="8">
        <v>3703</v>
      </c>
      <c r="AP24" s="8">
        <v>2658</v>
      </c>
      <c r="AQ24" s="8">
        <v>3313</v>
      </c>
      <c r="AR24" s="8">
        <v>4120</v>
      </c>
      <c r="AS24" s="8">
        <v>3832</v>
      </c>
      <c r="AT24" s="8">
        <v>4091</v>
      </c>
      <c r="AU24" s="8">
        <v>4200</v>
      </c>
      <c r="AV24" s="8">
        <v>4450</v>
      </c>
      <c r="AW24" s="8">
        <v>4700</v>
      </c>
      <c r="AX24" s="8">
        <v>5050</v>
      </c>
      <c r="AY24" s="8">
        <v>5150</v>
      </c>
      <c r="AZ24" s="8">
        <v>5200</v>
      </c>
      <c r="BA24" s="8">
        <v>5300</v>
      </c>
      <c r="BB24" s="8">
        <v>5550</v>
      </c>
      <c r="BC24" s="43"/>
      <c r="BD24" s="43"/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6"/>
  <sheetViews>
    <sheetView zoomScaleNormal="100" workbookViewId="0">
      <pane xSplit="6" ySplit="15" topLeftCell="AW26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1">
        <v>2013</v>
      </c>
    </row>
    <row r="2" spans="1:56" x14ac:dyDescent="0.25">
      <c r="A2" s="12" t="s">
        <v>24</v>
      </c>
      <c r="B2" s="2" t="s">
        <v>5</v>
      </c>
      <c r="C2" s="2" t="s">
        <v>6</v>
      </c>
      <c r="D2" s="4">
        <v>113</v>
      </c>
      <c r="E2" s="4">
        <v>116</v>
      </c>
      <c r="F2" s="4">
        <v>104</v>
      </c>
      <c r="G2" s="4">
        <v>104</v>
      </c>
      <c r="H2" s="4">
        <v>84</v>
      </c>
      <c r="I2" s="4">
        <v>75</v>
      </c>
      <c r="J2" s="4">
        <v>63</v>
      </c>
      <c r="K2" s="4">
        <v>61</v>
      </c>
      <c r="L2" s="4">
        <v>51</v>
      </c>
      <c r="M2" s="4">
        <v>40</v>
      </c>
      <c r="N2" s="4">
        <v>33</v>
      </c>
      <c r="O2" s="4">
        <v>33</v>
      </c>
      <c r="P2" s="4">
        <v>24</v>
      </c>
      <c r="Q2" s="4">
        <v>19</v>
      </c>
      <c r="R2" s="4">
        <v>14</v>
      </c>
      <c r="S2" s="4">
        <v>11</v>
      </c>
      <c r="T2" s="4">
        <v>11</v>
      </c>
      <c r="U2" s="4">
        <v>8</v>
      </c>
      <c r="V2" s="4">
        <v>5</v>
      </c>
      <c r="W2" s="4">
        <v>5</v>
      </c>
      <c r="X2" s="4">
        <v>4</v>
      </c>
      <c r="Y2" s="4">
        <v>3</v>
      </c>
      <c r="Z2" s="4">
        <v>3</v>
      </c>
      <c r="AA2" s="4">
        <v>3</v>
      </c>
      <c r="AB2" s="4">
        <v>3</v>
      </c>
      <c r="AC2" s="4">
        <v>2</v>
      </c>
      <c r="AD2" s="4">
        <v>2</v>
      </c>
      <c r="AE2" s="4">
        <v>2</v>
      </c>
      <c r="AF2" s="4">
        <v>2</v>
      </c>
      <c r="AG2" s="4">
        <v>2</v>
      </c>
      <c r="AH2" s="4">
        <v>2</v>
      </c>
      <c r="AI2" s="4">
        <v>2</v>
      </c>
      <c r="AJ2" s="4">
        <v>2</v>
      </c>
      <c r="AK2" s="4">
        <v>2</v>
      </c>
      <c r="AL2" s="4">
        <v>2</v>
      </c>
      <c r="AM2" s="4">
        <v>2</v>
      </c>
      <c r="AN2" s="4">
        <v>1</v>
      </c>
      <c r="AO2" s="4">
        <v>1</v>
      </c>
      <c r="AP2" s="4">
        <v>1</v>
      </c>
      <c r="AQ2" s="4">
        <v>1</v>
      </c>
      <c r="AR2" s="4">
        <v>1</v>
      </c>
      <c r="AS2" s="4">
        <v>1</v>
      </c>
      <c r="AT2" s="4">
        <v>1</v>
      </c>
      <c r="AU2" s="4">
        <v>1</v>
      </c>
      <c r="AV2" s="4">
        <v>1</v>
      </c>
      <c r="AW2" s="4">
        <v>1</v>
      </c>
      <c r="AX2" s="4">
        <v>1</v>
      </c>
      <c r="AY2" s="4">
        <v>1</v>
      </c>
      <c r="AZ2" s="4">
        <v>1</v>
      </c>
      <c r="BA2" s="4">
        <v>1</v>
      </c>
      <c r="BB2" s="44">
        <f>165/1000</f>
        <v>0.16500000000000001</v>
      </c>
      <c r="BC2" s="49">
        <f>170/1000</f>
        <v>0.17</v>
      </c>
      <c r="BD2" s="50">
        <f>180/1000</f>
        <v>0.18</v>
      </c>
    </row>
    <row r="3" spans="1:56" s="5" customFormat="1" x14ac:dyDescent="0.25">
      <c r="A3" s="14"/>
      <c r="B3" s="6"/>
      <c r="C3" s="6" t="s">
        <v>7</v>
      </c>
      <c r="D3" s="8">
        <v>1708</v>
      </c>
      <c r="E3" s="8">
        <v>2109</v>
      </c>
      <c r="F3" s="8">
        <v>2396</v>
      </c>
      <c r="G3" s="8">
        <v>3076</v>
      </c>
      <c r="H3" s="8">
        <v>3223</v>
      </c>
      <c r="I3" s="8">
        <v>2887</v>
      </c>
      <c r="J3" s="8">
        <v>3837</v>
      </c>
      <c r="K3" s="8">
        <v>4582</v>
      </c>
      <c r="L3" s="8">
        <v>5287</v>
      </c>
      <c r="M3" s="8">
        <v>5975</v>
      </c>
      <c r="N3" s="8">
        <v>5173</v>
      </c>
      <c r="O3" s="8">
        <v>5416</v>
      </c>
      <c r="P3" s="8">
        <v>6881</v>
      </c>
      <c r="Q3" s="8">
        <v>8210</v>
      </c>
      <c r="R3" s="8">
        <v>7388</v>
      </c>
      <c r="S3" s="8">
        <v>7879</v>
      </c>
      <c r="T3" s="8">
        <v>8874</v>
      </c>
      <c r="U3" s="8">
        <v>9717</v>
      </c>
      <c r="V3" s="8">
        <v>10936</v>
      </c>
      <c r="W3" s="8">
        <v>11876</v>
      </c>
      <c r="X3" s="8">
        <v>13989</v>
      </c>
      <c r="Y3" s="8">
        <v>12953</v>
      </c>
      <c r="Z3" s="8">
        <v>14537</v>
      </c>
      <c r="AA3" s="8">
        <v>14634</v>
      </c>
      <c r="AB3" s="8">
        <v>13955</v>
      </c>
      <c r="AC3" s="8">
        <v>14553</v>
      </c>
      <c r="AD3" s="8">
        <v>15500</v>
      </c>
      <c r="AE3" s="8">
        <v>16697</v>
      </c>
      <c r="AF3" s="8">
        <v>15900</v>
      </c>
      <c r="AG3" s="8">
        <v>15993</v>
      </c>
      <c r="AH3" s="8">
        <v>16345</v>
      </c>
      <c r="AI3" s="8">
        <v>16546</v>
      </c>
      <c r="AJ3" s="8">
        <v>16760</v>
      </c>
      <c r="AK3" s="8">
        <v>16165</v>
      </c>
      <c r="AL3" s="8">
        <v>16481</v>
      </c>
      <c r="AM3" s="8">
        <v>15976</v>
      </c>
      <c r="AN3" s="8">
        <v>15963</v>
      </c>
      <c r="AO3" s="8">
        <v>16422</v>
      </c>
      <c r="AP3" s="8">
        <v>16336</v>
      </c>
      <c r="AQ3" s="8">
        <v>16117</v>
      </c>
      <c r="AR3" s="8">
        <v>16340</v>
      </c>
      <c r="AS3" s="8">
        <v>16395</v>
      </c>
      <c r="AT3" s="8">
        <v>16863</v>
      </c>
      <c r="AU3" s="8">
        <v>16781</v>
      </c>
      <c r="AV3" s="8">
        <v>16485</v>
      </c>
      <c r="AW3" s="8">
        <v>16617</v>
      </c>
      <c r="AX3" s="8">
        <v>16713</v>
      </c>
      <c r="AY3" s="8">
        <v>16614</v>
      </c>
      <c r="AZ3" s="8">
        <v>16533</v>
      </c>
      <c r="BA3" s="8">
        <v>15979</v>
      </c>
      <c r="BB3" s="47">
        <f>15284561/1000</f>
        <v>15284.561</v>
      </c>
      <c r="BC3" s="51"/>
      <c r="BD3" s="52"/>
    </row>
    <row r="4" spans="1:56" x14ac:dyDescent="0.25">
      <c r="A4" s="12"/>
      <c r="B4" s="2"/>
      <c r="C4" s="2" t="s">
        <v>8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6</v>
      </c>
      <c r="M4" s="4">
        <v>3</v>
      </c>
      <c r="N4" s="4">
        <v>0</v>
      </c>
      <c r="O4" s="4">
        <v>0</v>
      </c>
      <c r="P4" s="4">
        <v>0</v>
      </c>
      <c r="Q4" s="4">
        <v>0</v>
      </c>
      <c r="R4" s="4">
        <v>0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  <c r="AF4" s="4">
        <v>0</v>
      </c>
      <c r="AG4" s="4">
        <v>0</v>
      </c>
      <c r="AH4" s="4">
        <v>0</v>
      </c>
      <c r="AI4" s="4">
        <v>0</v>
      </c>
      <c r="AJ4" s="4">
        <v>0</v>
      </c>
      <c r="AK4" s="4">
        <v>0</v>
      </c>
      <c r="AL4" s="4">
        <v>0</v>
      </c>
      <c r="AM4" s="4">
        <v>0</v>
      </c>
      <c r="AN4" s="4">
        <v>0</v>
      </c>
      <c r="AO4" s="4">
        <v>0</v>
      </c>
      <c r="AP4" s="4">
        <v>0</v>
      </c>
      <c r="AQ4" s="4">
        <v>0</v>
      </c>
      <c r="AR4" s="4">
        <v>0</v>
      </c>
      <c r="AS4" s="4">
        <v>0</v>
      </c>
      <c r="AT4" s="4">
        <v>0</v>
      </c>
      <c r="AU4" s="4">
        <v>0</v>
      </c>
      <c r="AV4" s="4">
        <v>0</v>
      </c>
      <c r="AW4" s="4">
        <v>6</v>
      </c>
      <c r="AX4" s="4">
        <v>2</v>
      </c>
      <c r="AY4" s="4">
        <v>0</v>
      </c>
      <c r="AZ4" s="4">
        <v>0</v>
      </c>
      <c r="BA4" s="4">
        <v>0</v>
      </c>
      <c r="BB4" s="44">
        <v>0</v>
      </c>
      <c r="BC4" s="49"/>
      <c r="BD4" s="50"/>
    </row>
    <row r="5" spans="1:56" s="5" customFormat="1" x14ac:dyDescent="0.25">
      <c r="A5" s="14"/>
      <c r="B5" s="6"/>
      <c r="C5" s="6" t="s">
        <v>9</v>
      </c>
      <c r="D5" s="8">
        <v>1821</v>
      </c>
      <c r="E5" s="8">
        <v>2220</v>
      </c>
      <c r="F5" s="8">
        <v>2495</v>
      </c>
      <c r="G5" s="8">
        <v>3132</v>
      </c>
      <c r="H5" s="8">
        <v>3287</v>
      </c>
      <c r="I5" s="8">
        <v>2956</v>
      </c>
      <c r="J5" s="8">
        <v>3989</v>
      </c>
      <c r="K5" s="8">
        <v>4450</v>
      </c>
      <c r="L5" s="8">
        <v>5375</v>
      </c>
      <c r="M5" s="8">
        <v>5927</v>
      </c>
      <c r="N5" s="8">
        <v>5282</v>
      </c>
      <c r="O5" s="8">
        <v>5460</v>
      </c>
      <c r="P5" s="8">
        <v>6795</v>
      </c>
      <c r="Q5" s="8">
        <v>7825</v>
      </c>
      <c r="R5" s="8">
        <v>7415</v>
      </c>
      <c r="S5" s="8">
        <v>7925</v>
      </c>
      <c r="T5" s="8">
        <v>8764</v>
      </c>
      <c r="U5" s="8">
        <v>9674</v>
      </c>
      <c r="V5" s="8">
        <v>10730</v>
      </c>
      <c r="W5" s="8">
        <v>11795</v>
      </c>
      <c r="X5" s="8">
        <v>13679</v>
      </c>
      <c r="Y5" s="8">
        <v>13557</v>
      </c>
      <c r="Z5" s="8">
        <v>14224</v>
      </c>
      <c r="AA5" s="8">
        <v>14637</v>
      </c>
      <c r="AB5" s="8">
        <v>14192</v>
      </c>
      <c r="AC5" s="8">
        <v>14372</v>
      </c>
      <c r="AD5" s="8">
        <v>15505</v>
      </c>
      <c r="AE5" s="8">
        <v>16600</v>
      </c>
      <c r="AF5" s="8">
        <v>15950</v>
      </c>
      <c r="AG5" s="8">
        <v>15743</v>
      </c>
      <c r="AH5" s="8">
        <v>16379</v>
      </c>
      <c r="AI5" s="8">
        <v>16530</v>
      </c>
      <c r="AJ5" s="8">
        <v>16850</v>
      </c>
      <c r="AK5" s="8">
        <v>16450</v>
      </c>
      <c r="AL5" s="8">
        <v>16450</v>
      </c>
      <c r="AM5" s="8">
        <v>16100</v>
      </c>
      <c r="AN5" s="8">
        <v>16100</v>
      </c>
      <c r="AO5" s="8">
        <v>15900</v>
      </c>
      <c r="AP5" s="8">
        <v>16436</v>
      </c>
      <c r="AQ5" s="8">
        <v>16317</v>
      </c>
      <c r="AR5" s="8">
        <v>16200</v>
      </c>
      <c r="AS5" s="8">
        <v>16300</v>
      </c>
      <c r="AT5" s="8">
        <v>16800</v>
      </c>
      <c r="AU5" s="8">
        <v>17200</v>
      </c>
      <c r="AV5" s="8">
        <v>16500</v>
      </c>
      <c r="AW5" s="8">
        <v>16700</v>
      </c>
      <c r="AX5" s="8">
        <v>16500</v>
      </c>
      <c r="AY5" s="8">
        <v>16600</v>
      </c>
      <c r="AZ5" s="8">
        <v>16700</v>
      </c>
      <c r="BA5" s="8">
        <v>16000</v>
      </c>
      <c r="BB5" s="47">
        <f>BB2+BB3-BB4</f>
        <v>15284.726000000001</v>
      </c>
      <c r="BC5" s="51"/>
      <c r="BD5" s="52"/>
    </row>
    <row r="6" spans="1:56" x14ac:dyDescent="0.25">
      <c r="A6" s="12"/>
      <c r="B6" s="2" t="s">
        <v>10</v>
      </c>
      <c r="C6" s="2" t="s">
        <v>7</v>
      </c>
      <c r="D6" s="3">
        <v>3535</v>
      </c>
      <c r="E6" s="3">
        <v>2843</v>
      </c>
      <c r="F6" s="3">
        <v>3070</v>
      </c>
      <c r="G6" s="3">
        <v>3167</v>
      </c>
      <c r="H6" s="3">
        <v>3416</v>
      </c>
      <c r="I6" s="3">
        <v>3078</v>
      </c>
      <c r="J6" s="3">
        <v>3556</v>
      </c>
      <c r="K6" s="3">
        <v>3499</v>
      </c>
      <c r="L6" s="3">
        <v>3131</v>
      </c>
      <c r="M6" s="3">
        <v>3448</v>
      </c>
      <c r="N6" s="3">
        <v>3669</v>
      </c>
      <c r="O6" s="3">
        <v>3555</v>
      </c>
      <c r="P6" s="3">
        <v>3883</v>
      </c>
      <c r="Q6" s="3">
        <v>3728</v>
      </c>
      <c r="R6" s="3">
        <v>3228</v>
      </c>
      <c r="S6" s="3">
        <v>3220</v>
      </c>
      <c r="T6" s="3">
        <v>3037</v>
      </c>
      <c r="U6" s="3">
        <v>3150</v>
      </c>
      <c r="V6" s="3">
        <v>3382</v>
      </c>
      <c r="W6" s="3">
        <v>3336</v>
      </c>
      <c r="X6" s="3">
        <v>3207</v>
      </c>
      <c r="Y6" s="3">
        <v>3504</v>
      </c>
      <c r="Z6" s="3">
        <v>3137</v>
      </c>
      <c r="AA6" s="3">
        <v>3338</v>
      </c>
      <c r="AB6" s="3">
        <v>3125</v>
      </c>
      <c r="AC6" s="3">
        <v>3054</v>
      </c>
      <c r="AD6" s="3">
        <v>3688</v>
      </c>
      <c r="AE6" s="3">
        <v>3431</v>
      </c>
      <c r="AF6" s="3">
        <v>3491</v>
      </c>
      <c r="AG6" s="3">
        <v>3165</v>
      </c>
      <c r="AH6" s="3">
        <v>2949</v>
      </c>
      <c r="AI6" s="3">
        <v>2705</v>
      </c>
      <c r="AJ6" s="3">
        <v>2228</v>
      </c>
      <c r="AK6" s="3">
        <v>1993</v>
      </c>
      <c r="AL6" s="3">
        <v>1650</v>
      </c>
      <c r="AM6" s="3">
        <v>1514</v>
      </c>
      <c r="AN6" s="3">
        <v>1342</v>
      </c>
      <c r="AO6" s="3">
        <v>1341</v>
      </c>
      <c r="AP6" s="3">
        <v>1263</v>
      </c>
      <c r="AQ6" s="3">
        <v>1280</v>
      </c>
      <c r="AR6" s="3">
        <v>1138</v>
      </c>
      <c r="AS6" s="3">
        <v>1063</v>
      </c>
      <c r="AT6" s="3">
        <v>1013</v>
      </c>
      <c r="AU6" s="4">
        <v>778</v>
      </c>
      <c r="AV6" s="4">
        <v>815</v>
      </c>
      <c r="AW6" s="4">
        <v>651</v>
      </c>
      <c r="AX6" s="4">
        <v>610</v>
      </c>
      <c r="AY6" s="4">
        <v>581</v>
      </c>
      <c r="AZ6" s="4">
        <v>430</v>
      </c>
      <c r="BA6" s="4">
        <v>304</v>
      </c>
      <c r="BB6" s="44">
        <v>325</v>
      </c>
      <c r="BC6" s="49">
        <f>81370/1000</f>
        <v>81.37</v>
      </c>
      <c r="BD6" s="50"/>
    </row>
    <row r="7" spans="1:56" s="5" customFormat="1" x14ac:dyDescent="0.25">
      <c r="A7" s="14"/>
      <c r="B7" s="6"/>
      <c r="C7" s="6" t="s">
        <v>8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165</v>
      </c>
      <c r="R7" s="7">
        <v>243</v>
      </c>
      <c r="S7" s="7">
        <v>250</v>
      </c>
      <c r="T7" s="7">
        <v>52</v>
      </c>
      <c r="U7" s="7">
        <v>32</v>
      </c>
      <c r="V7" s="7">
        <v>32</v>
      </c>
      <c r="W7" s="7">
        <v>32</v>
      </c>
      <c r="X7" s="7">
        <v>0</v>
      </c>
      <c r="Y7" s="7">
        <v>0</v>
      </c>
      <c r="Z7" s="7">
        <v>0</v>
      </c>
      <c r="AA7" s="7">
        <v>0</v>
      </c>
      <c r="AB7" s="7">
        <v>0</v>
      </c>
      <c r="AC7" s="7">
        <v>0</v>
      </c>
      <c r="AD7" s="7">
        <v>0</v>
      </c>
      <c r="AE7" s="7">
        <v>0</v>
      </c>
      <c r="AF7" s="7">
        <v>0</v>
      </c>
      <c r="AG7" s="7">
        <v>0</v>
      </c>
      <c r="AH7" s="7">
        <v>0</v>
      </c>
      <c r="AI7" s="7">
        <v>0</v>
      </c>
      <c r="AJ7" s="7">
        <v>0</v>
      </c>
      <c r="AK7" s="7">
        <v>0</v>
      </c>
      <c r="AL7" s="7">
        <v>0</v>
      </c>
      <c r="AM7" s="7">
        <v>0</v>
      </c>
      <c r="AN7" s="7">
        <v>0</v>
      </c>
      <c r="AO7" s="7">
        <v>0</v>
      </c>
      <c r="AP7" s="7">
        <v>0</v>
      </c>
      <c r="AQ7" s="7">
        <v>0</v>
      </c>
      <c r="AR7" s="7">
        <v>0</v>
      </c>
      <c r="AS7" s="7">
        <v>0</v>
      </c>
      <c r="AT7" s="7">
        <v>0</v>
      </c>
      <c r="AU7" s="7">
        <v>0</v>
      </c>
      <c r="AV7" s="7">
        <v>0</v>
      </c>
      <c r="AW7" s="7">
        <v>0</v>
      </c>
      <c r="AX7" s="7">
        <v>0</v>
      </c>
      <c r="AY7" s="7">
        <v>0</v>
      </c>
      <c r="AZ7" s="7">
        <v>0</v>
      </c>
      <c r="BA7" s="7">
        <v>0</v>
      </c>
      <c r="BB7" s="47">
        <v>0</v>
      </c>
      <c r="BC7" s="51">
        <f>2/1000</f>
        <v>2E-3</v>
      </c>
      <c r="BD7" s="52"/>
    </row>
    <row r="8" spans="1:56" x14ac:dyDescent="0.25">
      <c r="A8" s="12"/>
      <c r="B8" s="2"/>
      <c r="C8" s="2" t="s">
        <v>9</v>
      </c>
      <c r="D8" s="3">
        <v>3428</v>
      </c>
      <c r="E8" s="3">
        <v>3270</v>
      </c>
      <c r="F8" s="3">
        <v>3005</v>
      </c>
      <c r="G8" s="3">
        <v>3147</v>
      </c>
      <c r="H8" s="3">
        <v>3386</v>
      </c>
      <c r="I8" s="3">
        <v>3200</v>
      </c>
      <c r="J8" s="3">
        <v>3241</v>
      </c>
      <c r="K8" s="3">
        <v>3339</v>
      </c>
      <c r="L8" s="3">
        <v>3463</v>
      </c>
      <c r="M8" s="3">
        <v>3362</v>
      </c>
      <c r="N8" s="3">
        <v>3541</v>
      </c>
      <c r="O8" s="3">
        <v>3596</v>
      </c>
      <c r="P8" s="3">
        <v>3707</v>
      </c>
      <c r="Q8" s="3">
        <v>3642</v>
      </c>
      <c r="R8" s="3">
        <v>2902</v>
      </c>
      <c r="S8" s="3">
        <v>3190</v>
      </c>
      <c r="T8" s="3">
        <v>3141</v>
      </c>
      <c r="U8" s="3">
        <v>3100</v>
      </c>
      <c r="V8" s="3">
        <v>3325</v>
      </c>
      <c r="W8" s="3">
        <v>3371</v>
      </c>
      <c r="X8" s="3">
        <v>3295</v>
      </c>
      <c r="Y8" s="3">
        <v>3426</v>
      </c>
      <c r="Z8" s="3">
        <v>3290</v>
      </c>
      <c r="AA8" s="3">
        <v>3300</v>
      </c>
      <c r="AB8" s="3">
        <v>3187</v>
      </c>
      <c r="AC8" s="3">
        <v>3146</v>
      </c>
      <c r="AD8" s="3">
        <v>3445</v>
      </c>
      <c r="AE8" s="3">
        <v>3477</v>
      </c>
      <c r="AF8" s="3">
        <v>3408</v>
      </c>
      <c r="AG8" s="3">
        <v>3229</v>
      </c>
      <c r="AH8" s="3">
        <v>3027</v>
      </c>
      <c r="AI8" s="3">
        <v>2783</v>
      </c>
      <c r="AJ8" s="3">
        <v>2301</v>
      </c>
      <c r="AK8" s="3">
        <v>2071</v>
      </c>
      <c r="AL8" s="3">
        <v>1675</v>
      </c>
      <c r="AM8" s="3">
        <v>1529</v>
      </c>
      <c r="AN8" s="3">
        <v>1401</v>
      </c>
      <c r="AO8" s="3">
        <v>1400</v>
      </c>
      <c r="AP8" s="3">
        <v>1250</v>
      </c>
      <c r="AQ8" s="3">
        <v>1320</v>
      </c>
      <c r="AR8" s="3">
        <v>1190</v>
      </c>
      <c r="AS8" s="3">
        <v>1050</v>
      </c>
      <c r="AT8" s="3">
        <v>1025</v>
      </c>
      <c r="AU8" s="4">
        <v>825</v>
      </c>
      <c r="AV8" s="4">
        <v>815</v>
      </c>
      <c r="AW8" s="4">
        <v>685</v>
      </c>
      <c r="AX8" s="4">
        <v>625</v>
      </c>
      <c r="AY8" s="4">
        <v>585</v>
      </c>
      <c r="AZ8" s="4">
        <v>450</v>
      </c>
      <c r="BA8" s="4">
        <v>320</v>
      </c>
      <c r="BB8" s="44">
        <v>325</v>
      </c>
      <c r="BC8" s="49">
        <f>BC6-BC7</f>
        <v>81.368000000000009</v>
      </c>
      <c r="BD8" s="50"/>
    </row>
    <row r="9" spans="1:56" s="5" customFormat="1" x14ac:dyDescent="0.25">
      <c r="A9" s="14"/>
      <c r="B9" s="6" t="s">
        <v>11</v>
      </c>
      <c r="C9" s="6" t="s">
        <v>6</v>
      </c>
      <c r="D9" s="7">
        <v>0</v>
      </c>
      <c r="E9" s="7">
        <v>0</v>
      </c>
      <c r="F9" s="7">
        <v>0</v>
      </c>
      <c r="G9" s="7">
        <v>0</v>
      </c>
      <c r="H9" s="7">
        <v>240</v>
      </c>
      <c r="I9" s="7">
        <v>230</v>
      </c>
      <c r="J9" s="7">
        <v>199</v>
      </c>
      <c r="K9" s="7">
        <v>190</v>
      </c>
      <c r="L9" s="7">
        <v>168</v>
      </c>
      <c r="M9" s="7">
        <v>136</v>
      </c>
      <c r="N9" s="7">
        <v>126</v>
      </c>
      <c r="O9" s="7">
        <v>122</v>
      </c>
      <c r="P9" s="7">
        <v>127</v>
      </c>
      <c r="Q9" s="7">
        <v>118</v>
      </c>
      <c r="R9" s="7">
        <v>133</v>
      </c>
      <c r="S9" s="7">
        <v>126</v>
      </c>
      <c r="T9" s="7">
        <v>110</v>
      </c>
      <c r="U9" s="7">
        <v>111</v>
      </c>
      <c r="V9" s="7">
        <v>190</v>
      </c>
      <c r="W9" s="7">
        <v>192</v>
      </c>
      <c r="X9" s="7">
        <v>174</v>
      </c>
      <c r="Y9" s="7">
        <v>212</v>
      </c>
      <c r="Z9" s="7">
        <v>226</v>
      </c>
      <c r="AA9" s="7">
        <v>217</v>
      </c>
      <c r="AB9" s="7">
        <v>238</v>
      </c>
      <c r="AC9" s="7">
        <v>228</v>
      </c>
      <c r="AD9" s="7">
        <v>245</v>
      </c>
      <c r="AE9" s="7">
        <v>287</v>
      </c>
      <c r="AF9" s="7">
        <v>277</v>
      </c>
      <c r="AG9" s="7">
        <v>272</v>
      </c>
      <c r="AH9" s="7">
        <v>220</v>
      </c>
      <c r="AI9" s="7">
        <v>197</v>
      </c>
      <c r="AJ9" s="7">
        <v>188</v>
      </c>
      <c r="AK9" s="7">
        <v>101</v>
      </c>
      <c r="AL9" s="7">
        <v>99</v>
      </c>
      <c r="AM9" s="7">
        <v>119</v>
      </c>
      <c r="AN9" s="7">
        <v>148</v>
      </c>
      <c r="AO9" s="7">
        <v>145</v>
      </c>
      <c r="AP9" s="7">
        <v>158</v>
      </c>
      <c r="AQ9" s="7">
        <v>187</v>
      </c>
      <c r="AR9" s="7">
        <v>235</v>
      </c>
      <c r="AS9" s="7">
        <v>271</v>
      </c>
      <c r="AT9" s="7">
        <v>270</v>
      </c>
      <c r="AU9" s="7">
        <v>232</v>
      </c>
      <c r="AV9" s="7">
        <v>163</v>
      </c>
      <c r="AW9" s="7">
        <v>226</v>
      </c>
      <c r="AX9" s="7">
        <v>225</v>
      </c>
      <c r="AY9" s="7">
        <v>225</v>
      </c>
      <c r="AZ9" s="7">
        <v>262</v>
      </c>
      <c r="BA9" s="7">
        <v>227</v>
      </c>
      <c r="BB9" s="47">
        <v>225</v>
      </c>
      <c r="BC9" s="51">
        <f>218800/1000</f>
        <v>218.8</v>
      </c>
      <c r="BD9" s="52">
        <f>235900/1000</f>
        <v>235.9</v>
      </c>
    </row>
    <row r="10" spans="1:56" x14ac:dyDescent="0.25">
      <c r="A10" s="12"/>
      <c r="B10" s="2"/>
      <c r="C10" s="2" t="s">
        <v>7</v>
      </c>
      <c r="D10" s="4">
        <v>0</v>
      </c>
      <c r="E10" s="4">
        <v>0</v>
      </c>
      <c r="F10" s="4">
        <v>0</v>
      </c>
      <c r="G10" s="4">
        <v>0</v>
      </c>
      <c r="H10" s="3">
        <v>1864</v>
      </c>
      <c r="I10" s="3">
        <v>2178</v>
      </c>
      <c r="J10" s="3">
        <v>2183</v>
      </c>
      <c r="K10" s="3">
        <v>2435</v>
      </c>
      <c r="L10" s="3">
        <v>2604</v>
      </c>
      <c r="M10" s="3">
        <v>3257</v>
      </c>
      <c r="N10" s="3">
        <v>3226</v>
      </c>
      <c r="O10" s="3">
        <v>3396</v>
      </c>
      <c r="P10" s="3">
        <v>3635</v>
      </c>
      <c r="Q10" s="3">
        <v>3244</v>
      </c>
      <c r="R10" s="3">
        <v>3334</v>
      </c>
      <c r="S10" s="3">
        <v>3554</v>
      </c>
      <c r="T10" s="3">
        <v>3602</v>
      </c>
      <c r="U10" s="3">
        <v>4260</v>
      </c>
      <c r="V10" s="3">
        <v>4132</v>
      </c>
      <c r="W10" s="3">
        <v>4165</v>
      </c>
      <c r="X10" s="3">
        <v>4213</v>
      </c>
      <c r="Y10" s="3">
        <v>4486</v>
      </c>
      <c r="Z10" s="3">
        <v>4871</v>
      </c>
      <c r="AA10" s="3">
        <v>4728</v>
      </c>
      <c r="AB10" s="3">
        <v>4611</v>
      </c>
      <c r="AC10" s="3">
        <v>4796</v>
      </c>
      <c r="AD10" s="3">
        <v>4866</v>
      </c>
      <c r="AE10" s="3">
        <v>4847</v>
      </c>
      <c r="AF10" s="3">
        <v>4286</v>
      </c>
      <c r="AG10" s="3">
        <v>4667</v>
      </c>
      <c r="AH10" s="3">
        <v>4375</v>
      </c>
      <c r="AI10" s="3">
        <v>4672</v>
      </c>
      <c r="AJ10" s="3">
        <v>4866</v>
      </c>
      <c r="AK10" s="3">
        <v>4855</v>
      </c>
      <c r="AL10" s="3">
        <v>4837</v>
      </c>
      <c r="AM10" s="3">
        <v>4776</v>
      </c>
      <c r="AN10" s="3">
        <v>5043</v>
      </c>
      <c r="AO10" s="3">
        <v>4873</v>
      </c>
      <c r="AP10" s="3">
        <v>4807</v>
      </c>
      <c r="AQ10" s="3">
        <v>4907</v>
      </c>
      <c r="AR10" s="3">
        <v>4767</v>
      </c>
      <c r="AS10" s="3">
        <v>5023</v>
      </c>
      <c r="AT10" s="3">
        <v>5087</v>
      </c>
      <c r="AU10" s="3">
        <v>4688</v>
      </c>
      <c r="AV10" s="3">
        <v>4295</v>
      </c>
      <c r="AW10" s="3">
        <v>3962</v>
      </c>
      <c r="AX10" s="3">
        <v>4094</v>
      </c>
      <c r="AY10" s="3">
        <v>4014</v>
      </c>
      <c r="AZ10" s="3">
        <v>3396</v>
      </c>
      <c r="BA10" s="3">
        <v>3401</v>
      </c>
      <c r="BB10" s="44">
        <v>3450</v>
      </c>
      <c r="BC10" s="49">
        <f>2830773/1000</f>
        <v>2830.7730000000001</v>
      </c>
      <c r="BD10" s="50"/>
    </row>
    <row r="11" spans="1:56" s="5" customFormat="1" x14ac:dyDescent="0.25">
      <c r="A11" s="14"/>
      <c r="B11" s="6"/>
      <c r="C11" s="6" t="s">
        <v>8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4</v>
      </c>
      <c r="J11" s="7">
        <v>1</v>
      </c>
      <c r="K11" s="7">
        <v>1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20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  <c r="AL11" s="7">
        <v>0</v>
      </c>
      <c r="AM11" s="7">
        <v>0</v>
      </c>
      <c r="AN11" s="7">
        <v>0</v>
      </c>
      <c r="AO11" s="7">
        <v>0</v>
      </c>
      <c r="AP11" s="7">
        <v>0</v>
      </c>
      <c r="AQ11" s="7">
        <v>0</v>
      </c>
      <c r="AR11" s="7">
        <v>0</v>
      </c>
      <c r="AS11" s="7">
        <v>0</v>
      </c>
      <c r="AT11" s="7">
        <v>0</v>
      </c>
      <c r="AU11" s="7">
        <v>0</v>
      </c>
      <c r="AV11" s="7">
        <v>0</v>
      </c>
      <c r="AW11" s="7">
        <v>0</v>
      </c>
      <c r="AX11" s="7">
        <v>7</v>
      </c>
      <c r="AY11" s="7">
        <v>5</v>
      </c>
      <c r="AZ11" s="7">
        <v>0</v>
      </c>
      <c r="BA11" s="7">
        <v>0</v>
      </c>
      <c r="BB11" s="47">
        <v>0</v>
      </c>
      <c r="BC11" s="51">
        <f>15/1000</f>
        <v>1.4999999999999999E-2</v>
      </c>
      <c r="BD11" s="52"/>
    </row>
    <row r="12" spans="1:56" x14ac:dyDescent="0.25">
      <c r="A12" s="12"/>
      <c r="B12" s="2"/>
      <c r="C12" s="2" t="s">
        <v>9</v>
      </c>
      <c r="D12" s="4">
        <v>0</v>
      </c>
      <c r="E12" s="4">
        <v>0</v>
      </c>
      <c r="F12" s="4">
        <v>0</v>
      </c>
      <c r="G12" s="4">
        <v>0</v>
      </c>
      <c r="H12" s="3">
        <v>2016</v>
      </c>
      <c r="I12" s="3">
        <v>2345</v>
      </c>
      <c r="J12" s="3">
        <v>2403</v>
      </c>
      <c r="K12" s="3">
        <v>2630</v>
      </c>
      <c r="L12" s="3">
        <v>2844</v>
      </c>
      <c r="M12" s="3">
        <v>3318</v>
      </c>
      <c r="N12" s="3">
        <v>3354</v>
      </c>
      <c r="O12" s="3">
        <v>3491</v>
      </c>
      <c r="P12" s="3">
        <v>3639</v>
      </c>
      <c r="Q12" s="3">
        <v>3543</v>
      </c>
      <c r="R12" s="3">
        <v>3439</v>
      </c>
      <c r="S12" s="3">
        <v>3568</v>
      </c>
      <c r="T12" s="3">
        <v>3733</v>
      </c>
      <c r="U12" s="3">
        <v>4111</v>
      </c>
      <c r="V12" s="3">
        <v>4333</v>
      </c>
      <c r="W12" s="3">
        <v>4410</v>
      </c>
      <c r="X12" s="3">
        <v>4407</v>
      </c>
      <c r="Y12" s="3">
        <v>4514</v>
      </c>
      <c r="Z12" s="3">
        <v>4936</v>
      </c>
      <c r="AA12" s="3">
        <v>4922</v>
      </c>
      <c r="AB12" s="3">
        <v>4918</v>
      </c>
      <c r="AC12" s="3">
        <v>5057</v>
      </c>
      <c r="AD12" s="3">
        <v>4994</v>
      </c>
      <c r="AE12" s="3">
        <v>5034</v>
      </c>
      <c r="AF12" s="3">
        <v>4724</v>
      </c>
      <c r="AG12" s="3">
        <v>4968</v>
      </c>
      <c r="AH12" s="3">
        <v>4624</v>
      </c>
      <c r="AI12" s="3">
        <v>4834</v>
      </c>
      <c r="AJ12" s="3">
        <v>5075</v>
      </c>
      <c r="AK12" s="3">
        <v>5008</v>
      </c>
      <c r="AL12" s="3">
        <v>5035</v>
      </c>
      <c r="AM12" s="3">
        <v>4965</v>
      </c>
      <c r="AN12" s="3">
        <v>5108</v>
      </c>
      <c r="AO12" s="3">
        <v>5020</v>
      </c>
      <c r="AP12" s="3">
        <v>4980</v>
      </c>
      <c r="AQ12" s="3">
        <v>5050</v>
      </c>
      <c r="AR12" s="3">
        <v>5075</v>
      </c>
      <c r="AS12" s="3">
        <v>5213</v>
      </c>
      <c r="AT12" s="3">
        <v>5717</v>
      </c>
      <c r="AU12" s="3">
        <v>4931</v>
      </c>
      <c r="AV12" s="3">
        <v>4499</v>
      </c>
      <c r="AW12" s="3">
        <v>4190</v>
      </c>
      <c r="AX12" s="3">
        <v>4310</v>
      </c>
      <c r="AY12" s="3">
        <v>4218</v>
      </c>
      <c r="AZ12" s="3">
        <v>3752</v>
      </c>
      <c r="BA12" s="3">
        <v>3719</v>
      </c>
      <c r="BB12" s="44">
        <v>3692</v>
      </c>
      <c r="BC12" s="49">
        <f>BC9+BC10-BC11</f>
        <v>3049.5580000000004</v>
      </c>
      <c r="BD12" s="50"/>
    </row>
    <row r="13" spans="1:56" s="5" customFormat="1" x14ac:dyDescent="0.25">
      <c r="A13" s="14"/>
      <c r="B13" s="6" t="s">
        <v>12</v>
      </c>
      <c r="C13" s="6" t="s">
        <v>6</v>
      </c>
      <c r="D13" s="8">
        <v>11700</v>
      </c>
      <c r="E13" s="8">
        <v>11301</v>
      </c>
      <c r="F13" s="8">
        <v>11838</v>
      </c>
      <c r="G13" s="8">
        <v>11659</v>
      </c>
      <c r="H13" s="8">
        <v>11451</v>
      </c>
      <c r="I13" s="8">
        <v>11292</v>
      </c>
      <c r="J13" s="8">
        <v>11598</v>
      </c>
      <c r="K13" s="8">
        <v>13152</v>
      </c>
      <c r="L13" s="8">
        <v>13148</v>
      </c>
      <c r="M13" s="8">
        <v>12743</v>
      </c>
      <c r="N13" s="8">
        <v>11547</v>
      </c>
      <c r="O13" s="8">
        <v>9907</v>
      </c>
      <c r="P13" s="8">
        <v>10819</v>
      </c>
      <c r="Q13" s="8">
        <v>11056</v>
      </c>
      <c r="R13" s="8">
        <v>11186</v>
      </c>
      <c r="S13" s="8">
        <v>11980</v>
      </c>
      <c r="T13" s="8">
        <v>10713</v>
      </c>
      <c r="U13" s="8">
        <v>11916</v>
      </c>
      <c r="V13" s="8">
        <v>11456</v>
      </c>
      <c r="W13" s="8">
        <v>10882</v>
      </c>
      <c r="X13" s="8">
        <v>8873</v>
      </c>
      <c r="Y13" s="8">
        <v>9337</v>
      </c>
      <c r="Z13" s="8">
        <v>9346</v>
      </c>
      <c r="AA13" s="8">
        <v>9433</v>
      </c>
      <c r="AB13" s="8">
        <v>10809</v>
      </c>
      <c r="AC13" s="8">
        <v>10612</v>
      </c>
      <c r="AD13" s="8">
        <v>10599</v>
      </c>
      <c r="AE13" s="8">
        <v>9671</v>
      </c>
      <c r="AF13" s="8">
        <v>9041</v>
      </c>
      <c r="AG13" s="8">
        <v>9416</v>
      </c>
      <c r="AH13" s="8">
        <v>9554</v>
      </c>
      <c r="AI13" s="8">
        <v>8740</v>
      </c>
      <c r="AJ13" s="8">
        <v>9621</v>
      </c>
      <c r="AK13" s="8">
        <v>7129</v>
      </c>
      <c r="AL13" s="8">
        <v>10903</v>
      </c>
      <c r="AM13" s="8">
        <v>9781</v>
      </c>
      <c r="AN13" s="8">
        <v>9413</v>
      </c>
      <c r="AO13" s="8">
        <v>9123</v>
      </c>
      <c r="AP13" s="8">
        <v>8154</v>
      </c>
      <c r="AQ13" s="8">
        <v>8350</v>
      </c>
      <c r="AR13" s="8">
        <v>8636</v>
      </c>
      <c r="AS13" s="8">
        <v>8242</v>
      </c>
      <c r="AT13" s="8">
        <v>8089</v>
      </c>
      <c r="AU13" s="8">
        <v>7091</v>
      </c>
      <c r="AV13" s="8">
        <v>7944</v>
      </c>
      <c r="AW13" s="8">
        <v>8257</v>
      </c>
      <c r="AX13" s="8">
        <v>7786</v>
      </c>
      <c r="AY13" s="8">
        <v>7930</v>
      </c>
      <c r="AZ13" s="8">
        <v>8029</v>
      </c>
      <c r="BA13" s="8">
        <v>7711</v>
      </c>
      <c r="BB13" s="47">
        <v>7720</v>
      </c>
      <c r="BC13" s="51">
        <f>10500000/1000</f>
        <v>10500</v>
      </c>
      <c r="BD13" s="52">
        <f>10654000/1000</f>
        <v>10654</v>
      </c>
    </row>
    <row r="14" spans="1:56" x14ac:dyDescent="0.25">
      <c r="A14" s="12"/>
      <c r="B14" s="2"/>
      <c r="C14" s="2" t="s">
        <v>7</v>
      </c>
      <c r="D14" s="4">
        <v>140</v>
      </c>
      <c r="E14" s="4">
        <v>173</v>
      </c>
      <c r="F14" s="4">
        <v>177</v>
      </c>
      <c r="G14" s="4">
        <v>410</v>
      </c>
      <c r="H14" s="4">
        <v>880</v>
      </c>
      <c r="I14" s="4">
        <v>893</v>
      </c>
      <c r="J14" s="4">
        <v>475</v>
      </c>
      <c r="K14" s="4">
        <v>298</v>
      </c>
      <c r="L14" s="4">
        <v>52</v>
      </c>
      <c r="M14" s="4">
        <v>15</v>
      </c>
      <c r="N14" s="4">
        <v>10</v>
      </c>
      <c r="O14" s="4">
        <v>0</v>
      </c>
      <c r="P14" s="4">
        <v>24</v>
      </c>
      <c r="Q14" s="4">
        <v>57</v>
      </c>
      <c r="R14" s="4">
        <v>35</v>
      </c>
      <c r="S14" s="4">
        <v>20</v>
      </c>
      <c r="T14" s="4">
        <v>21</v>
      </c>
      <c r="U14" s="4">
        <v>64</v>
      </c>
      <c r="V14" s="4">
        <v>18</v>
      </c>
      <c r="W14" s="4">
        <v>14</v>
      </c>
      <c r="X14" s="4">
        <v>75</v>
      </c>
      <c r="Y14" s="4">
        <v>66</v>
      </c>
      <c r="Z14" s="4">
        <v>14</v>
      </c>
      <c r="AA14" s="4">
        <v>169</v>
      </c>
      <c r="AB14" s="4">
        <v>18</v>
      </c>
      <c r="AC14" s="4">
        <v>20</v>
      </c>
      <c r="AD14" s="4">
        <v>18</v>
      </c>
      <c r="AE14" s="4">
        <v>16</v>
      </c>
      <c r="AF14" s="4">
        <v>16</v>
      </c>
      <c r="AG14" s="4">
        <v>18</v>
      </c>
      <c r="AH14" s="4">
        <v>17</v>
      </c>
      <c r="AI14" s="4">
        <v>18</v>
      </c>
      <c r="AJ14" s="4">
        <v>18</v>
      </c>
      <c r="AK14" s="3">
        <v>2623</v>
      </c>
      <c r="AL14" s="4">
        <v>9</v>
      </c>
      <c r="AM14" s="4">
        <v>451</v>
      </c>
      <c r="AN14" s="4">
        <v>500</v>
      </c>
      <c r="AO14" s="4">
        <v>499</v>
      </c>
      <c r="AP14" s="4">
        <v>554</v>
      </c>
      <c r="AQ14" s="4">
        <v>639</v>
      </c>
      <c r="AR14" s="4">
        <v>679</v>
      </c>
      <c r="AS14" s="4">
        <v>655</v>
      </c>
      <c r="AT14" s="4">
        <v>625</v>
      </c>
      <c r="AU14" s="4">
        <v>700</v>
      </c>
      <c r="AV14" s="4">
        <v>775</v>
      </c>
      <c r="AW14" s="4">
        <v>669</v>
      </c>
      <c r="AX14" s="4">
        <v>675</v>
      </c>
      <c r="AY14" s="4">
        <v>597</v>
      </c>
      <c r="AZ14" s="4">
        <v>656</v>
      </c>
      <c r="BA14" s="4">
        <v>667</v>
      </c>
      <c r="BB14" s="44">
        <v>700</v>
      </c>
      <c r="BC14" s="49">
        <f>741691/1000</f>
        <v>741.69100000000003</v>
      </c>
      <c r="BD14" s="50"/>
    </row>
    <row r="15" spans="1:56" s="5" customFormat="1" x14ac:dyDescent="0.25">
      <c r="A15" s="14"/>
      <c r="B15" s="6"/>
      <c r="C15" s="6" t="s">
        <v>8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300</v>
      </c>
      <c r="M15" s="7">
        <v>508</v>
      </c>
      <c r="N15" s="7">
        <v>910</v>
      </c>
      <c r="O15" s="7">
        <v>217</v>
      </c>
      <c r="P15" s="7">
        <v>572</v>
      </c>
      <c r="Q15" s="7">
        <v>305</v>
      </c>
      <c r="R15" s="7">
        <v>42</v>
      </c>
      <c r="S15" s="7">
        <v>0</v>
      </c>
      <c r="T15" s="7">
        <v>0</v>
      </c>
      <c r="U15" s="7">
        <v>91</v>
      </c>
      <c r="V15" s="7">
        <v>467</v>
      </c>
      <c r="W15" s="7">
        <v>648</v>
      </c>
      <c r="X15" s="7">
        <v>909</v>
      </c>
      <c r="Y15" s="7">
        <v>304</v>
      </c>
      <c r="Z15" s="7">
        <v>223</v>
      </c>
      <c r="AA15" s="7">
        <v>230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  <c r="AL15" s="7">
        <v>410</v>
      </c>
      <c r="AM15" s="7">
        <v>0</v>
      </c>
      <c r="AN15" s="7">
        <v>30</v>
      </c>
      <c r="AO15" s="7">
        <v>574</v>
      </c>
      <c r="AP15" s="7">
        <v>210</v>
      </c>
      <c r="AQ15" s="7">
        <v>200</v>
      </c>
      <c r="AR15" s="7">
        <v>481</v>
      </c>
      <c r="AS15" s="7">
        <v>45</v>
      </c>
      <c r="AT15" s="7">
        <v>200</v>
      </c>
      <c r="AU15" s="7">
        <v>200</v>
      </c>
      <c r="AV15" s="7">
        <v>200</v>
      </c>
      <c r="AW15" s="7">
        <v>200</v>
      </c>
      <c r="AX15" s="7">
        <v>200</v>
      </c>
      <c r="AY15" s="7">
        <v>200</v>
      </c>
      <c r="AZ15" s="7">
        <v>200</v>
      </c>
      <c r="BA15" s="7">
        <v>200</v>
      </c>
      <c r="BB15" s="47">
        <v>200</v>
      </c>
      <c r="BC15" s="51">
        <f>25183/1000</f>
        <v>25.183</v>
      </c>
      <c r="BD15" s="52"/>
    </row>
    <row r="16" spans="1:56" x14ac:dyDescent="0.25">
      <c r="A16" s="12"/>
      <c r="B16" s="2"/>
      <c r="C16" s="2" t="s">
        <v>9</v>
      </c>
      <c r="D16" s="3">
        <v>11900</v>
      </c>
      <c r="E16" s="3">
        <v>11909</v>
      </c>
      <c r="F16" s="3">
        <v>12115</v>
      </c>
      <c r="G16" s="3">
        <v>12061</v>
      </c>
      <c r="H16" s="3">
        <v>12186</v>
      </c>
      <c r="I16" s="3">
        <v>11880</v>
      </c>
      <c r="J16" s="3">
        <v>11700</v>
      </c>
      <c r="K16" s="3">
        <v>11555</v>
      </c>
      <c r="L16" s="3">
        <v>11187</v>
      </c>
      <c r="M16" s="3">
        <v>10480</v>
      </c>
      <c r="N16" s="3">
        <v>11690</v>
      </c>
      <c r="O16" s="3">
        <v>12459</v>
      </c>
      <c r="P16" s="3">
        <v>11829</v>
      </c>
      <c r="Q16" s="3">
        <v>11017</v>
      </c>
      <c r="R16" s="3">
        <v>10924</v>
      </c>
      <c r="S16" s="3">
        <v>10700</v>
      </c>
      <c r="T16" s="3">
        <v>10466</v>
      </c>
      <c r="U16" s="3">
        <v>10026</v>
      </c>
      <c r="V16" s="3">
        <v>10299</v>
      </c>
      <c r="W16" s="3">
        <v>10102</v>
      </c>
      <c r="X16" s="3">
        <v>10100</v>
      </c>
      <c r="Y16" s="3">
        <v>10642</v>
      </c>
      <c r="Z16" s="3">
        <v>10774</v>
      </c>
      <c r="AA16" s="3">
        <v>10192</v>
      </c>
      <c r="AB16" s="3">
        <v>10199</v>
      </c>
      <c r="AC16" s="3">
        <v>10150</v>
      </c>
      <c r="AD16" s="3">
        <v>9707</v>
      </c>
      <c r="AE16" s="3">
        <v>9805</v>
      </c>
      <c r="AF16" s="3">
        <v>9619</v>
      </c>
      <c r="AG16" s="3">
        <v>9782</v>
      </c>
      <c r="AH16" s="3">
        <v>9580</v>
      </c>
      <c r="AI16" s="3">
        <v>9504</v>
      </c>
      <c r="AJ16" s="3">
        <v>9667</v>
      </c>
      <c r="AK16" s="3">
        <v>9943</v>
      </c>
      <c r="AL16" s="3">
        <v>9109</v>
      </c>
      <c r="AM16" s="3">
        <v>8968</v>
      </c>
      <c r="AN16" s="3">
        <v>9000</v>
      </c>
      <c r="AO16" s="3">
        <v>9093</v>
      </c>
      <c r="AP16" s="3">
        <v>9290</v>
      </c>
      <c r="AQ16" s="3">
        <v>9426</v>
      </c>
      <c r="AR16" s="3">
        <v>8297</v>
      </c>
      <c r="AS16" s="3">
        <v>8779</v>
      </c>
      <c r="AT16" s="3">
        <v>8742</v>
      </c>
      <c r="AU16" s="3">
        <v>8357</v>
      </c>
      <c r="AV16" s="3">
        <v>8300</v>
      </c>
      <c r="AW16" s="3">
        <v>8250</v>
      </c>
      <c r="AX16" s="3">
        <v>8250</v>
      </c>
      <c r="AY16" s="3">
        <v>8177</v>
      </c>
      <c r="AZ16" s="3">
        <v>8326</v>
      </c>
      <c r="BA16" s="3">
        <v>8200</v>
      </c>
      <c r="BB16" s="44">
        <v>8125</v>
      </c>
      <c r="BC16" s="49">
        <f>BC13+BC14-BC15</f>
        <v>11216.508</v>
      </c>
      <c r="BD16" s="50"/>
    </row>
    <row r="17" spans="1:56" s="5" customFormat="1" x14ac:dyDescent="0.25">
      <c r="A17" s="14"/>
      <c r="B17" s="6" t="s">
        <v>13</v>
      </c>
      <c r="C17" s="6" t="s">
        <v>7</v>
      </c>
      <c r="D17" s="7">
        <v>114</v>
      </c>
      <c r="E17" s="7">
        <v>254</v>
      </c>
      <c r="F17" s="7">
        <v>542</v>
      </c>
      <c r="G17" s="7">
        <v>984</v>
      </c>
      <c r="H17" s="8">
        <v>1308</v>
      </c>
      <c r="I17" s="8">
        <v>1704</v>
      </c>
      <c r="J17" s="8">
        <v>2651</v>
      </c>
      <c r="K17" s="8">
        <v>2478</v>
      </c>
      <c r="L17" s="8">
        <v>2500</v>
      </c>
      <c r="M17" s="8">
        <v>3228</v>
      </c>
      <c r="N17" s="8">
        <v>4159</v>
      </c>
      <c r="O17" s="8">
        <v>3553</v>
      </c>
      <c r="P17" s="8">
        <v>3612</v>
      </c>
      <c r="Q17" s="8">
        <v>4345</v>
      </c>
      <c r="R17" s="8">
        <v>4015</v>
      </c>
      <c r="S17" s="8">
        <v>3771</v>
      </c>
      <c r="T17" s="8">
        <v>4984</v>
      </c>
      <c r="U17" s="8">
        <v>5165</v>
      </c>
      <c r="V17" s="8">
        <v>5153</v>
      </c>
      <c r="W17" s="8">
        <v>5262</v>
      </c>
      <c r="X17" s="8">
        <v>3183</v>
      </c>
      <c r="Y17" s="8">
        <v>3666</v>
      </c>
      <c r="Z17" s="8">
        <v>2748</v>
      </c>
      <c r="AA17" s="8">
        <v>3961</v>
      </c>
      <c r="AB17" s="8">
        <v>4621</v>
      </c>
      <c r="AC17" s="8">
        <v>5100</v>
      </c>
      <c r="AD17" s="8">
        <v>4405</v>
      </c>
      <c r="AE17" s="8">
        <v>3846</v>
      </c>
      <c r="AF17" s="8">
        <v>4137</v>
      </c>
      <c r="AG17" s="8">
        <v>3817</v>
      </c>
      <c r="AH17" s="8">
        <v>3404</v>
      </c>
      <c r="AI17" s="8">
        <v>3243</v>
      </c>
      <c r="AJ17" s="8">
        <v>3220</v>
      </c>
      <c r="AK17" s="8">
        <v>2956</v>
      </c>
      <c r="AL17" s="8">
        <v>2298</v>
      </c>
      <c r="AM17" s="8">
        <v>2542</v>
      </c>
      <c r="AN17" s="8">
        <v>2774</v>
      </c>
      <c r="AO17" s="8">
        <v>2769</v>
      </c>
      <c r="AP17" s="8">
        <v>2453</v>
      </c>
      <c r="AQ17" s="8">
        <v>2206</v>
      </c>
      <c r="AR17" s="8">
        <v>1983</v>
      </c>
      <c r="AS17" s="8">
        <v>1776</v>
      </c>
      <c r="AT17" s="8">
        <v>1562</v>
      </c>
      <c r="AU17" s="8">
        <v>1434</v>
      </c>
      <c r="AV17" s="8">
        <v>1374</v>
      </c>
      <c r="AW17" s="8">
        <v>1393</v>
      </c>
      <c r="AX17" s="8">
        <v>1276</v>
      </c>
      <c r="AY17" s="8">
        <v>1084</v>
      </c>
      <c r="AZ17" s="8">
        <v>1629</v>
      </c>
      <c r="BA17" s="8">
        <v>1649</v>
      </c>
      <c r="BB17" s="47">
        <v>1600</v>
      </c>
      <c r="BC17" s="51">
        <f>1395841/1000</f>
        <v>1395.8409999999999</v>
      </c>
      <c r="BD17" s="52"/>
    </row>
    <row r="18" spans="1:56" x14ac:dyDescent="0.25">
      <c r="A18" s="12"/>
      <c r="B18" s="2"/>
      <c r="C18" s="2" t="s">
        <v>9</v>
      </c>
      <c r="D18" s="4">
        <v>114</v>
      </c>
      <c r="E18" s="4">
        <v>254</v>
      </c>
      <c r="F18" s="4">
        <v>543</v>
      </c>
      <c r="G18" s="4">
        <v>977</v>
      </c>
      <c r="H18" s="3">
        <v>1299</v>
      </c>
      <c r="I18" s="3">
        <v>1611</v>
      </c>
      <c r="J18" s="3">
        <v>2651</v>
      </c>
      <c r="K18" s="3">
        <v>2526</v>
      </c>
      <c r="L18" s="3">
        <v>2473</v>
      </c>
      <c r="M18" s="3">
        <v>3140</v>
      </c>
      <c r="N18" s="3">
        <v>4109</v>
      </c>
      <c r="O18" s="3">
        <v>3640</v>
      </c>
      <c r="P18" s="3">
        <v>3376</v>
      </c>
      <c r="Q18" s="3">
        <v>4283</v>
      </c>
      <c r="R18" s="3">
        <v>4050</v>
      </c>
      <c r="S18" s="3">
        <v>3940</v>
      </c>
      <c r="T18" s="3">
        <v>4862</v>
      </c>
      <c r="U18" s="3">
        <v>5024</v>
      </c>
      <c r="V18" s="3">
        <v>5251</v>
      </c>
      <c r="W18" s="3">
        <v>5236</v>
      </c>
      <c r="X18" s="3">
        <v>3349</v>
      </c>
      <c r="Y18" s="3">
        <v>3650</v>
      </c>
      <c r="Z18" s="3">
        <v>2807</v>
      </c>
      <c r="AA18" s="3">
        <v>3961</v>
      </c>
      <c r="AB18" s="3">
        <v>4692</v>
      </c>
      <c r="AC18" s="3">
        <v>5000</v>
      </c>
      <c r="AD18" s="3">
        <v>4401</v>
      </c>
      <c r="AE18" s="3">
        <v>3792</v>
      </c>
      <c r="AF18" s="3">
        <v>4207</v>
      </c>
      <c r="AG18" s="3">
        <v>3698</v>
      </c>
      <c r="AH18" s="3">
        <v>3404</v>
      </c>
      <c r="AI18" s="3">
        <v>3218</v>
      </c>
      <c r="AJ18" s="3">
        <v>3208</v>
      </c>
      <c r="AK18" s="3">
        <v>3104</v>
      </c>
      <c r="AL18" s="3">
        <v>2475</v>
      </c>
      <c r="AM18" s="3">
        <v>2392</v>
      </c>
      <c r="AN18" s="3">
        <v>2637</v>
      </c>
      <c r="AO18" s="3">
        <v>2800</v>
      </c>
      <c r="AP18" s="3">
        <v>2500</v>
      </c>
      <c r="AQ18" s="3">
        <v>2200</v>
      </c>
      <c r="AR18" s="3">
        <v>2045</v>
      </c>
      <c r="AS18" s="3">
        <v>1775</v>
      </c>
      <c r="AT18" s="3">
        <v>1575</v>
      </c>
      <c r="AU18" s="3">
        <v>1500</v>
      </c>
      <c r="AV18" s="3">
        <v>1400</v>
      </c>
      <c r="AW18" s="3">
        <v>1400</v>
      </c>
      <c r="AX18" s="3">
        <v>1350</v>
      </c>
      <c r="AY18" s="3">
        <v>1100</v>
      </c>
      <c r="AZ18" s="3">
        <v>1600</v>
      </c>
      <c r="BA18" s="3">
        <v>1650</v>
      </c>
      <c r="BB18" s="44">
        <v>1600</v>
      </c>
      <c r="BC18" s="49"/>
      <c r="BD18" s="50"/>
    </row>
    <row r="19" spans="1:56" s="5" customFormat="1" x14ac:dyDescent="0.25">
      <c r="A19" s="12"/>
      <c r="B19" s="2" t="s">
        <v>14</v>
      </c>
      <c r="C19" s="2" t="s">
        <v>42</v>
      </c>
      <c r="D19" s="44">
        <f>1447300/1000</f>
        <v>1447.3</v>
      </c>
      <c r="E19" s="44">
        <f>1975800/1000</f>
        <v>1975.8</v>
      </c>
      <c r="F19" s="44">
        <f>1642600/1000</f>
        <v>1642.6</v>
      </c>
      <c r="G19" s="44">
        <f>3077100/1000</f>
        <v>3077.1</v>
      </c>
      <c r="H19" s="44">
        <f>2694200/1000</f>
        <v>2694.2</v>
      </c>
      <c r="I19" s="44">
        <f>2595600/1000</f>
        <v>2595.6</v>
      </c>
      <c r="J19" s="44">
        <f>2830100/1000</f>
        <v>2830.1</v>
      </c>
      <c r="K19" s="44">
        <f>2717800/1000</f>
        <v>2717.8</v>
      </c>
      <c r="L19" s="44">
        <f>2652900/1000</f>
        <v>2652.9</v>
      </c>
      <c r="M19" s="44">
        <f>2669000/1000</f>
        <v>2669</v>
      </c>
      <c r="N19" s="44">
        <f>1906100/1000</f>
        <v>1906.1</v>
      </c>
      <c r="O19" s="44">
        <f>2058400/1000</f>
        <v>2058.4</v>
      </c>
      <c r="P19" s="44">
        <f>2045600/1000</f>
        <v>2045.6</v>
      </c>
      <c r="Q19" s="44">
        <f>1823000/1000</f>
        <v>1823</v>
      </c>
      <c r="R19" s="44">
        <f>1973000/1000</f>
        <v>1973</v>
      </c>
      <c r="S19" s="44">
        <f>1981000/1000</f>
        <v>1981</v>
      </c>
      <c r="T19" s="44">
        <f>2328000/1000</f>
        <v>2328</v>
      </c>
      <c r="U19" s="44">
        <f>2544000/1000</f>
        <v>2544</v>
      </c>
      <c r="V19" s="44">
        <f>2311000/1000</f>
        <v>2311</v>
      </c>
      <c r="W19" s="44">
        <f>2095000/1000</f>
        <v>2095</v>
      </c>
      <c r="X19" s="44">
        <f>2237000/1000</f>
        <v>2237</v>
      </c>
      <c r="Y19" s="44">
        <f>2256000/1000</f>
        <v>2256</v>
      </c>
      <c r="Z19" s="44">
        <f>2526000/1000</f>
        <v>2526</v>
      </c>
      <c r="AA19" s="44">
        <f>2553000/1000</f>
        <v>2553</v>
      </c>
      <c r="AB19" s="44">
        <f>2638000/1000</f>
        <v>2638</v>
      </c>
      <c r="AC19" s="44">
        <f>2240000/1000</f>
        <v>2240</v>
      </c>
      <c r="AD19" s="44">
        <f>2374000/1000</f>
        <v>2374</v>
      </c>
      <c r="AE19" s="44">
        <f>2261000/1000</f>
        <v>2261</v>
      </c>
      <c r="AF19" s="44">
        <f>2684000/1000</f>
        <v>2684</v>
      </c>
      <c r="AG19" s="44">
        <f>1983000/1000</f>
        <v>1983</v>
      </c>
      <c r="AH19" s="44">
        <f>1894000/1000</f>
        <v>1894</v>
      </c>
      <c r="AI19" s="44">
        <f>1779000/1000</f>
        <v>1779</v>
      </c>
      <c r="AJ19" s="44">
        <f>1640000/1000</f>
        <v>1640</v>
      </c>
      <c r="AK19" s="44">
        <f>1602000/1000</f>
        <v>1602</v>
      </c>
      <c r="AL19" s="44">
        <f>1622000/1000</f>
        <v>1622</v>
      </c>
      <c r="AM19" s="44">
        <f>1616000/1000</f>
        <v>1616</v>
      </c>
      <c r="AN19" s="44">
        <f>1437000/1000</f>
        <v>1437</v>
      </c>
      <c r="AO19" s="44">
        <f>1664000/1000</f>
        <v>1664</v>
      </c>
      <c r="AP19" s="44">
        <f>1571000/1000</f>
        <v>1571</v>
      </c>
      <c r="AQ19" s="44">
        <f>1395000/1000</f>
        <v>1395</v>
      </c>
      <c r="AR19" s="44">
        <f>1499000/1000</f>
        <v>1499</v>
      </c>
      <c r="AS19" s="44">
        <f>1328000/1000</f>
        <v>1328</v>
      </c>
      <c r="AT19" s="44">
        <f>1389000/1000</f>
        <v>1389</v>
      </c>
      <c r="AU19" s="44">
        <f>1187000/1000</f>
        <v>1187</v>
      </c>
      <c r="AV19" s="44">
        <f>1214000/1000</f>
        <v>1214</v>
      </c>
      <c r="AW19" s="44">
        <f>1310000/1000</f>
        <v>1310</v>
      </c>
      <c r="AX19" s="44">
        <f>1500000/1000</f>
        <v>1500</v>
      </c>
      <c r="AY19" s="44">
        <f>1598000/1000</f>
        <v>1598</v>
      </c>
      <c r="AZ19" s="44">
        <f>1515000/1000</f>
        <v>1515</v>
      </c>
      <c r="BA19" s="44">
        <f>1469600/1000</f>
        <v>1469.6</v>
      </c>
      <c r="BB19" s="45">
        <f>1000000/1000</f>
        <v>1000</v>
      </c>
      <c r="BC19" s="51">
        <f>1108000/1000</f>
        <v>1108</v>
      </c>
      <c r="BD19" s="52">
        <f>1191000/1000</f>
        <v>1191</v>
      </c>
    </row>
    <row r="20" spans="1:56" x14ac:dyDescent="0.25">
      <c r="A20" s="12"/>
      <c r="B20" s="6"/>
      <c r="C20" s="6" t="s">
        <v>45</v>
      </c>
      <c r="D20" s="47">
        <v>1306</v>
      </c>
      <c r="E20" s="47">
        <v>1497</v>
      </c>
      <c r="F20" s="47">
        <v>1500</v>
      </c>
      <c r="G20" s="47">
        <v>1327</v>
      </c>
      <c r="H20" s="47">
        <v>1625</v>
      </c>
      <c r="I20" s="47">
        <v>1739</v>
      </c>
      <c r="J20" s="47">
        <v>1816</v>
      </c>
      <c r="K20" s="47">
        <v>2045</v>
      </c>
      <c r="L20" s="47">
        <v>2077</v>
      </c>
      <c r="M20" s="47">
        <v>2400</v>
      </c>
      <c r="N20" s="47">
        <v>2498</v>
      </c>
      <c r="O20" s="47">
        <v>2485</v>
      </c>
      <c r="P20" s="47">
        <v>2522</v>
      </c>
      <c r="Q20" s="47">
        <v>2588</v>
      </c>
      <c r="R20" s="47">
        <v>2724</v>
      </c>
      <c r="S20" s="47">
        <v>2427</v>
      </c>
      <c r="T20" s="47">
        <v>2173</v>
      </c>
      <c r="U20" s="47">
        <v>2580</v>
      </c>
      <c r="V20" s="47">
        <v>2530</v>
      </c>
      <c r="W20" s="47">
        <v>2585</v>
      </c>
      <c r="X20" s="47">
        <v>1668</v>
      </c>
      <c r="Y20" s="47">
        <v>2209</v>
      </c>
      <c r="Z20" s="47">
        <v>1770</v>
      </c>
      <c r="AA20" s="47">
        <v>1908</v>
      </c>
      <c r="AB20" s="47">
        <v>1859</v>
      </c>
      <c r="AC20" s="47">
        <v>1857</v>
      </c>
      <c r="AD20" s="47">
        <v>1695</v>
      </c>
      <c r="AE20" s="47">
        <v>1848</v>
      </c>
      <c r="AF20" s="47">
        <v>1909</v>
      </c>
      <c r="AG20" s="47">
        <v>1791</v>
      </c>
      <c r="AH20" s="47">
        <v>1762</v>
      </c>
      <c r="AI20" s="47">
        <v>1800</v>
      </c>
      <c r="AJ20" s="47">
        <v>1773</v>
      </c>
      <c r="AK20" s="47">
        <v>1693</v>
      </c>
      <c r="AL20" s="47">
        <v>1703</v>
      </c>
      <c r="AM20" s="47">
        <v>1673</v>
      </c>
      <c r="AN20" s="47">
        <v>1608</v>
      </c>
      <c r="AO20" s="47">
        <v>1545</v>
      </c>
      <c r="AP20" s="47">
        <v>1521</v>
      </c>
      <c r="AQ20" s="47">
        <v>1650</v>
      </c>
      <c r="AR20" s="47">
        <v>1486</v>
      </c>
      <c r="AS20" s="47">
        <v>1407</v>
      </c>
      <c r="AT20" s="47">
        <v>1483</v>
      </c>
      <c r="AU20" s="47">
        <v>1442</v>
      </c>
      <c r="AV20" s="47">
        <v>1328</v>
      </c>
      <c r="AW20" s="47">
        <v>1385</v>
      </c>
      <c r="AX20" s="47">
        <v>1405</v>
      </c>
      <c r="AY20" s="47">
        <v>1440</v>
      </c>
      <c r="AZ20" s="47">
        <v>1452</v>
      </c>
      <c r="BA20" s="47">
        <v>1342</v>
      </c>
      <c r="BB20" s="48">
        <v>1355</v>
      </c>
      <c r="BC20" s="49">
        <f>1511648/1000</f>
        <v>1511.6479999999999</v>
      </c>
      <c r="BD20" s="50"/>
    </row>
    <row r="21" spans="1:56" s="5" customFormat="1" x14ac:dyDescent="0.25">
      <c r="A21" s="12"/>
      <c r="B21" s="2"/>
      <c r="C21" s="2" t="s">
        <v>44</v>
      </c>
      <c r="D21" s="44">
        <v>15</v>
      </c>
      <c r="E21" s="44">
        <v>6</v>
      </c>
      <c r="F21" s="44">
        <v>0</v>
      </c>
      <c r="G21" s="44">
        <v>12</v>
      </c>
      <c r="H21" s="44">
        <v>5</v>
      </c>
      <c r="I21" s="44">
        <v>12</v>
      </c>
      <c r="J21" s="44">
        <v>23</v>
      </c>
      <c r="K21" s="44">
        <v>47</v>
      </c>
      <c r="L21" s="44">
        <v>30</v>
      </c>
      <c r="M21" s="44">
        <v>6</v>
      </c>
      <c r="N21" s="44">
        <v>9</v>
      </c>
      <c r="O21" s="44">
        <v>11</v>
      </c>
      <c r="P21" s="44">
        <v>48</v>
      </c>
      <c r="Q21" s="44">
        <v>20</v>
      </c>
      <c r="R21" s="44">
        <v>97</v>
      </c>
      <c r="S21" s="44">
        <v>6</v>
      </c>
      <c r="T21" s="44">
        <v>0</v>
      </c>
      <c r="U21" s="44">
        <v>1</v>
      </c>
      <c r="V21" s="44">
        <v>1</v>
      </c>
      <c r="W21" s="44">
        <v>3</v>
      </c>
      <c r="X21" s="44">
        <v>53</v>
      </c>
      <c r="Y21" s="44">
        <v>5</v>
      </c>
      <c r="Z21" s="44">
        <v>12</v>
      </c>
      <c r="AA21" s="44">
        <v>4</v>
      </c>
      <c r="AB21" s="44">
        <v>5</v>
      </c>
      <c r="AC21" s="44">
        <v>4</v>
      </c>
      <c r="AD21" s="44">
        <v>6</v>
      </c>
      <c r="AE21" s="44">
        <v>2</v>
      </c>
      <c r="AF21" s="44">
        <v>2</v>
      </c>
      <c r="AG21" s="44">
        <v>2</v>
      </c>
      <c r="AH21" s="44">
        <v>1</v>
      </c>
      <c r="AI21" s="44">
        <v>1</v>
      </c>
      <c r="AJ21" s="44">
        <v>1</v>
      </c>
      <c r="AK21" s="44">
        <v>1</v>
      </c>
      <c r="AL21" s="44">
        <v>3</v>
      </c>
      <c r="AM21" s="44">
        <v>4</v>
      </c>
      <c r="AN21" s="44">
        <v>6</v>
      </c>
      <c r="AO21" s="44">
        <v>10</v>
      </c>
      <c r="AP21" s="44">
        <v>4</v>
      </c>
      <c r="AQ21" s="44">
        <v>7</v>
      </c>
      <c r="AR21" s="44">
        <v>10</v>
      </c>
      <c r="AS21" s="44">
        <v>10</v>
      </c>
      <c r="AT21" s="44">
        <v>10</v>
      </c>
      <c r="AU21" s="44">
        <v>10</v>
      </c>
      <c r="AV21" s="44">
        <v>10</v>
      </c>
      <c r="AW21" s="44">
        <v>10</v>
      </c>
      <c r="AX21" s="44">
        <v>10</v>
      </c>
      <c r="AY21" s="44">
        <v>2</v>
      </c>
      <c r="AZ21" s="44">
        <v>2</v>
      </c>
      <c r="BA21" s="44">
        <v>2</v>
      </c>
      <c r="BB21" s="45">
        <v>2</v>
      </c>
      <c r="BC21" s="51">
        <f>112/1000</f>
        <v>0.112</v>
      </c>
      <c r="BD21" s="52"/>
    </row>
    <row r="22" spans="1:56" ht="30" x14ac:dyDescent="0.25">
      <c r="A22" s="12"/>
      <c r="B22" s="6"/>
      <c r="C22" s="6" t="s">
        <v>43</v>
      </c>
      <c r="D22" s="8">
        <f>D19+D20-D21</f>
        <v>2738.3</v>
      </c>
      <c r="E22" s="8">
        <f t="shared" ref="E22:BC22" si="0">E19+E20-E21</f>
        <v>3466.8</v>
      </c>
      <c r="F22" s="8">
        <f t="shared" si="0"/>
        <v>3142.6</v>
      </c>
      <c r="G22" s="8">
        <f t="shared" si="0"/>
        <v>4392.1000000000004</v>
      </c>
      <c r="H22" s="8">
        <f t="shared" si="0"/>
        <v>4314.2</v>
      </c>
      <c r="I22" s="8">
        <f t="shared" si="0"/>
        <v>4322.6000000000004</v>
      </c>
      <c r="J22" s="8">
        <f t="shared" si="0"/>
        <v>4623.1000000000004</v>
      </c>
      <c r="K22" s="8">
        <f t="shared" si="0"/>
        <v>4715.8</v>
      </c>
      <c r="L22" s="8">
        <f t="shared" si="0"/>
        <v>4699.8999999999996</v>
      </c>
      <c r="M22" s="8">
        <f t="shared" si="0"/>
        <v>5063</v>
      </c>
      <c r="N22" s="8">
        <f t="shared" si="0"/>
        <v>4395.1000000000004</v>
      </c>
      <c r="O22" s="8">
        <f t="shared" si="0"/>
        <v>4532.3999999999996</v>
      </c>
      <c r="P22" s="8">
        <f t="shared" si="0"/>
        <v>4519.6000000000004</v>
      </c>
      <c r="Q22" s="8">
        <f t="shared" si="0"/>
        <v>4391</v>
      </c>
      <c r="R22" s="8">
        <f t="shared" si="0"/>
        <v>4600</v>
      </c>
      <c r="S22" s="8">
        <f t="shared" si="0"/>
        <v>4402</v>
      </c>
      <c r="T22" s="8">
        <f t="shared" si="0"/>
        <v>4501</v>
      </c>
      <c r="U22" s="8">
        <f t="shared" si="0"/>
        <v>5123</v>
      </c>
      <c r="V22" s="8">
        <f t="shared" si="0"/>
        <v>4840</v>
      </c>
      <c r="W22" s="8">
        <f t="shared" si="0"/>
        <v>4677</v>
      </c>
      <c r="X22" s="8">
        <f t="shared" si="0"/>
        <v>3852</v>
      </c>
      <c r="Y22" s="8">
        <f t="shared" si="0"/>
        <v>4460</v>
      </c>
      <c r="Z22" s="8">
        <f t="shared" si="0"/>
        <v>4284</v>
      </c>
      <c r="AA22" s="8">
        <f t="shared" si="0"/>
        <v>4457</v>
      </c>
      <c r="AB22" s="8">
        <f t="shared" si="0"/>
        <v>4492</v>
      </c>
      <c r="AC22" s="8">
        <f t="shared" si="0"/>
        <v>4093</v>
      </c>
      <c r="AD22" s="8">
        <f t="shared" si="0"/>
        <v>4063</v>
      </c>
      <c r="AE22" s="8">
        <f t="shared" si="0"/>
        <v>4107</v>
      </c>
      <c r="AF22" s="8">
        <f t="shared" si="0"/>
        <v>4591</v>
      </c>
      <c r="AG22" s="8">
        <f t="shared" si="0"/>
        <v>3772</v>
      </c>
      <c r="AH22" s="8">
        <f t="shared" si="0"/>
        <v>3655</v>
      </c>
      <c r="AI22" s="8">
        <f t="shared" si="0"/>
        <v>3578</v>
      </c>
      <c r="AJ22" s="8">
        <f t="shared" si="0"/>
        <v>3412</v>
      </c>
      <c r="AK22" s="8">
        <f t="shared" si="0"/>
        <v>3294</v>
      </c>
      <c r="AL22" s="8">
        <f t="shared" si="0"/>
        <v>3322</v>
      </c>
      <c r="AM22" s="8">
        <f t="shared" si="0"/>
        <v>3285</v>
      </c>
      <c r="AN22" s="8">
        <f t="shared" si="0"/>
        <v>3039</v>
      </c>
      <c r="AO22" s="8">
        <f t="shared" si="0"/>
        <v>3199</v>
      </c>
      <c r="AP22" s="8">
        <f t="shared" si="0"/>
        <v>3088</v>
      </c>
      <c r="AQ22" s="8">
        <f t="shared" si="0"/>
        <v>3038</v>
      </c>
      <c r="AR22" s="8">
        <f t="shared" si="0"/>
        <v>2975</v>
      </c>
      <c r="AS22" s="8">
        <f t="shared" si="0"/>
        <v>2725</v>
      </c>
      <c r="AT22" s="8">
        <f t="shared" si="0"/>
        <v>2862</v>
      </c>
      <c r="AU22" s="8">
        <f t="shared" si="0"/>
        <v>2619</v>
      </c>
      <c r="AV22" s="8">
        <f t="shared" si="0"/>
        <v>2532</v>
      </c>
      <c r="AW22" s="8">
        <f t="shared" si="0"/>
        <v>2685</v>
      </c>
      <c r="AX22" s="8">
        <f t="shared" si="0"/>
        <v>2895</v>
      </c>
      <c r="AY22" s="8">
        <f t="shared" si="0"/>
        <v>3036</v>
      </c>
      <c r="AZ22" s="8">
        <f t="shared" si="0"/>
        <v>2965</v>
      </c>
      <c r="BA22" s="8">
        <f t="shared" si="0"/>
        <v>2809.6</v>
      </c>
      <c r="BB22" s="47">
        <f t="shared" si="0"/>
        <v>2353</v>
      </c>
      <c r="BC22" s="47">
        <f t="shared" si="0"/>
        <v>2619.5360000000001</v>
      </c>
      <c r="BD22" s="50"/>
    </row>
    <row r="23" spans="1:56" x14ac:dyDescent="0.25">
      <c r="A23" s="12"/>
      <c r="B23" s="2" t="s">
        <v>15</v>
      </c>
      <c r="C23" s="2" t="s">
        <v>6</v>
      </c>
      <c r="D23" s="3">
        <v>1531</v>
      </c>
      <c r="E23" s="3">
        <v>1781</v>
      </c>
      <c r="F23" s="3">
        <v>1631</v>
      </c>
      <c r="G23" s="4">
        <v>716</v>
      </c>
      <c r="H23" s="3">
        <v>1244</v>
      </c>
      <c r="I23" s="3">
        <v>1287</v>
      </c>
      <c r="J23" s="3">
        <v>1024</v>
      </c>
      <c r="K23" s="4">
        <v>997</v>
      </c>
      <c r="L23" s="3">
        <v>1012</v>
      </c>
      <c r="M23" s="4">
        <v>758</v>
      </c>
      <c r="N23" s="4">
        <v>474</v>
      </c>
      <c r="O23" s="4">
        <v>440</v>
      </c>
      <c r="P23" s="4">
        <v>284</v>
      </c>
      <c r="Q23" s="4">
        <v>202</v>
      </c>
      <c r="R23" s="4">
        <v>232</v>
      </c>
      <c r="S23" s="4">
        <v>241</v>
      </c>
      <c r="T23" s="4">
        <v>222</v>
      </c>
      <c r="U23" s="4">
        <v>236</v>
      </c>
      <c r="V23" s="4">
        <v>366</v>
      </c>
      <c r="W23" s="4">
        <v>541</v>
      </c>
      <c r="X23" s="4">
        <v>583</v>
      </c>
      <c r="Y23" s="4">
        <v>587</v>
      </c>
      <c r="Z23" s="4">
        <v>742</v>
      </c>
      <c r="AA23" s="4">
        <v>695</v>
      </c>
      <c r="AB23" s="4">
        <v>741</v>
      </c>
      <c r="AC23" s="4">
        <v>874</v>
      </c>
      <c r="AD23" s="4">
        <v>876</v>
      </c>
      <c r="AE23" s="4">
        <v>864</v>
      </c>
      <c r="AF23" s="3">
        <v>1021</v>
      </c>
      <c r="AG23" s="4">
        <v>985</v>
      </c>
      <c r="AH23" s="4">
        <v>952</v>
      </c>
      <c r="AI23" s="4">
        <v>759</v>
      </c>
      <c r="AJ23" s="4">
        <v>759</v>
      </c>
      <c r="AK23" s="4">
        <v>638</v>
      </c>
      <c r="AL23" s="4">
        <v>565</v>
      </c>
      <c r="AM23" s="4">
        <v>444</v>
      </c>
      <c r="AN23" s="4">
        <v>478</v>
      </c>
      <c r="AO23" s="4">
        <v>573</v>
      </c>
      <c r="AP23" s="4">
        <v>570</v>
      </c>
      <c r="AQ23" s="4">
        <v>583</v>
      </c>
      <c r="AR23" s="4">
        <v>688</v>
      </c>
      <c r="AS23" s="4">
        <v>700</v>
      </c>
      <c r="AT23" s="4">
        <v>828</v>
      </c>
      <c r="AU23" s="4">
        <v>855</v>
      </c>
      <c r="AV23" s="4">
        <v>860</v>
      </c>
      <c r="AW23" s="4">
        <v>875</v>
      </c>
      <c r="AX23" s="4">
        <v>837</v>
      </c>
      <c r="AY23" s="4">
        <v>910</v>
      </c>
      <c r="AZ23" s="4">
        <v>882</v>
      </c>
      <c r="BA23" s="4">
        <v>675</v>
      </c>
      <c r="BB23" s="44">
        <v>568</v>
      </c>
      <c r="BC23" s="49">
        <f>746300/1000</f>
        <v>746.3</v>
      </c>
      <c r="BD23" s="50">
        <f>857800/1000</f>
        <v>857.8</v>
      </c>
    </row>
    <row r="24" spans="1:56" s="5" customFormat="1" x14ac:dyDescent="0.25">
      <c r="A24" s="14"/>
      <c r="B24" s="6"/>
      <c r="C24" s="6" t="s">
        <v>7</v>
      </c>
      <c r="D24" s="8">
        <v>2833</v>
      </c>
      <c r="E24" s="8">
        <v>2772</v>
      </c>
      <c r="F24" s="8">
        <v>2662</v>
      </c>
      <c r="G24" s="8">
        <v>3918</v>
      </c>
      <c r="H24" s="8">
        <v>3545</v>
      </c>
      <c r="I24" s="8">
        <v>3526</v>
      </c>
      <c r="J24" s="8">
        <v>4260</v>
      </c>
      <c r="K24" s="8">
        <v>4029</v>
      </c>
      <c r="L24" s="8">
        <v>4189</v>
      </c>
      <c r="M24" s="8">
        <v>4424</v>
      </c>
      <c r="N24" s="8">
        <v>4834</v>
      </c>
      <c r="O24" s="8">
        <v>4964</v>
      </c>
      <c r="P24" s="8">
        <v>5486</v>
      </c>
      <c r="Q24" s="8">
        <v>5353</v>
      </c>
      <c r="R24" s="8">
        <v>5404</v>
      </c>
      <c r="S24" s="8">
        <v>5923</v>
      </c>
      <c r="T24" s="8">
        <v>5521</v>
      </c>
      <c r="U24" s="8">
        <v>5764</v>
      </c>
      <c r="V24" s="8">
        <v>5744</v>
      </c>
      <c r="W24" s="8">
        <v>5599</v>
      </c>
      <c r="X24" s="8">
        <v>5840</v>
      </c>
      <c r="Y24" s="8">
        <v>5577</v>
      </c>
      <c r="Z24" s="8">
        <v>5795</v>
      </c>
      <c r="AA24" s="8">
        <v>5857</v>
      </c>
      <c r="AB24" s="8">
        <v>5603</v>
      </c>
      <c r="AC24" s="8">
        <v>5532</v>
      </c>
      <c r="AD24" s="8">
        <v>5577</v>
      </c>
      <c r="AE24" s="8">
        <v>5497</v>
      </c>
      <c r="AF24" s="8">
        <v>5111</v>
      </c>
      <c r="AG24" s="8">
        <v>5413</v>
      </c>
      <c r="AH24" s="8">
        <v>5552</v>
      </c>
      <c r="AI24" s="8">
        <v>5873</v>
      </c>
      <c r="AJ24" s="8">
        <v>5958</v>
      </c>
      <c r="AK24" s="8">
        <v>5993</v>
      </c>
      <c r="AL24" s="8">
        <v>6310</v>
      </c>
      <c r="AM24" s="8">
        <v>6101</v>
      </c>
      <c r="AN24" s="8">
        <v>6418</v>
      </c>
      <c r="AO24" s="8">
        <v>6082</v>
      </c>
      <c r="AP24" s="8">
        <v>5945</v>
      </c>
      <c r="AQ24" s="8">
        <v>5929</v>
      </c>
      <c r="AR24" s="8">
        <v>5885</v>
      </c>
      <c r="AS24" s="8">
        <v>5836</v>
      </c>
      <c r="AT24" s="8">
        <v>5579</v>
      </c>
      <c r="AU24" s="8">
        <v>5751</v>
      </c>
      <c r="AV24" s="8">
        <v>5744</v>
      </c>
      <c r="AW24" s="8">
        <v>5469</v>
      </c>
      <c r="AX24" s="8">
        <v>5747</v>
      </c>
      <c r="AY24" s="8">
        <v>5701</v>
      </c>
      <c r="AZ24" s="8">
        <v>5156</v>
      </c>
      <c r="BA24" s="8">
        <v>5502</v>
      </c>
      <c r="BB24" s="47">
        <v>5200</v>
      </c>
      <c r="BC24" s="51">
        <f>6214220/1000</f>
        <v>6214.22</v>
      </c>
      <c r="BD24" s="52"/>
    </row>
    <row r="25" spans="1:56" x14ac:dyDescent="0.25">
      <c r="A25" s="12"/>
      <c r="B25" s="2"/>
      <c r="C25" s="2" t="s">
        <v>8</v>
      </c>
      <c r="D25" s="4">
        <v>52</v>
      </c>
      <c r="E25" s="4">
        <v>83</v>
      </c>
      <c r="F25" s="4">
        <v>83</v>
      </c>
      <c r="G25" s="4">
        <v>79</v>
      </c>
      <c r="H25" s="4">
        <v>79</v>
      </c>
      <c r="I25" s="4">
        <v>134</v>
      </c>
      <c r="J25" s="4">
        <v>77</v>
      </c>
      <c r="K25" s="4">
        <v>121</v>
      </c>
      <c r="L25" s="4">
        <v>82</v>
      </c>
      <c r="M25" s="4">
        <v>57</v>
      </c>
      <c r="N25" s="4">
        <v>35</v>
      </c>
      <c r="O25" s="4">
        <v>43</v>
      </c>
      <c r="P25" s="4">
        <v>42</v>
      </c>
      <c r="Q25" s="4">
        <v>30</v>
      </c>
      <c r="R25" s="4">
        <v>29</v>
      </c>
      <c r="S25" s="4">
        <v>36</v>
      </c>
      <c r="T25" s="4">
        <v>36</v>
      </c>
      <c r="U25" s="4">
        <v>50</v>
      </c>
      <c r="V25" s="4">
        <v>88</v>
      </c>
      <c r="W25" s="4">
        <v>111</v>
      </c>
      <c r="X25" s="4">
        <v>138</v>
      </c>
      <c r="Y25" s="4">
        <v>160</v>
      </c>
      <c r="Z25" s="4">
        <v>254</v>
      </c>
      <c r="AA25" s="4">
        <v>305</v>
      </c>
      <c r="AB25" s="4">
        <v>269</v>
      </c>
      <c r="AC25" s="4">
        <v>281</v>
      </c>
      <c r="AD25" s="4">
        <v>391</v>
      </c>
      <c r="AE25" s="4">
        <v>393</v>
      </c>
      <c r="AF25" s="4">
        <v>404</v>
      </c>
      <c r="AG25" s="4">
        <v>398</v>
      </c>
      <c r="AH25" s="4">
        <v>435</v>
      </c>
      <c r="AI25" s="4">
        <v>448</v>
      </c>
      <c r="AJ25" s="4">
        <v>453</v>
      </c>
      <c r="AK25" s="4">
        <v>443</v>
      </c>
      <c r="AL25" s="4">
        <v>472</v>
      </c>
      <c r="AM25" s="4">
        <v>576</v>
      </c>
      <c r="AN25" s="4">
        <v>408</v>
      </c>
      <c r="AO25" s="4">
        <v>385</v>
      </c>
      <c r="AP25" s="4">
        <v>417</v>
      </c>
      <c r="AQ25" s="4">
        <v>490</v>
      </c>
      <c r="AR25" s="4">
        <v>453</v>
      </c>
      <c r="AS25" s="4">
        <v>465</v>
      </c>
      <c r="AT25" s="4">
        <v>460</v>
      </c>
      <c r="AU25" s="4">
        <v>463</v>
      </c>
      <c r="AV25" s="4">
        <v>423</v>
      </c>
      <c r="AW25" s="4">
        <v>423</v>
      </c>
      <c r="AX25" s="4">
        <v>417</v>
      </c>
      <c r="AY25" s="4">
        <v>338</v>
      </c>
      <c r="AZ25" s="4">
        <v>272</v>
      </c>
      <c r="BA25" s="4">
        <v>296</v>
      </c>
      <c r="BB25" s="44">
        <v>300</v>
      </c>
      <c r="BC25" s="49">
        <v>0</v>
      </c>
      <c r="BD25" s="50"/>
    </row>
    <row r="26" spans="1:56" s="5" customFormat="1" ht="15.75" thickBot="1" x14ac:dyDescent="0.3">
      <c r="A26" s="16"/>
      <c r="B26" s="17"/>
      <c r="C26" s="17" t="s">
        <v>9</v>
      </c>
      <c r="D26" s="18">
        <v>4187</v>
      </c>
      <c r="E26" s="18">
        <v>4165</v>
      </c>
      <c r="F26" s="18">
        <v>4390</v>
      </c>
      <c r="G26" s="18">
        <v>4455</v>
      </c>
      <c r="H26" s="18">
        <v>4710</v>
      </c>
      <c r="I26" s="18">
        <v>4704</v>
      </c>
      <c r="J26" s="18">
        <v>4967</v>
      </c>
      <c r="K26" s="18">
        <v>5070</v>
      </c>
      <c r="L26" s="18">
        <v>5169</v>
      </c>
      <c r="M26" s="18">
        <v>5265</v>
      </c>
      <c r="N26" s="18">
        <v>5183</v>
      </c>
      <c r="O26" s="18">
        <v>5311</v>
      </c>
      <c r="P26" s="18">
        <v>5558</v>
      </c>
      <c r="Q26" s="18">
        <v>5585</v>
      </c>
      <c r="R26" s="18">
        <v>5567</v>
      </c>
      <c r="S26" s="18">
        <v>5778</v>
      </c>
      <c r="T26" s="18">
        <v>5737</v>
      </c>
      <c r="U26" s="18">
        <v>5815</v>
      </c>
      <c r="V26" s="18">
        <v>6066</v>
      </c>
      <c r="W26" s="18">
        <v>6090</v>
      </c>
      <c r="X26" s="18">
        <v>6095</v>
      </c>
      <c r="Y26" s="18">
        <v>6069</v>
      </c>
      <c r="Z26" s="18">
        <v>6092</v>
      </c>
      <c r="AA26" s="18">
        <v>6210</v>
      </c>
      <c r="AB26" s="18">
        <v>6267</v>
      </c>
      <c r="AC26" s="18">
        <v>6192</v>
      </c>
      <c r="AD26" s="18">
        <v>6100</v>
      </c>
      <c r="AE26" s="18">
        <v>5994</v>
      </c>
      <c r="AF26" s="18">
        <v>5742</v>
      </c>
      <c r="AG26" s="18">
        <v>5919</v>
      </c>
      <c r="AH26" s="18">
        <v>6047</v>
      </c>
      <c r="AI26" s="18">
        <v>6235</v>
      </c>
      <c r="AJ26" s="18">
        <v>6418</v>
      </c>
      <c r="AK26" s="18">
        <v>6350</v>
      </c>
      <c r="AL26" s="18">
        <v>6380</v>
      </c>
      <c r="AM26" s="18">
        <v>6380</v>
      </c>
      <c r="AN26" s="18">
        <v>6300</v>
      </c>
      <c r="AO26" s="18">
        <v>6150</v>
      </c>
      <c r="AP26" s="18">
        <v>6150</v>
      </c>
      <c r="AQ26" s="18">
        <v>6200</v>
      </c>
      <c r="AR26" s="18">
        <v>6150</v>
      </c>
      <c r="AS26" s="18">
        <v>6100</v>
      </c>
      <c r="AT26" s="18">
        <v>6000</v>
      </c>
      <c r="AU26" s="18">
        <v>5950</v>
      </c>
      <c r="AV26" s="18">
        <v>6030</v>
      </c>
      <c r="AW26" s="18">
        <v>6020</v>
      </c>
      <c r="AX26" s="18">
        <v>6000</v>
      </c>
      <c r="AY26" s="18">
        <v>6000</v>
      </c>
      <c r="AZ26" s="18">
        <v>5950</v>
      </c>
      <c r="BA26" s="18">
        <v>5900</v>
      </c>
      <c r="BB26" s="59">
        <v>5850</v>
      </c>
      <c r="BC26" s="53">
        <f>BC23+BC24-BC25</f>
        <v>6960.52</v>
      </c>
      <c r="BD26" s="54"/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5"/>
  <sheetViews>
    <sheetView zoomScaleNormal="100" workbookViewId="0">
      <pane xSplit="6" ySplit="15" topLeftCell="G22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x14ac:dyDescent="0.25">
      <c r="A2" s="12" t="s">
        <v>25</v>
      </c>
      <c r="B2" s="2" t="s">
        <v>5</v>
      </c>
      <c r="C2" s="2" t="s">
        <v>6</v>
      </c>
      <c r="D2" s="4">
        <v>14</v>
      </c>
      <c r="E2" s="4">
        <v>16</v>
      </c>
      <c r="F2" s="4">
        <v>18</v>
      </c>
      <c r="G2" s="4">
        <v>20</v>
      </c>
      <c r="H2" s="4">
        <v>35</v>
      </c>
      <c r="I2" s="4">
        <v>40</v>
      </c>
      <c r="J2" s="4">
        <v>34</v>
      </c>
      <c r="K2" s="4">
        <v>60</v>
      </c>
      <c r="L2" s="4">
        <v>63</v>
      </c>
      <c r="M2" s="4">
        <v>63</v>
      </c>
      <c r="N2" s="4">
        <v>68</v>
      </c>
      <c r="O2" s="4">
        <v>64</v>
      </c>
      <c r="P2" s="4">
        <v>54</v>
      </c>
      <c r="Q2" s="4">
        <v>61</v>
      </c>
      <c r="R2" s="4">
        <v>52</v>
      </c>
      <c r="S2" s="4">
        <v>54</v>
      </c>
      <c r="T2" s="4">
        <v>70</v>
      </c>
      <c r="U2" s="4">
        <v>83</v>
      </c>
      <c r="V2" s="4">
        <v>100</v>
      </c>
      <c r="W2" s="4">
        <v>149</v>
      </c>
      <c r="X2" s="4">
        <v>154</v>
      </c>
      <c r="Y2" s="4">
        <v>145</v>
      </c>
      <c r="Z2" s="4">
        <v>117</v>
      </c>
      <c r="AA2" s="4">
        <v>101</v>
      </c>
      <c r="AB2" s="4">
        <v>133</v>
      </c>
      <c r="AC2" s="4">
        <v>132</v>
      </c>
      <c r="AD2" s="4">
        <v>113</v>
      </c>
      <c r="AE2" s="4">
        <v>127</v>
      </c>
      <c r="AF2" s="4">
        <v>106</v>
      </c>
      <c r="AG2" s="4">
        <v>121</v>
      </c>
      <c r="AH2" s="4">
        <v>120</v>
      </c>
      <c r="AI2" s="4">
        <v>75</v>
      </c>
      <c r="AJ2" s="4">
        <v>92</v>
      </c>
      <c r="AK2" s="4">
        <v>82</v>
      </c>
      <c r="AL2" s="4">
        <v>89</v>
      </c>
      <c r="AM2" s="4">
        <v>70</v>
      </c>
      <c r="AN2" s="4">
        <v>72</v>
      </c>
      <c r="AO2" s="4">
        <v>87</v>
      </c>
      <c r="AP2" s="4">
        <v>80</v>
      </c>
      <c r="AQ2" s="4">
        <v>79</v>
      </c>
      <c r="AR2" s="4">
        <v>64</v>
      </c>
      <c r="AS2" s="4">
        <v>57</v>
      </c>
      <c r="AT2" s="4">
        <v>73</v>
      </c>
      <c r="AU2" s="4">
        <v>70</v>
      </c>
      <c r="AV2" s="4">
        <v>78</v>
      </c>
      <c r="AW2" s="4">
        <v>73</v>
      </c>
      <c r="AX2" s="4">
        <v>65</v>
      </c>
      <c r="AY2" s="4">
        <v>84</v>
      </c>
      <c r="AZ2" s="4">
        <v>93</v>
      </c>
      <c r="BA2" s="4">
        <v>77</v>
      </c>
      <c r="BB2" s="44">
        <f>73612/1000</f>
        <v>73.611999999999995</v>
      </c>
      <c r="BC2" s="42">
        <f>83210/1000</f>
        <v>83.21</v>
      </c>
      <c r="BD2" s="42">
        <f>80465/1000</f>
        <v>80.465000000000003</v>
      </c>
    </row>
    <row r="3" spans="1:56" s="5" customFormat="1" x14ac:dyDescent="0.25">
      <c r="A3" s="14"/>
      <c r="B3" s="6"/>
      <c r="C3" s="6" t="s">
        <v>7</v>
      </c>
      <c r="D3" s="7">
        <v>22</v>
      </c>
      <c r="E3" s="7">
        <v>21</v>
      </c>
      <c r="F3" s="7">
        <v>18</v>
      </c>
      <c r="G3" s="7">
        <v>26</v>
      </c>
      <c r="H3" s="7">
        <v>2</v>
      </c>
      <c r="I3" s="7">
        <v>3</v>
      </c>
      <c r="J3" s="7">
        <v>39</v>
      </c>
      <c r="K3" s="7">
        <v>142</v>
      </c>
      <c r="L3" s="7">
        <v>174</v>
      </c>
      <c r="M3" s="7">
        <v>284</v>
      </c>
      <c r="N3" s="7">
        <v>315</v>
      </c>
      <c r="O3" s="7">
        <v>422</v>
      </c>
      <c r="P3" s="7">
        <v>456</v>
      </c>
      <c r="Q3" s="7">
        <v>573</v>
      </c>
      <c r="R3" s="7">
        <v>532</v>
      </c>
      <c r="S3" s="7">
        <v>890</v>
      </c>
      <c r="T3" s="8">
        <v>1370</v>
      </c>
      <c r="U3" s="8">
        <v>1791</v>
      </c>
      <c r="V3" s="8">
        <v>2881</v>
      </c>
      <c r="W3" s="8">
        <v>2234</v>
      </c>
      <c r="X3" s="8">
        <v>2355</v>
      </c>
      <c r="Y3" s="8">
        <v>2814</v>
      </c>
      <c r="Z3" s="8">
        <v>4167</v>
      </c>
      <c r="AA3" s="8">
        <v>3223</v>
      </c>
      <c r="AB3" s="8">
        <v>3000</v>
      </c>
      <c r="AC3" s="8">
        <v>3625</v>
      </c>
      <c r="AD3" s="8">
        <v>4775</v>
      </c>
      <c r="AE3" s="8">
        <v>5023</v>
      </c>
      <c r="AF3" s="8">
        <v>5700</v>
      </c>
      <c r="AG3" s="8">
        <v>6100</v>
      </c>
      <c r="AH3" s="8">
        <v>5571</v>
      </c>
      <c r="AI3" s="8">
        <v>6222</v>
      </c>
      <c r="AJ3" s="8">
        <v>6544</v>
      </c>
      <c r="AK3" s="8">
        <v>5696</v>
      </c>
      <c r="AL3" s="8">
        <v>8227</v>
      </c>
      <c r="AM3" s="8">
        <v>8963</v>
      </c>
      <c r="AN3" s="8">
        <v>8326</v>
      </c>
      <c r="AO3" s="8">
        <v>7528</v>
      </c>
      <c r="AP3" s="8">
        <v>7515</v>
      </c>
      <c r="AQ3" s="8">
        <v>8692</v>
      </c>
      <c r="AR3" s="8">
        <v>8728</v>
      </c>
      <c r="AS3" s="8">
        <v>8617</v>
      </c>
      <c r="AT3" s="8">
        <v>8781</v>
      </c>
      <c r="AU3" s="8">
        <v>8778</v>
      </c>
      <c r="AV3" s="8">
        <v>8633</v>
      </c>
      <c r="AW3" s="8">
        <v>8483</v>
      </c>
      <c r="AX3" s="8">
        <v>8731</v>
      </c>
      <c r="AY3" s="8">
        <v>9311</v>
      </c>
      <c r="AZ3" s="8">
        <v>7188</v>
      </c>
      <c r="BA3" s="8">
        <v>8461</v>
      </c>
      <c r="BB3" s="47">
        <f>7758658/1000</f>
        <v>7758.6580000000004</v>
      </c>
      <c r="BC3" s="43"/>
      <c r="BD3" s="43"/>
    </row>
    <row r="4" spans="1:56" x14ac:dyDescent="0.25">
      <c r="A4" s="12"/>
      <c r="B4" s="2"/>
      <c r="C4" s="2" t="s">
        <v>9</v>
      </c>
      <c r="D4" s="4">
        <v>36</v>
      </c>
      <c r="E4" s="4">
        <v>37</v>
      </c>
      <c r="F4" s="4">
        <v>36</v>
      </c>
      <c r="G4" s="4">
        <v>39</v>
      </c>
      <c r="H4" s="4">
        <v>34</v>
      </c>
      <c r="I4" s="4">
        <v>40</v>
      </c>
      <c r="J4" s="4">
        <v>61</v>
      </c>
      <c r="K4" s="4">
        <v>198</v>
      </c>
      <c r="L4" s="4">
        <v>244</v>
      </c>
      <c r="M4" s="4">
        <v>333</v>
      </c>
      <c r="N4" s="4">
        <v>365</v>
      </c>
      <c r="O4" s="4">
        <v>465</v>
      </c>
      <c r="P4" s="4">
        <v>437</v>
      </c>
      <c r="Q4" s="4">
        <v>594</v>
      </c>
      <c r="R4" s="4">
        <v>691</v>
      </c>
      <c r="S4" s="4">
        <v>888</v>
      </c>
      <c r="T4" s="3">
        <v>1339</v>
      </c>
      <c r="U4" s="3">
        <v>1860</v>
      </c>
      <c r="V4" s="3">
        <v>2914</v>
      </c>
      <c r="W4" s="3">
        <v>2517</v>
      </c>
      <c r="X4" s="3">
        <v>2533</v>
      </c>
      <c r="Y4" s="3">
        <v>2930</v>
      </c>
      <c r="Z4" s="3">
        <v>4228</v>
      </c>
      <c r="AA4" s="3">
        <v>3305</v>
      </c>
      <c r="AB4" s="3">
        <v>3254</v>
      </c>
      <c r="AC4" s="3">
        <v>3675</v>
      </c>
      <c r="AD4" s="3">
        <v>4743</v>
      </c>
      <c r="AE4" s="3">
        <v>4970</v>
      </c>
      <c r="AF4" s="3">
        <v>5848</v>
      </c>
      <c r="AG4" s="3">
        <v>6500</v>
      </c>
      <c r="AH4" s="3">
        <v>5577</v>
      </c>
      <c r="AI4" s="3">
        <v>6077</v>
      </c>
      <c r="AJ4" s="3">
        <v>6630</v>
      </c>
      <c r="AK4" s="3">
        <v>5795</v>
      </c>
      <c r="AL4" s="3">
        <v>8014</v>
      </c>
      <c r="AM4" s="3">
        <v>9146</v>
      </c>
      <c r="AN4" s="3">
        <v>8284</v>
      </c>
      <c r="AO4" s="3">
        <v>7673</v>
      </c>
      <c r="AP4" s="3">
        <v>7526</v>
      </c>
      <c r="AQ4" s="3">
        <v>8624</v>
      </c>
      <c r="AR4" s="3">
        <v>8616</v>
      </c>
      <c r="AS4" s="3">
        <v>8735</v>
      </c>
      <c r="AT4" s="3">
        <v>8782</v>
      </c>
      <c r="AU4" s="3">
        <v>8722</v>
      </c>
      <c r="AV4" s="3">
        <v>8666</v>
      </c>
      <c r="AW4" s="3">
        <v>8579</v>
      </c>
      <c r="AX4" s="3">
        <v>8833</v>
      </c>
      <c r="AY4" s="3">
        <v>8638</v>
      </c>
      <c r="AZ4" s="3">
        <v>7894</v>
      </c>
      <c r="BA4" s="3">
        <v>8412</v>
      </c>
      <c r="BB4" s="44">
        <f>BB2+BB3</f>
        <v>7832.27</v>
      </c>
      <c r="BC4" s="42"/>
      <c r="BD4" s="42"/>
    </row>
    <row r="5" spans="1:56" s="5" customFormat="1" x14ac:dyDescent="0.25">
      <c r="A5" s="14"/>
      <c r="B5" s="6" t="s">
        <v>10</v>
      </c>
      <c r="C5" s="6" t="s">
        <v>6</v>
      </c>
      <c r="D5" s="7">
        <v>30</v>
      </c>
      <c r="E5" s="7">
        <v>42</v>
      </c>
      <c r="F5" s="7">
        <v>27</v>
      </c>
      <c r="G5" s="7">
        <v>18</v>
      </c>
      <c r="H5" s="7">
        <v>19</v>
      </c>
      <c r="I5" s="7">
        <v>17</v>
      </c>
      <c r="J5" s="7">
        <v>20</v>
      </c>
      <c r="K5" s="7">
        <v>18</v>
      </c>
      <c r="L5" s="7">
        <v>20</v>
      </c>
      <c r="M5" s="7">
        <v>20</v>
      </c>
      <c r="N5" s="7">
        <v>21</v>
      </c>
      <c r="O5" s="7">
        <v>19</v>
      </c>
      <c r="P5" s="7">
        <v>18</v>
      </c>
      <c r="Q5" s="7">
        <v>19</v>
      </c>
      <c r="R5" s="7">
        <v>17</v>
      </c>
      <c r="S5" s="7">
        <v>16</v>
      </c>
      <c r="T5" s="7">
        <v>10</v>
      </c>
      <c r="U5" s="7">
        <v>9</v>
      </c>
      <c r="V5" s="7">
        <v>9</v>
      </c>
      <c r="W5" s="7">
        <v>14</v>
      </c>
      <c r="X5" s="7">
        <v>12</v>
      </c>
      <c r="Y5" s="7">
        <v>7</v>
      </c>
      <c r="Z5" s="7">
        <v>6</v>
      </c>
      <c r="AA5" s="7">
        <v>5</v>
      </c>
      <c r="AB5" s="7">
        <v>4</v>
      </c>
      <c r="AC5" s="7">
        <v>3</v>
      </c>
      <c r="AD5" s="7">
        <v>2</v>
      </c>
      <c r="AE5" s="7">
        <v>1</v>
      </c>
      <c r="AF5" s="7">
        <v>1</v>
      </c>
      <c r="AG5" s="7">
        <v>1</v>
      </c>
      <c r="AH5" s="7">
        <v>1</v>
      </c>
      <c r="AI5" s="7">
        <v>1</v>
      </c>
      <c r="AJ5" s="7">
        <v>1</v>
      </c>
      <c r="AK5" s="7">
        <v>1</v>
      </c>
      <c r="AL5" s="7">
        <v>1</v>
      </c>
      <c r="AM5" s="7">
        <v>1</v>
      </c>
      <c r="AN5" s="7">
        <v>1</v>
      </c>
      <c r="AO5" s="7">
        <v>1</v>
      </c>
      <c r="AP5" s="7">
        <v>1</v>
      </c>
      <c r="AQ5" s="7">
        <v>1</v>
      </c>
      <c r="AR5" s="7">
        <v>0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47">
        <v>0</v>
      </c>
      <c r="BC5" s="43">
        <v>0</v>
      </c>
      <c r="BD5" s="43">
        <v>0</v>
      </c>
    </row>
    <row r="6" spans="1:56" x14ac:dyDescent="0.25">
      <c r="A6" s="12"/>
      <c r="B6" s="2"/>
      <c r="C6" s="2" t="s">
        <v>7</v>
      </c>
      <c r="D6" s="4">
        <v>216</v>
      </c>
      <c r="E6" s="4">
        <v>254</v>
      </c>
      <c r="F6" s="4">
        <v>324</v>
      </c>
      <c r="G6" s="4">
        <v>270</v>
      </c>
      <c r="H6" s="4">
        <v>316</v>
      </c>
      <c r="I6" s="4">
        <v>327</v>
      </c>
      <c r="J6" s="4">
        <v>362</v>
      </c>
      <c r="K6" s="4">
        <v>404</v>
      </c>
      <c r="L6" s="4">
        <v>450</v>
      </c>
      <c r="M6" s="4">
        <v>470</v>
      </c>
      <c r="N6" s="4">
        <v>557</v>
      </c>
      <c r="O6" s="4">
        <v>523</v>
      </c>
      <c r="P6" s="4">
        <v>484</v>
      </c>
      <c r="Q6" s="4">
        <v>788</v>
      </c>
      <c r="R6" s="4">
        <v>722</v>
      </c>
      <c r="S6" s="3">
        <v>1013</v>
      </c>
      <c r="T6" s="4">
        <v>909</v>
      </c>
      <c r="U6" s="3">
        <v>1312</v>
      </c>
      <c r="V6" s="3">
        <v>1363</v>
      </c>
      <c r="W6" s="3">
        <v>1627</v>
      </c>
      <c r="X6" s="3">
        <v>1527</v>
      </c>
      <c r="Y6" s="3">
        <v>1496</v>
      </c>
      <c r="Z6" s="3">
        <v>1562</v>
      </c>
      <c r="AA6" s="3">
        <v>1602</v>
      </c>
      <c r="AB6" s="3">
        <v>1601</v>
      </c>
      <c r="AC6" s="3">
        <v>1682</v>
      </c>
      <c r="AD6" s="3">
        <v>1901</v>
      </c>
      <c r="AE6" s="3">
        <v>1957</v>
      </c>
      <c r="AF6" s="3">
        <v>2145</v>
      </c>
      <c r="AG6" s="3">
        <v>2040</v>
      </c>
      <c r="AH6" s="3">
        <v>2052</v>
      </c>
      <c r="AI6" s="3">
        <v>1801</v>
      </c>
      <c r="AJ6" s="3">
        <v>1711</v>
      </c>
      <c r="AK6" s="3">
        <v>1689</v>
      </c>
      <c r="AL6" s="3">
        <v>1747</v>
      </c>
      <c r="AM6" s="3">
        <v>1661</v>
      </c>
      <c r="AN6" s="3">
        <v>1504</v>
      </c>
      <c r="AO6" s="3">
        <v>1322</v>
      </c>
      <c r="AP6" s="3">
        <v>1472</v>
      </c>
      <c r="AQ6" s="3">
        <v>1525</v>
      </c>
      <c r="AR6" s="3">
        <v>1421</v>
      </c>
      <c r="AS6" s="3">
        <v>1616</v>
      </c>
      <c r="AT6" s="3">
        <v>1492</v>
      </c>
      <c r="AU6" s="3">
        <v>1274</v>
      </c>
      <c r="AV6" s="3">
        <v>1343</v>
      </c>
      <c r="AW6" s="3">
        <v>1011</v>
      </c>
      <c r="AX6" s="3">
        <v>1068</v>
      </c>
      <c r="AY6" s="4">
        <v>975</v>
      </c>
      <c r="AZ6" s="4">
        <v>988</v>
      </c>
      <c r="BA6" s="3">
        <v>1010</v>
      </c>
      <c r="BB6" s="44">
        <f>234209/1000</f>
        <v>234.209</v>
      </c>
      <c r="BC6" s="42"/>
      <c r="BD6" s="42"/>
    </row>
    <row r="7" spans="1:56" s="5" customFormat="1" x14ac:dyDescent="0.25">
      <c r="A7" s="14"/>
      <c r="B7" s="6"/>
      <c r="C7" s="6" t="s">
        <v>8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0</v>
      </c>
      <c r="AA7" s="7">
        <v>5</v>
      </c>
      <c r="AB7" s="7">
        <v>0</v>
      </c>
      <c r="AC7" s="7">
        <v>1</v>
      </c>
      <c r="AD7" s="7">
        <v>0</v>
      </c>
      <c r="AE7" s="7">
        <v>0</v>
      </c>
      <c r="AF7" s="7">
        <v>0</v>
      </c>
      <c r="AG7" s="7">
        <v>0</v>
      </c>
      <c r="AH7" s="7">
        <v>0</v>
      </c>
      <c r="AI7" s="7">
        <v>0</v>
      </c>
      <c r="AJ7" s="7">
        <v>0</v>
      </c>
      <c r="AK7" s="7">
        <v>8</v>
      </c>
      <c r="AL7" s="7">
        <v>14</v>
      </c>
      <c r="AM7" s="7">
        <v>7</v>
      </c>
      <c r="AN7" s="7">
        <v>65</v>
      </c>
      <c r="AO7" s="7">
        <v>51</v>
      </c>
      <c r="AP7" s="7">
        <v>35</v>
      </c>
      <c r="AQ7" s="7">
        <v>24</v>
      </c>
      <c r="AR7" s="7">
        <v>14</v>
      </c>
      <c r="AS7" s="7">
        <v>4</v>
      </c>
      <c r="AT7" s="7">
        <v>7</v>
      </c>
      <c r="AU7" s="7">
        <v>5</v>
      </c>
      <c r="AV7" s="7">
        <v>9</v>
      </c>
      <c r="AW7" s="7">
        <v>6</v>
      </c>
      <c r="AX7" s="7">
        <v>3</v>
      </c>
      <c r="AY7" s="7">
        <v>4</v>
      </c>
      <c r="AZ7" s="7">
        <v>1</v>
      </c>
      <c r="BA7" s="7">
        <v>0</v>
      </c>
      <c r="BB7" s="47">
        <f>2083/1000</f>
        <v>2.0830000000000002</v>
      </c>
      <c r="BC7" s="43"/>
      <c r="BD7" s="43"/>
    </row>
    <row r="8" spans="1:56" x14ac:dyDescent="0.25">
      <c r="A8" s="12"/>
      <c r="B8" s="2"/>
      <c r="C8" s="2" t="s">
        <v>9</v>
      </c>
      <c r="D8" s="4">
        <v>271</v>
      </c>
      <c r="E8" s="4">
        <v>261</v>
      </c>
      <c r="F8" s="4">
        <v>356</v>
      </c>
      <c r="G8" s="4">
        <v>330</v>
      </c>
      <c r="H8" s="4">
        <v>313</v>
      </c>
      <c r="I8" s="4">
        <v>340</v>
      </c>
      <c r="J8" s="4">
        <v>376</v>
      </c>
      <c r="K8" s="4">
        <v>422</v>
      </c>
      <c r="L8" s="4">
        <v>450</v>
      </c>
      <c r="M8" s="4">
        <v>480</v>
      </c>
      <c r="N8" s="4">
        <v>550</v>
      </c>
      <c r="O8" s="4">
        <v>540</v>
      </c>
      <c r="P8" s="4">
        <v>540</v>
      </c>
      <c r="Q8" s="4">
        <v>767</v>
      </c>
      <c r="R8" s="4">
        <v>744</v>
      </c>
      <c r="S8" s="4">
        <v>913</v>
      </c>
      <c r="T8" s="4">
        <v>951</v>
      </c>
      <c r="U8" s="3">
        <v>1156</v>
      </c>
      <c r="V8" s="3">
        <v>1270</v>
      </c>
      <c r="W8" s="3">
        <v>1550</v>
      </c>
      <c r="X8" s="3">
        <v>1461</v>
      </c>
      <c r="Y8" s="3">
        <v>1561</v>
      </c>
      <c r="Z8" s="3">
        <v>1565</v>
      </c>
      <c r="AA8" s="3">
        <v>1620</v>
      </c>
      <c r="AB8" s="3">
        <v>1637</v>
      </c>
      <c r="AC8" s="3">
        <v>1707</v>
      </c>
      <c r="AD8" s="3">
        <v>1844</v>
      </c>
      <c r="AE8" s="3">
        <v>1995</v>
      </c>
      <c r="AF8" s="3">
        <v>2071</v>
      </c>
      <c r="AG8" s="3">
        <v>2003</v>
      </c>
      <c r="AH8" s="3">
        <v>2001</v>
      </c>
      <c r="AI8" s="3">
        <v>1919</v>
      </c>
      <c r="AJ8" s="3">
        <v>1725</v>
      </c>
      <c r="AK8" s="3">
        <v>1750</v>
      </c>
      <c r="AL8" s="3">
        <v>1663</v>
      </c>
      <c r="AM8" s="3">
        <v>1667</v>
      </c>
      <c r="AN8" s="3">
        <v>1475</v>
      </c>
      <c r="AO8" s="3">
        <v>1353</v>
      </c>
      <c r="AP8" s="3">
        <v>1464</v>
      </c>
      <c r="AQ8" s="3">
        <v>1475</v>
      </c>
      <c r="AR8" s="3">
        <v>1450</v>
      </c>
      <c r="AS8" s="3">
        <v>1500</v>
      </c>
      <c r="AT8" s="3">
        <v>1500</v>
      </c>
      <c r="AU8" s="3">
        <v>1350</v>
      </c>
      <c r="AV8" s="3">
        <v>1350</v>
      </c>
      <c r="AW8" s="3">
        <v>1100</v>
      </c>
      <c r="AX8" s="3">
        <v>1100</v>
      </c>
      <c r="AY8" s="3">
        <v>1000</v>
      </c>
      <c r="AZ8" s="3">
        <v>1000</v>
      </c>
      <c r="BA8" s="3">
        <v>1025</v>
      </c>
      <c r="BB8" s="44">
        <f>BB5+BB6-BB7</f>
        <v>232.126</v>
      </c>
      <c r="BC8" s="42"/>
      <c r="BD8" s="42"/>
    </row>
    <row r="9" spans="1:56" s="5" customFormat="1" x14ac:dyDescent="0.25">
      <c r="A9" s="14"/>
      <c r="B9" s="6" t="s">
        <v>11</v>
      </c>
      <c r="C9" s="6" t="s">
        <v>6</v>
      </c>
      <c r="D9" s="7">
        <v>0</v>
      </c>
      <c r="E9" s="7">
        <v>0</v>
      </c>
      <c r="F9" s="7">
        <v>0</v>
      </c>
      <c r="G9" s="7">
        <v>0</v>
      </c>
      <c r="H9" s="7">
        <v>163</v>
      </c>
      <c r="I9" s="7">
        <v>174</v>
      </c>
      <c r="J9" s="7">
        <v>161</v>
      </c>
      <c r="K9" s="7">
        <v>201</v>
      </c>
      <c r="L9" s="7">
        <v>245</v>
      </c>
      <c r="M9" s="7">
        <v>229</v>
      </c>
      <c r="N9" s="7">
        <v>232</v>
      </c>
      <c r="O9" s="7">
        <v>229</v>
      </c>
      <c r="P9" s="7">
        <v>224</v>
      </c>
      <c r="Q9" s="7">
        <v>246</v>
      </c>
      <c r="R9" s="7">
        <v>319</v>
      </c>
      <c r="S9" s="7">
        <v>311</v>
      </c>
      <c r="T9" s="7">
        <v>295</v>
      </c>
      <c r="U9" s="7">
        <v>319</v>
      </c>
      <c r="V9" s="7">
        <v>293</v>
      </c>
      <c r="W9" s="7">
        <v>257</v>
      </c>
      <c r="X9" s="7">
        <v>216</v>
      </c>
      <c r="Y9" s="7">
        <v>257</v>
      </c>
      <c r="Z9" s="7">
        <v>233</v>
      </c>
      <c r="AA9" s="7">
        <v>226</v>
      </c>
      <c r="AB9" s="7">
        <v>254</v>
      </c>
      <c r="AC9" s="7">
        <v>234</v>
      </c>
      <c r="AD9" s="7">
        <v>199</v>
      </c>
      <c r="AE9" s="7">
        <v>203</v>
      </c>
      <c r="AF9" s="7">
        <v>239</v>
      </c>
      <c r="AG9" s="7">
        <v>252</v>
      </c>
      <c r="AH9" s="7">
        <v>233</v>
      </c>
      <c r="AI9" s="7">
        <v>183</v>
      </c>
      <c r="AJ9" s="7">
        <v>176</v>
      </c>
      <c r="AK9" s="7">
        <v>170</v>
      </c>
      <c r="AL9" s="7">
        <v>154</v>
      </c>
      <c r="AM9" s="7">
        <v>160</v>
      </c>
      <c r="AN9" s="7">
        <v>160</v>
      </c>
      <c r="AO9" s="7">
        <v>156</v>
      </c>
      <c r="AP9" s="7">
        <v>140</v>
      </c>
      <c r="AQ9" s="7">
        <v>116</v>
      </c>
      <c r="AR9" s="7">
        <v>113</v>
      </c>
      <c r="AS9" s="7">
        <v>118</v>
      </c>
      <c r="AT9" s="7">
        <v>115</v>
      </c>
      <c r="AU9" s="7">
        <v>105</v>
      </c>
      <c r="AV9" s="7">
        <v>139</v>
      </c>
      <c r="AW9" s="7">
        <v>183</v>
      </c>
      <c r="AX9" s="7">
        <v>156</v>
      </c>
      <c r="AY9" s="7">
        <v>114</v>
      </c>
      <c r="AZ9" s="7">
        <v>132</v>
      </c>
      <c r="BA9" s="7">
        <v>130</v>
      </c>
      <c r="BB9" s="47">
        <f>1447559/1000</f>
        <v>1447.559</v>
      </c>
      <c r="BC9" s="43">
        <f>122519/1000</f>
        <v>122.51900000000001</v>
      </c>
      <c r="BD9" s="43">
        <f>154067/1000</f>
        <v>154.06700000000001</v>
      </c>
    </row>
    <row r="10" spans="1:56" x14ac:dyDescent="0.25">
      <c r="A10" s="12"/>
      <c r="B10" s="2"/>
      <c r="C10" s="2" t="s">
        <v>7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26</v>
      </c>
      <c r="K10" s="4">
        <v>4</v>
      </c>
      <c r="L10" s="4">
        <v>18</v>
      </c>
      <c r="M10" s="4">
        <v>30</v>
      </c>
      <c r="N10" s="4">
        <v>62</v>
      </c>
      <c r="O10" s="4">
        <v>37</v>
      </c>
      <c r="P10" s="4">
        <v>71</v>
      </c>
      <c r="Q10" s="4">
        <v>50</v>
      </c>
      <c r="R10" s="4">
        <v>57</v>
      </c>
      <c r="S10" s="4">
        <v>148</v>
      </c>
      <c r="T10" s="4">
        <v>133</v>
      </c>
      <c r="U10" s="4">
        <v>239</v>
      </c>
      <c r="V10" s="4">
        <v>428</v>
      </c>
      <c r="W10" s="4">
        <v>417</v>
      </c>
      <c r="X10" s="4">
        <v>529</v>
      </c>
      <c r="Y10" s="4">
        <v>541</v>
      </c>
      <c r="Z10" s="4">
        <v>695</v>
      </c>
      <c r="AA10" s="4">
        <v>712</v>
      </c>
      <c r="AB10" s="4">
        <v>809</v>
      </c>
      <c r="AC10" s="3">
        <v>1005</v>
      </c>
      <c r="AD10" s="3">
        <v>1014</v>
      </c>
      <c r="AE10" s="3">
        <v>1096</v>
      </c>
      <c r="AF10" s="3">
        <v>1009</v>
      </c>
      <c r="AG10" s="3">
        <v>1075</v>
      </c>
      <c r="AH10" s="4">
        <v>929</v>
      </c>
      <c r="AI10" s="3">
        <v>1330</v>
      </c>
      <c r="AJ10" s="3">
        <v>1131</v>
      </c>
      <c r="AK10" s="3">
        <v>1160</v>
      </c>
      <c r="AL10" s="3">
        <v>1384</v>
      </c>
      <c r="AM10" s="3">
        <v>1422</v>
      </c>
      <c r="AN10" s="3">
        <v>1620</v>
      </c>
      <c r="AO10" s="3">
        <v>1349</v>
      </c>
      <c r="AP10" s="3">
        <v>1400</v>
      </c>
      <c r="AQ10" s="3">
        <v>1606</v>
      </c>
      <c r="AR10" s="3">
        <v>1389</v>
      </c>
      <c r="AS10" s="3">
        <v>1434</v>
      </c>
      <c r="AT10" s="3">
        <v>1516</v>
      </c>
      <c r="AU10" s="3">
        <v>1368</v>
      </c>
      <c r="AV10" s="3">
        <v>1240</v>
      </c>
      <c r="AW10" s="3">
        <v>1190</v>
      </c>
      <c r="AX10" s="3">
        <v>1231</v>
      </c>
      <c r="AY10" s="3">
        <v>1232</v>
      </c>
      <c r="AZ10" s="3">
        <v>1167</v>
      </c>
      <c r="BA10" s="3">
        <v>1197</v>
      </c>
      <c r="BB10" s="44">
        <f>BB8+BB9</f>
        <v>1679.6849999999999</v>
      </c>
      <c r="BC10" s="42"/>
      <c r="BD10" s="42"/>
    </row>
    <row r="11" spans="1:56" s="5" customFormat="1" x14ac:dyDescent="0.25">
      <c r="A11" s="14"/>
      <c r="B11" s="6"/>
      <c r="C11" s="6" t="s">
        <v>9</v>
      </c>
      <c r="D11" s="7">
        <v>0</v>
      </c>
      <c r="E11" s="7">
        <v>0</v>
      </c>
      <c r="F11" s="7">
        <v>0</v>
      </c>
      <c r="G11" s="7">
        <v>0</v>
      </c>
      <c r="H11" s="7">
        <v>163</v>
      </c>
      <c r="I11" s="7">
        <v>174</v>
      </c>
      <c r="J11" s="7">
        <v>187</v>
      </c>
      <c r="K11" s="7">
        <v>205</v>
      </c>
      <c r="L11" s="7">
        <v>263</v>
      </c>
      <c r="M11" s="7">
        <v>254</v>
      </c>
      <c r="N11" s="7">
        <v>290</v>
      </c>
      <c r="O11" s="7">
        <v>261</v>
      </c>
      <c r="P11" s="7">
        <v>289</v>
      </c>
      <c r="Q11" s="7">
        <v>296</v>
      </c>
      <c r="R11" s="7">
        <v>376</v>
      </c>
      <c r="S11" s="7">
        <v>459</v>
      </c>
      <c r="T11" s="7">
        <v>428</v>
      </c>
      <c r="U11" s="7">
        <v>515</v>
      </c>
      <c r="V11" s="7">
        <v>681</v>
      </c>
      <c r="W11" s="7">
        <v>733</v>
      </c>
      <c r="X11" s="7">
        <v>727</v>
      </c>
      <c r="Y11" s="7">
        <v>806</v>
      </c>
      <c r="Z11" s="7">
        <v>919</v>
      </c>
      <c r="AA11" s="7">
        <v>937</v>
      </c>
      <c r="AB11" s="8">
        <v>1108</v>
      </c>
      <c r="AC11" s="8">
        <v>1220</v>
      </c>
      <c r="AD11" s="8">
        <v>1231</v>
      </c>
      <c r="AE11" s="8">
        <v>1252</v>
      </c>
      <c r="AF11" s="8">
        <v>1286</v>
      </c>
      <c r="AG11" s="8">
        <v>1179</v>
      </c>
      <c r="AH11" s="8">
        <v>1162</v>
      </c>
      <c r="AI11" s="8">
        <v>1523</v>
      </c>
      <c r="AJ11" s="8">
        <v>1296</v>
      </c>
      <c r="AK11" s="8">
        <v>1334</v>
      </c>
      <c r="AL11" s="8">
        <v>1523</v>
      </c>
      <c r="AM11" s="8">
        <v>1589</v>
      </c>
      <c r="AN11" s="8">
        <v>1796</v>
      </c>
      <c r="AO11" s="8">
        <v>1563</v>
      </c>
      <c r="AP11" s="8">
        <v>1573</v>
      </c>
      <c r="AQ11" s="8">
        <v>1687</v>
      </c>
      <c r="AR11" s="8">
        <v>1491</v>
      </c>
      <c r="AS11" s="8">
        <v>1555</v>
      </c>
      <c r="AT11" s="8">
        <v>1631</v>
      </c>
      <c r="AU11" s="8">
        <v>1531</v>
      </c>
      <c r="AV11" s="8">
        <v>1370</v>
      </c>
      <c r="AW11" s="8">
        <v>1372</v>
      </c>
      <c r="AX11" s="8">
        <v>1374</v>
      </c>
      <c r="AY11" s="8">
        <v>1386</v>
      </c>
      <c r="AZ11" s="8">
        <v>1292</v>
      </c>
      <c r="BA11" s="8">
        <v>1334</v>
      </c>
      <c r="BB11" s="47">
        <v>1388</v>
      </c>
      <c r="BC11" s="43"/>
      <c r="BD11" s="43"/>
    </row>
    <row r="12" spans="1:56" x14ac:dyDescent="0.25">
      <c r="A12" s="12"/>
      <c r="B12" s="2" t="s">
        <v>12</v>
      </c>
      <c r="C12" s="2" t="s">
        <v>6</v>
      </c>
      <c r="D12" s="3">
        <v>3047</v>
      </c>
      <c r="E12" s="3">
        <v>3463</v>
      </c>
      <c r="F12" s="3">
        <v>3015</v>
      </c>
      <c r="G12" s="3">
        <v>3758</v>
      </c>
      <c r="H12" s="3">
        <v>3954</v>
      </c>
      <c r="I12" s="3">
        <v>3501</v>
      </c>
      <c r="J12" s="3">
        <v>3919</v>
      </c>
      <c r="K12" s="3">
        <v>3603</v>
      </c>
      <c r="L12" s="3">
        <v>3195</v>
      </c>
      <c r="M12" s="3">
        <v>4090</v>
      </c>
      <c r="N12" s="3">
        <v>3939</v>
      </c>
      <c r="O12" s="3">
        <v>3998</v>
      </c>
      <c r="P12" s="3">
        <v>3957</v>
      </c>
      <c r="Q12" s="3">
        <v>4212</v>
      </c>
      <c r="R12" s="3">
        <v>4445</v>
      </c>
      <c r="S12" s="3">
        <v>4669</v>
      </c>
      <c r="T12" s="3">
        <v>5215</v>
      </c>
      <c r="U12" s="3">
        <v>6006</v>
      </c>
      <c r="V12" s="3">
        <v>5797</v>
      </c>
      <c r="W12" s="3">
        <v>5136</v>
      </c>
      <c r="X12" s="3">
        <v>4000</v>
      </c>
      <c r="Y12" s="3">
        <v>5063</v>
      </c>
      <c r="Z12" s="3">
        <v>5175</v>
      </c>
      <c r="AA12" s="3">
        <v>5404</v>
      </c>
      <c r="AB12" s="3">
        <v>5682</v>
      </c>
      <c r="AC12" s="3">
        <v>5626</v>
      </c>
      <c r="AD12" s="3">
        <v>5607</v>
      </c>
      <c r="AE12" s="3">
        <v>5493</v>
      </c>
      <c r="AF12" s="3">
        <v>6053</v>
      </c>
      <c r="AG12" s="3">
        <v>5898</v>
      </c>
      <c r="AH12" s="3">
        <v>5606</v>
      </c>
      <c r="AI12" s="3">
        <v>5385</v>
      </c>
      <c r="AJ12" s="3">
        <v>5331</v>
      </c>
      <c r="AK12" s="3">
        <v>4750</v>
      </c>
      <c r="AL12" s="3">
        <v>5060</v>
      </c>
      <c r="AM12" s="3">
        <v>4694</v>
      </c>
      <c r="AN12" s="3">
        <v>5323</v>
      </c>
      <c r="AO12" s="3">
        <v>5450</v>
      </c>
      <c r="AP12" s="3">
        <v>5100</v>
      </c>
      <c r="AQ12" s="3">
        <v>5263</v>
      </c>
      <c r="AR12" s="3">
        <v>5291</v>
      </c>
      <c r="AS12" s="3">
        <v>5515</v>
      </c>
      <c r="AT12" s="3">
        <v>4927</v>
      </c>
      <c r="AU12" s="3">
        <v>4451</v>
      </c>
      <c r="AV12" s="3">
        <v>5000</v>
      </c>
      <c r="AW12" s="3">
        <v>4768</v>
      </c>
      <c r="AX12" s="3">
        <v>4680</v>
      </c>
      <c r="AY12" s="3">
        <v>4408</v>
      </c>
      <c r="AZ12" s="3">
        <v>4843</v>
      </c>
      <c r="BA12" s="3">
        <v>4916</v>
      </c>
      <c r="BB12" s="44">
        <f>6034300/1000</f>
        <v>6034.3</v>
      </c>
      <c r="BC12" s="42">
        <f>5934000/1000</f>
        <v>5934</v>
      </c>
      <c r="BD12" s="42">
        <f>5631689/1000</f>
        <v>5631.6890000000003</v>
      </c>
    </row>
    <row r="13" spans="1:56" s="5" customFormat="1" x14ac:dyDescent="0.25">
      <c r="A13" s="14"/>
      <c r="B13" s="6"/>
      <c r="C13" s="6" t="s">
        <v>7</v>
      </c>
      <c r="D13" s="7">
        <v>5</v>
      </c>
      <c r="E13" s="7">
        <v>0</v>
      </c>
      <c r="F13" s="7">
        <v>117</v>
      </c>
      <c r="G13" s="7">
        <v>0</v>
      </c>
      <c r="H13" s="7">
        <v>0</v>
      </c>
      <c r="I13" s="7">
        <v>18</v>
      </c>
      <c r="J13" s="7">
        <v>139</v>
      </c>
      <c r="K13" s="7">
        <v>247</v>
      </c>
      <c r="L13" s="7">
        <v>631</v>
      </c>
      <c r="M13" s="7">
        <v>254</v>
      </c>
      <c r="N13" s="7">
        <v>937</v>
      </c>
      <c r="O13" s="7">
        <v>584</v>
      </c>
      <c r="P13" s="7">
        <v>437</v>
      </c>
      <c r="Q13" s="7">
        <v>206</v>
      </c>
      <c r="R13" s="7">
        <v>489</v>
      </c>
      <c r="S13" s="7">
        <v>168</v>
      </c>
      <c r="T13" s="7">
        <v>55</v>
      </c>
      <c r="U13" s="7">
        <v>0</v>
      </c>
      <c r="V13" s="7">
        <v>501</v>
      </c>
      <c r="W13" s="7">
        <v>580</v>
      </c>
      <c r="X13" s="8">
        <v>2245</v>
      </c>
      <c r="Y13" s="7">
        <v>269</v>
      </c>
      <c r="Z13" s="7">
        <v>216</v>
      </c>
      <c r="AA13" s="7">
        <v>7</v>
      </c>
      <c r="AB13" s="7">
        <v>0</v>
      </c>
      <c r="AC13" s="7">
        <v>0</v>
      </c>
      <c r="AD13" s="7">
        <v>0</v>
      </c>
      <c r="AE13" s="7">
        <v>1</v>
      </c>
      <c r="AF13" s="7">
        <v>2</v>
      </c>
      <c r="AG13" s="7">
        <v>11</v>
      </c>
      <c r="AH13" s="7">
        <v>2</v>
      </c>
      <c r="AI13" s="7">
        <v>1</v>
      </c>
      <c r="AJ13" s="7">
        <v>1</v>
      </c>
      <c r="AK13" s="7">
        <v>0</v>
      </c>
      <c r="AL13" s="7">
        <v>1</v>
      </c>
      <c r="AM13" s="7">
        <v>115</v>
      </c>
      <c r="AN13" s="7">
        <v>0</v>
      </c>
      <c r="AO13" s="7">
        <v>77</v>
      </c>
      <c r="AP13" s="7">
        <v>99</v>
      </c>
      <c r="AQ13" s="7">
        <v>101</v>
      </c>
      <c r="AR13" s="7">
        <v>95</v>
      </c>
      <c r="AS13" s="7">
        <v>117</v>
      </c>
      <c r="AT13" s="7">
        <v>133</v>
      </c>
      <c r="AU13" s="7">
        <v>193</v>
      </c>
      <c r="AV13" s="7">
        <v>192</v>
      </c>
      <c r="AW13" s="7">
        <v>217</v>
      </c>
      <c r="AX13" s="7">
        <v>255</v>
      </c>
      <c r="AY13" s="7">
        <v>254</v>
      </c>
      <c r="AZ13" s="7">
        <v>250</v>
      </c>
      <c r="BA13" s="7">
        <v>310</v>
      </c>
      <c r="BB13" s="47">
        <f>531525/1000</f>
        <v>531.52499999999998</v>
      </c>
      <c r="BC13" s="43"/>
      <c r="BD13" s="43"/>
    </row>
    <row r="14" spans="1:56" x14ac:dyDescent="0.25">
      <c r="A14" s="12"/>
      <c r="B14" s="2"/>
      <c r="C14" s="2" t="s">
        <v>8</v>
      </c>
      <c r="D14" s="4">
        <v>4</v>
      </c>
      <c r="E14" s="4">
        <v>60</v>
      </c>
      <c r="F14" s="4">
        <v>5</v>
      </c>
      <c r="G14" s="4">
        <v>13</v>
      </c>
      <c r="H14" s="4">
        <v>19</v>
      </c>
      <c r="I14" s="4">
        <v>40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80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135</v>
      </c>
      <c r="AB14" s="4">
        <v>0</v>
      </c>
      <c r="AC14" s="4">
        <v>0</v>
      </c>
      <c r="AD14" s="4">
        <v>0</v>
      </c>
      <c r="AE14" s="4">
        <v>0</v>
      </c>
      <c r="AF14" s="4">
        <v>0</v>
      </c>
      <c r="AG14" s="4">
        <v>1</v>
      </c>
      <c r="AH14" s="4">
        <v>17</v>
      </c>
      <c r="AI14" s="4">
        <v>2</v>
      </c>
      <c r="AJ14" s="4">
        <v>2</v>
      </c>
      <c r="AK14" s="4">
        <v>0</v>
      </c>
      <c r="AL14" s="4">
        <v>151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126</v>
      </c>
      <c r="AT14" s="4">
        <v>568</v>
      </c>
      <c r="AU14" s="4">
        <v>211</v>
      </c>
      <c r="AV14" s="4">
        <v>269</v>
      </c>
      <c r="AW14" s="4">
        <v>221</v>
      </c>
      <c r="AX14" s="4">
        <v>161</v>
      </c>
      <c r="AY14" s="4">
        <v>0</v>
      </c>
      <c r="AZ14" s="4">
        <v>3</v>
      </c>
      <c r="BA14" s="4">
        <v>9</v>
      </c>
      <c r="BB14" s="44">
        <f>3726/1000</f>
        <v>3.726</v>
      </c>
      <c r="BC14" s="42"/>
      <c r="BD14" s="42"/>
    </row>
    <row r="15" spans="1:56" s="5" customFormat="1" x14ac:dyDescent="0.25">
      <c r="A15" s="14"/>
      <c r="B15" s="6"/>
      <c r="C15" s="6" t="s">
        <v>9</v>
      </c>
      <c r="D15" s="8">
        <v>3121</v>
      </c>
      <c r="E15" s="8">
        <v>3442</v>
      </c>
      <c r="F15" s="8">
        <v>3127</v>
      </c>
      <c r="G15" s="8">
        <v>3740</v>
      </c>
      <c r="H15" s="8">
        <v>3913</v>
      </c>
      <c r="I15" s="8">
        <v>3444</v>
      </c>
      <c r="J15" s="8">
        <v>4119</v>
      </c>
      <c r="K15" s="8">
        <v>3811</v>
      </c>
      <c r="L15" s="8">
        <v>3866</v>
      </c>
      <c r="M15" s="8">
        <v>4271</v>
      </c>
      <c r="N15" s="8">
        <v>4945</v>
      </c>
      <c r="O15" s="8">
        <v>3973</v>
      </c>
      <c r="P15" s="8">
        <v>4296</v>
      </c>
      <c r="Q15" s="8">
        <v>4641</v>
      </c>
      <c r="R15" s="8">
        <v>4707</v>
      </c>
      <c r="S15" s="8">
        <v>4646</v>
      </c>
      <c r="T15" s="8">
        <v>5100</v>
      </c>
      <c r="U15" s="8">
        <v>5784</v>
      </c>
      <c r="V15" s="8">
        <v>6764</v>
      </c>
      <c r="W15" s="8">
        <v>5786</v>
      </c>
      <c r="X15" s="8">
        <v>5432</v>
      </c>
      <c r="Y15" s="8">
        <v>5404</v>
      </c>
      <c r="Z15" s="8">
        <v>5303</v>
      </c>
      <c r="AA15" s="8">
        <v>5540</v>
      </c>
      <c r="AB15" s="8">
        <v>5497</v>
      </c>
      <c r="AC15" s="8">
        <v>5807</v>
      </c>
      <c r="AD15" s="8">
        <v>5700</v>
      </c>
      <c r="AE15" s="8">
        <v>5506</v>
      </c>
      <c r="AF15" s="8">
        <v>5591</v>
      </c>
      <c r="AG15" s="8">
        <v>5468</v>
      </c>
      <c r="AH15" s="8">
        <v>5490</v>
      </c>
      <c r="AI15" s="8">
        <v>5526</v>
      </c>
      <c r="AJ15" s="8">
        <v>5500</v>
      </c>
      <c r="AK15" s="8">
        <v>5424</v>
      </c>
      <c r="AL15" s="8">
        <v>5406</v>
      </c>
      <c r="AM15" s="8">
        <v>5230</v>
      </c>
      <c r="AN15" s="8">
        <v>5070</v>
      </c>
      <c r="AO15" s="8">
        <v>5216</v>
      </c>
      <c r="AP15" s="8">
        <v>5280</v>
      </c>
      <c r="AQ15" s="8">
        <v>5114</v>
      </c>
      <c r="AR15" s="8">
        <v>5152</v>
      </c>
      <c r="AS15" s="8">
        <v>5155</v>
      </c>
      <c r="AT15" s="8">
        <v>5134</v>
      </c>
      <c r="AU15" s="8">
        <v>4512</v>
      </c>
      <c r="AV15" s="8">
        <v>4951</v>
      </c>
      <c r="AW15" s="8">
        <v>4766</v>
      </c>
      <c r="AX15" s="8">
        <v>4887</v>
      </c>
      <c r="AY15" s="8">
        <v>4670</v>
      </c>
      <c r="AZ15" s="8">
        <v>4788</v>
      </c>
      <c r="BA15" s="8">
        <v>4760</v>
      </c>
      <c r="BB15" s="47">
        <f>BB12+BB13-BB14</f>
        <v>6562.0990000000002</v>
      </c>
      <c r="BC15" s="43"/>
      <c r="BD15" s="43"/>
    </row>
    <row r="16" spans="1:56" x14ac:dyDescent="0.25">
      <c r="A16" s="12"/>
      <c r="B16" s="2" t="s">
        <v>13</v>
      </c>
      <c r="C16" s="2" t="s">
        <v>6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5</v>
      </c>
      <c r="S16" s="4">
        <v>4</v>
      </c>
      <c r="T16" s="4">
        <v>4</v>
      </c>
      <c r="U16" s="4">
        <v>5</v>
      </c>
      <c r="V16" s="4">
        <v>5</v>
      </c>
      <c r="W16" s="4">
        <v>4</v>
      </c>
      <c r="X16" s="4">
        <v>4</v>
      </c>
      <c r="Y16" s="4">
        <v>5</v>
      </c>
      <c r="Z16" s="4">
        <v>4</v>
      </c>
      <c r="AA16" s="4">
        <v>3</v>
      </c>
      <c r="AB16" s="4">
        <v>3</v>
      </c>
      <c r="AC16" s="4">
        <v>2</v>
      </c>
      <c r="AD16" s="4">
        <v>2</v>
      </c>
      <c r="AE16" s="4">
        <v>2</v>
      </c>
      <c r="AF16" s="4">
        <v>2</v>
      </c>
      <c r="AG16" s="4">
        <v>2</v>
      </c>
      <c r="AH16" s="4">
        <v>2</v>
      </c>
      <c r="AI16" s="4">
        <v>2</v>
      </c>
      <c r="AJ16" s="4">
        <v>2</v>
      </c>
      <c r="AK16" s="4">
        <v>1</v>
      </c>
      <c r="AL16" s="4">
        <v>1</v>
      </c>
      <c r="AM16" s="4">
        <v>2</v>
      </c>
      <c r="AN16" s="4">
        <v>1</v>
      </c>
      <c r="AO16" s="4">
        <v>2</v>
      </c>
      <c r="AP16" s="4">
        <v>2</v>
      </c>
      <c r="AQ16" s="4">
        <v>2</v>
      </c>
      <c r="AR16" s="4">
        <v>1</v>
      </c>
      <c r="AS16" s="4">
        <v>1</v>
      </c>
      <c r="AT16" s="4">
        <v>0</v>
      </c>
      <c r="AU16" s="4">
        <v>0</v>
      </c>
      <c r="AV16" s="4">
        <v>0</v>
      </c>
      <c r="AW16" s="4">
        <v>0</v>
      </c>
      <c r="AX16" s="4">
        <v>0</v>
      </c>
      <c r="AY16" s="4">
        <v>0</v>
      </c>
      <c r="AZ16" s="4">
        <v>0</v>
      </c>
      <c r="BA16" s="4">
        <v>0</v>
      </c>
      <c r="BB16" s="44">
        <f>2293/1000</f>
        <v>2.2930000000000001</v>
      </c>
      <c r="BC16" s="42">
        <f>2400/1000</f>
        <v>2.4</v>
      </c>
      <c r="BD16" s="42">
        <f>2500/1000</f>
        <v>2.5</v>
      </c>
    </row>
    <row r="17" spans="1:56" s="5" customFormat="1" x14ac:dyDescent="0.25">
      <c r="A17" s="14"/>
      <c r="B17" s="6"/>
      <c r="C17" s="6" t="s">
        <v>7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63</v>
      </c>
      <c r="R17" s="7">
        <v>28</v>
      </c>
      <c r="S17" s="7">
        <v>0</v>
      </c>
      <c r="T17" s="7">
        <v>35</v>
      </c>
      <c r="U17" s="7">
        <v>0</v>
      </c>
      <c r="V17" s="7">
        <v>106</v>
      </c>
      <c r="W17" s="7">
        <v>24</v>
      </c>
      <c r="X17" s="7">
        <v>70</v>
      </c>
      <c r="Y17" s="7">
        <v>394</v>
      </c>
      <c r="Z17" s="7">
        <v>175</v>
      </c>
      <c r="AA17" s="7">
        <v>300</v>
      </c>
      <c r="AB17" s="7">
        <v>303</v>
      </c>
      <c r="AC17" s="7">
        <v>304</v>
      </c>
      <c r="AD17" s="7">
        <v>37</v>
      </c>
      <c r="AE17" s="7">
        <v>0</v>
      </c>
      <c r="AF17" s="7">
        <v>640</v>
      </c>
      <c r="AG17" s="7">
        <v>134</v>
      </c>
      <c r="AH17" s="7">
        <v>0</v>
      </c>
      <c r="AI17" s="7">
        <v>124</v>
      </c>
      <c r="AJ17" s="7">
        <v>117</v>
      </c>
      <c r="AK17" s="7">
        <v>13</v>
      </c>
      <c r="AL17" s="7">
        <v>51</v>
      </c>
      <c r="AM17" s="7">
        <v>172</v>
      </c>
      <c r="AN17" s="7">
        <v>72</v>
      </c>
      <c r="AO17" s="7">
        <v>1</v>
      </c>
      <c r="AP17" s="7">
        <v>1</v>
      </c>
      <c r="AQ17" s="7">
        <v>4</v>
      </c>
      <c r="AR17" s="7">
        <v>4</v>
      </c>
      <c r="AS17" s="7">
        <v>4</v>
      </c>
      <c r="AT17" s="7">
        <v>4</v>
      </c>
      <c r="AU17" s="7">
        <v>28</v>
      </c>
      <c r="AV17" s="7">
        <v>6</v>
      </c>
      <c r="AW17" s="7">
        <v>14</v>
      </c>
      <c r="AX17" s="7">
        <v>5</v>
      </c>
      <c r="AY17" s="7">
        <v>17</v>
      </c>
      <c r="AZ17" s="7">
        <v>4</v>
      </c>
      <c r="BA17" s="7">
        <v>3</v>
      </c>
      <c r="BB17" s="47">
        <f>5700/1000</f>
        <v>5.7</v>
      </c>
      <c r="BC17" s="43"/>
      <c r="BD17" s="43"/>
    </row>
    <row r="18" spans="1:56" x14ac:dyDescent="0.25">
      <c r="A18" s="12"/>
      <c r="B18" s="2"/>
      <c r="C18" s="2" t="s">
        <v>9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63</v>
      </c>
      <c r="R18" s="4">
        <v>33</v>
      </c>
      <c r="S18" s="4">
        <v>4</v>
      </c>
      <c r="T18" s="4">
        <v>39</v>
      </c>
      <c r="U18" s="4">
        <v>5</v>
      </c>
      <c r="V18" s="4">
        <v>98</v>
      </c>
      <c r="W18" s="4">
        <v>41</v>
      </c>
      <c r="X18" s="4">
        <v>38</v>
      </c>
      <c r="Y18" s="4">
        <v>370</v>
      </c>
      <c r="Z18" s="4">
        <v>209</v>
      </c>
      <c r="AA18" s="4">
        <v>320</v>
      </c>
      <c r="AB18" s="4">
        <v>308</v>
      </c>
      <c r="AC18" s="4">
        <v>314</v>
      </c>
      <c r="AD18" s="4">
        <v>44</v>
      </c>
      <c r="AE18" s="4">
        <v>0</v>
      </c>
      <c r="AF18" s="4">
        <v>561</v>
      </c>
      <c r="AG18" s="4">
        <v>222</v>
      </c>
      <c r="AH18" s="4">
        <v>2</v>
      </c>
      <c r="AI18" s="4">
        <v>86</v>
      </c>
      <c r="AJ18" s="4">
        <v>159</v>
      </c>
      <c r="AK18" s="4">
        <v>14</v>
      </c>
      <c r="AL18" s="4">
        <v>52</v>
      </c>
      <c r="AM18" s="4">
        <v>174</v>
      </c>
      <c r="AN18" s="4">
        <v>73</v>
      </c>
      <c r="AO18" s="4">
        <v>3</v>
      </c>
      <c r="AP18" s="4">
        <v>3</v>
      </c>
      <c r="AQ18" s="4">
        <v>6</v>
      </c>
      <c r="AR18" s="4">
        <v>5</v>
      </c>
      <c r="AS18" s="4">
        <v>5</v>
      </c>
      <c r="AT18" s="4">
        <v>4</v>
      </c>
      <c r="AU18" s="4">
        <v>28</v>
      </c>
      <c r="AV18" s="4">
        <v>6</v>
      </c>
      <c r="AW18" s="4">
        <v>14</v>
      </c>
      <c r="AX18" s="4">
        <v>5</v>
      </c>
      <c r="AY18" s="4">
        <v>17</v>
      </c>
      <c r="AZ18" s="4">
        <v>4</v>
      </c>
      <c r="BA18" s="4">
        <v>3</v>
      </c>
      <c r="BB18" s="44">
        <f>BB16+BB17</f>
        <v>7.9930000000000003</v>
      </c>
      <c r="BC18" s="42"/>
      <c r="BD18" s="42"/>
    </row>
    <row r="19" spans="1:56" x14ac:dyDescent="0.25">
      <c r="A19" s="12"/>
      <c r="B19" s="2" t="s">
        <v>14</v>
      </c>
      <c r="C19" s="2" t="s">
        <v>45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26</v>
      </c>
      <c r="Q19" s="4">
        <v>308</v>
      </c>
      <c r="R19" s="4">
        <v>360</v>
      </c>
      <c r="S19" s="4">
        <v>313</v>
      </c>
      <c r="T19" s="4">
        <v>428</v>
      </c>
      <c r="U19" s="4">
        <v>557</v>
      </c>
      <c r="V19" s="4">
        <v>669</v>
      </c>
      <c r="W19" s="4">
        <v>690</v>
      </c>
      <c r="X19" s="4">
        <v>760</v>
      </c>
      <c r="Y19" s="4">
        <v>710</v>
      </c>
      <c r="Z19" s="4">
        <v>822</v>
      </c>
      <c r="AA19" s="4">
        <v>770</v>
      </c>
      <c r="AB19" s="4">
        <v>855</v>
      </c>
      <c r="AC19" s="4">
        <v>970</v>
      </c>
      <c r="AD19" s="3">
        <v>1101</v>
      </c>
      <c r="AE19" s="3">
        <v>1105</v>
      </c>
      <c r="AF19" s="3">
        <v>1109</v>
      </c>
      <c r="AG19" s="3">
        <v>1110</v>
      </c>
      <c r="AH19" s="3">
        <v>1233</v>
      </c>
      <c r="AI19" s="3">
        <v>1258</v>
      </c>
      <c r="AJ19" s="3">
        <v>1233</v>
      </c>
      <c r="AK19" s="3">
        <v>1258</v>
      </c>
      <c r="AL19" s="3">
        <v>1345</v>
      </c>
      <c r="AM19" s="3">
        <v>1411</v>
      </c>
      <c r="AN19" s="3">
        <v>1497</v>
      </c>
      <c r="AO19" s="3">
        <v>1424</v>
      </c>
      <c r="AP19" s="3">
        <v>1403</v>
      </c>
      <c r="AQ19" s="3">
        <v>1514</v>
      </c>
      <c r="AR19" s="3">
        <v>1574</v>
      </c>
      <c r="AS19" s="3">
        <v>1590</v>
      </c>
      <c r="AT19" s="3">
        <v>1590</v>
      </c>
      <c r="AU19" s="3">
        <v>1682</v>
      </c>
      <c r="AV19" s="3">
        <v>1652</v>
      </c>
      <c r="AW19" s="3">
        <v>1669</v>
      </c>
      <c r="AX19" s="3">
        <v>1518</v>
      </c>
      <c r="AY19" s="3">
        <v>1648</v>
      </c>
      <c r="AZ19" s="3">
        <v>1550</v>
      </c>
      <c r="BA19" s="3">
        <v>1600</v>
      </c>
      <c r="BB19" s="45">
        <v>1600</v>
      </c>
      <c r="BC19" s="42"/>
      <c r="BD19" s="42"/>
    </row>
    <row r="20" spans="1:56" s="5" customFormat="1" x14ac:dyDescent="0.25">
      <c r="A20" s="12"/>
      <c r="B20" s="6"/>
      <c r="C20" s="6" t="s">
        <v>44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73</v>
      </c>
      <c r="R20" s="7">
        <v>167</v>
      </c>
      <c r="S20" s="7">
        <v>81</v>
      </c>
      <c r="T20" s="7">
        <v>86</v>
      </c>
      <c r="U20" s="7">
        <v>107</v>
      </c>
      <c r="V20" s="7">
        <v>122</v>
      </c>
      <c r="W20" s="7">
        <v>205</v>
      </c>
      <c r="X20" s="7">
        <v>380</v>
      </c>
      <c r="Y20" s="7">
        <v>300</v>
      </c>
      <c r="Z20" s="7">
        <v>335</v>
      </c>
      <c r="AA20" s="7">
        <v>234</v>
      </c>
      <c r="AB20" s="7">
        <v>360</v>
      </c>
      <c r="AC20" s="7">
        <v>296</v>
      </c>
      <c r="AD20" s="7">
        <v>289</v>
      </c>
      <c r="AE20" s="7">
        <v>320</v>
      </c>
      <c r="AF20" s="7">
        <v>305</v>
      </c>
      <c r="AG20" s="7">
        <v>372</v>
      </c>
      <c r="AH20" s="7">
        <v>260</v>
      </c>
      <c r="AI20" s="7">
        <v>276</v>
      </c>
      <c r="AJ20" s="7">
        <v>260</v>
      </c>
      <c r="AK20" s="7">
        <v>274</v>
      </c>
      <c r="AL20" s="7">
        <v>305</v>
      </c>
      <c r="AM20" s="7">
        <v>276</v>
      </c>
      <c r="AN20" s="7">
        <v>271</v>
      </c>
      <c r="AO20" s="7">
        <v>348</v>
      </c>
      <c r="AP20" s="7">
        <v>328</v>
      </c>
      <c r="AQ20" s="7">
        <v>348</v>
      </c>
      <c r="AR20" s="7">
        <v>316</v>
      </c>
      <c r="AS20" s="7">
        <v>314</v>
      </c>
      <c r="AT20" s="7">
        <v>326</v>
      </c>
      <c r="AU20" s="7">
        <v>338</v>
      </c>
      <c r="AV20" s="7">
        <v>314</v>
      </c>
      <c r="AW20" s="7">
        <v>338</v>
      </c>
      <c r="AX20" s="7">
        <v>407</v>
      </c>
      <c r="AY20" s="7">
        <v>310</v>
      </c>
      <c r="AZ20" s="7">
        <v>296</v>
      </c>
      <c r="BA20" s="7">
        <v>340</v>
      </c>
      <c r="BB20" s="48">
        <v>340</v>
      </c>
      <c r="BC20" s="43"/>
      <c r="BD20" s="43"/>
    </row>
    <row r="21" spans="1:56" ht="30" x14ac:dyDescent="0.25">
      <c r="A21" s="12"/>
      <c r="B21" s="2"/>
      <c r="C21" s="2" t="s">
        <v>43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241</v>
      </c>
      <c r="R21" s="4">
        <v>200</v>
      </c>
      <c r="S21" s="4">
        <v>235</v>
      </c>
      <c r="T21" s="4">
        <v>324</v>
      </c>
      <c r="U21" s="4">
        <v>452</v>
      </c>
      <c r="V21" s="4">
        <v>547</v>
      </c>
      <c r="W21" s="4">
        <v>455</v>
      </c>
      <c r="X21" s="4">
        <v>406</v>
      </c>
      <c r="Y21" s="4">
        <v>417</v>
      </c>
      <c r="Z21" s="4">
        <v>453</v>
      </c>
      <c r="AA21" s="4">
        <v>506</v>
      </c>
      <c r="AB21" s="4">
        <v>514</v>
      </c>
      <c r="AC21" s="4">
        <v>602</v>
      </c>
      <c r="AD21" s="4">
        <v>750</v>
      </c>
      <c r="AE21" s="4">
        <v>780</v>
      </c>
      <c r="AF21" s="4">
        <v>790</v>
      </c>
      <c r="AG21" s="4">
        <v>859</v>
      </c>
      <c r="AH21" s="4">
        <v>968</v>
      </c>
      <c r="AI21" s="4">
        <v>987</v>
      </c>
      <c r="AJ21" s="4">
        <v>968</v>
      </c>
      <c r="AK21" s="4">
        <v>987</v>
      </c>
      <c r="AL21" s="3">
        <v>1015</v>
      </c>
      <c r="AM21" s="3">
        <v>1122</v>
      </c>
      <c r="AN21" s="3">
        <v>1214</v>
      </c>
      <c r="AO21" s="3">
        <v>1092</v>
      </c>
      <c r="AP21" s="3">
        <v>1118</v>
      </c>
      <c r="AQ21" s="3">
        <v>1174</v>
      </c>
      <c r="AR21" s="3">
        <v>1245</v>
      </c>
      <c r="AS21" s="3">
        <v>1124</v>
      </c>
      <c r="AT21" s="3">
        <v>1114</v>
      </c>
      <c r="AU21" s="3">
        <v>1164</v>
      </c>
      <c r="AV21" s="3">
        <v>1198</v>
      </c>
      <c r="AW21" s="3">
        <v>1196</v>
      </c>
      <c r="AX21" s="3">
        <v>1005</v>
      </c>
      <c r="AY21" s="3">
        <v>1140</v>
      </c>
      <c r="AZ21" s="3">
        <v>1069</v>
      </c>
      <c r="BA21" s="3">
        <v>1155</v>
      </c>
      <c r="BB21" s="45">
        <v>1155</v>
      </c>
      <c r="BC21" s="42"/>
      <c r="BD21" s="42"/>
    </row>
    <row r="22" spans="1:56" s="5" customFormat="1" x14ac:dyDescent="0.25">
      <c r="A22" s="14"/>
      <c r="B22" s="6" t="s">
        <v>15</v>
      </c>
      <c r="C22" s="6" t="s">
        <v>6</v>
      </c>
      <c r="D22" s="7">
        <v>159</v>
      </c>
      <c r="E22" s="7">
        <v>172</v>
      </c>
      <c r="F22" s="7">
        <v>164</v>
      </c>
      <c r="G22" s="7">
        <v>139</v>
      </c>
      <c r="H22" s="7">
        <v>190</v>
      </c>
      <c r="I22" s="7">
        <v>184</v>
      </c>
      <c r="J22" s="7">
        <v>193</v>
      </c>
      <c r="K22" s="7">
        <v>211</v>
      </c>
      <c r="L22" s="7">
        <v>224</v>
      </c>
      <c r="M22" s="7">
        <v>219</v>
      </c>
      <c r="N22" s="7">
        <v>196</v>
      </c>
      <c r="O22" s="7">
        <v>149</v>
      </c>
      <c r="P22" s="7">
        <v>100</v>
      </c>
      <c r="Q22" s="7">
        <v>74</v>
      </c>
      <c r="R22" s="7">
        <v>97</v>
      </c>
      <c r="S22" s="7">
        <v>82</v>
      </c>
      <c r="T22" s="7">
        <v>45</v>
      </c>
      <c r="U22" s="7">
        <v>36</v>
      </c>
      <c r="V22" s="7">
        <v>42</v>
      </c>
      <c r="W22" s="7">
        <v>42</v>
      </c>
      <c r="X22" s="7">
        <v>92</v>
      </c>
      <c r="Y22" s="7">
        <v>57</v>
      </c>
      <c r="Z22" s="7">
        <v>66</v>
      </c>
      <c r="AA22" s="7">
        <v>112</v>
      </c>
      <c r="AB22" s="7">
        <v>17</v>
      </c>
      <c r="AC22" s="7">
        <v>11</v>
      </c>
      <c r="AD22" s="7">
        <v>5</v>
      </c>
      <c r="AE22" s="7">
        <v>4</v>
      </c>
      <c r="AF22" s="7">
        <v>2</v>
      </c>
      <c r="AG22" s="7">
        <v>1</v>
      </c>
      <c r="AH22" s="7">
        <v>1</v>
      </c>
      <c r="AI22" s="7">
        <v>1</v>
      </c>
      <c r="AJ22" s="7">
        <v>1</v>
      </c>
      <c r="AK22" s="7">
        <v>1</v>
      </c>
      <c r="AL22" s="7">
        <v>2</v>
      </c>
      <c r="AM22" s="7">
        <v>10</v>
      </c>
      <c r="AN22" s="7">
        <v>11</v>
      </c>
      <c r="AO22" s="7">
        <v>5</v>
      </c>
      <c r="AP22" s="7">
        <v>5</v>
      </c>
      <c r="AQ22" s="7">
        <v>6</v>
      </c>
      <c r="AR22" s="7">
        <v>2</v>
      </c>
      <c r="AS22" s="7">
        <v>3</v>
      </c>
      <c r="AT22" s="7">
        <v>6</v>
      </c>
      <c r="AU22" s="7">
        <v>10</v>
      </c>
      <c r="AV22" s="7">
        <v>13</v>
      </c>
      <c r="AW22" s="7">
        <v>8</v>
      </c>
      <c r="AX22" s="7">
        <v>6</v>
      </c>
      <c r="AY22" s="7">
        <v>8</v>
      </c>
      <c r="AZ22" s="7">
        <v>10</v>
      </c>
      <c r="BA22" s="7">
        <v>26</v>
      </c>
      <c r="BB22" s="47">
        <f>43677/1000</f>
        <v>43.677</v>
      </c>
      <c r="BC22" s="43">
        <f>37014/1000</f>
        <v>37.014000000000003</v>
      </c>
      <c r="BD22" s="43">
        <f>27130/1000</f>
        <v>27.13</v>
      </c>
    </row>
    <row r="23" spans="1:56" x14ac:dyDescent="0.25">
      <c r="A23" s="12"/>
      <c r="B23" s="2"/>
      <c r="C23" s="2" t="s">
        <v>7</v>
      </c>
      <c r="D23" s="4">
        <v>361</v>
      </c>
      <c r="E23" s="4">
        <v>413</v>
      </c>
      <c r="F23" s="4">
        <v>913</v>
      </c>
      <c r="G23" s="4">
        <v>834</v>
      </c>
      <c r="H23" s="4">
        <v>528</v>
      </c>
      <c r="I23" s="4">
        <v>600</v>
      </c>
      <c r="J23" s="4">
        <v>654</v>
      </c>
      <c r="K23" s="3">
        <v>1126</v>
      </c>
      <c r="L23" s="3">
        <v>1369</v>
      </c>
      <c r="M23" s="3">
        <v>1254</v>
      </c>
      <c r="N23" s="3">
        <v>1384</v>
      </c>
      <c r="O23" s="3">
        <v>1778</v>
      </c>
      <c r="P23" s="3">
        <v>1772</v>
      </c>
      <c r="Q23" s="3">
        <v>1427</v>
      </c>
      <c r="R23" s="3">
        <v>1584</v>
      </c>
      <c r="S23" s="3">
        <v>1857</v>
      </c>
      <c r="T23" s="3">
        <v>1979</v>
      </c>
      <c r="U23" s="3">
        <v>1587</v>
      </c>
      <c r="V23" s="3">
        <v>1652</v>
      </c>
      <c r="W23" s="3">
        <v>1810</v>
      </c>
      <c r="X23" s="3">
        <v>2095</v>
      </c>
      <c r="Y23" s="3">
        <v>1868</v>
      </c>
      <c r="Z23" s="3">
        <v>1880</v>
      </c>
      <c r="AA23" s="3">
        <v>2351</v>
      </c>
      <c r="AB23" s="3">
        <v>3111</v>
      </c>
      <c r="AC23" s="3">
        <v>3032</v>
      </c>
      <c r="AD23" s="3">
        <v>3895</v>
      </c>
      <c r="AE23" s="3">
        <v>4459</v>
      </c>
      <c r="AF23" s="3">
        <v>2822</v>
      </c>
      <c r="AG23" s="3">
        <v>2009</v>
      </c>
      <c r="AH23" s="3">
        <v>4206</v>
      </c>
      <c r="AI23" s="3">
        <v>4396</v>
      </c>
      <c r="AJ23" s="3">
        <v>3994</v>
      </c>
      <c r="AK23" s="3">
        <v>5647</v>
      </c>
      <c r="AL23" s="3">
        <v>4293</v>
      </c>
      <c r="AM23" s="3">
        <v>2554</v>
      </c>
      <c r="AN23" s="3">
        <v>3465</v>
      </c>
      <c r="AO23" s="3">
        <v>3917</v>
      </c>
      <c r="AP23" s="3">
        <v>4689</v>
      </c>
      <c r="AQ23" s="3">
        <v>3811</v>
      </c>
      <c r="AR23" s="3">
        <v>3127</v>
      </c>
      <c r="AS23" s="3">
        <v>3979</v>
      </c>
      <c r="AT23" s="3">
        <v>4052</v>
      </c>
      <c r="AU23" s="3">
        <v>3434</v>
      </c>
      <c r="AV23" s="3">
        <v>3591</v>
      </c>
      <c r="AW23" s="3">
        <v>3884</v>
      </c>
      <c r="AX23" s="3">
        <v>3439</v>
      </c>
      <c r="AY23" s="3">
        <v>3092</v>
      </c>
      <c r="AZ23" s="3">
        <v>3371</v>
      </c>
      <c r="BA23" s="3">
        <v>4470</v>
      </c>
      <c r="BB23" s="44">
        <f>4671336/1000</f>
        <v>4671.3360000000002</v>
      </c>
      <c r="BC23" s="42"/>
      <c r="BD23" s="42"/>
    </row>
    <row r="24" spans="1:56" s="5" customFormat="1" x14ac:dyDescent="0.25">
      <c r="A24" s="14"/>
      <c r="B24" s="6"/>
      <c r="C24" s="6" t="s">
        <v>8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4</v>
      </c>
      <c r="AE24" s="7">
        <v>5</v>
      </c>
      <c r="AF24" s="7">
        <v>5</v>
      </c>
      <c r="AG24" s="7">
        <v>8</v>
      </c>
      <c r="AH24" s="7">
        <v>25</v>
      </c>
      <c r="AI24" s="7">
        <v>27</v>
      </c>
      <c r="AJ24" s="7">
        <v>38</v>
      </c>
      <c r="AK24" s="7">
        <v>32</v>
      </c>
      <c r="AL24" s="7">
        <v>50</v>
      </c>
      <c r="AM24" s="7">
        <v>59</v>
      </c>
      <c r="AN24" s="7">
        <v>65</v>
      </c>
      <c r="AO24" s="7">
        <v>82</v>
      </c>
      <c r="AP24" s="7">
        <v>96</v>
      </c>
      <c r="AQ24" s="7">
        <v>124</v>
      </c>
      <c r="AR24" s="7">
        <v>128</v>
      </c>
      <c r="AS24" s="7">
        <v>122</v>
      </c>
      <c r="AT24" s="7">
        <v>123</v>
      </c>
      <c r="AU24" s="7">
        <v>131</v>
      </c>
      <c r="AV24" s="7">
        <v>126</v>
      </c>
      <c r="AW24" s="7">
        <v>94</v>
      </c>
      <c r="AX24" s="7">
        <v>87</v>
      </c>
      <c r="AY24" s="7">
        <v>92</v>
      </c>
      <c r="AZ24" s="7">
        <v>94</v>
      </c>
      <c r="BA24" s="7">
        <v>105</v>
      </c>
      <c r="BB24" s="47">
        <f>2/1000</f>
        <v>2E-3</v>
      </c>
      <c r="BC24" s="43"/>
      <c r="BD24" s="43"/>
    </row>
    <row r="25" spans="1:56" x14ac:dyDescent="0.25">
      <c r="A25" s="12"/>
      <c r="B25" s="2"/>
      <c r="C25" s="2" t="s">
        <v>9</v>
      </c>
      <c r="D25" s="4">
        <v>520</v>
      </c>
      <c r="E25" s="4">
        <v>585</v>
      </c>
      <c r="F25" s="3">
        <v>1077</v>
      </c>
      <c r="G25" s="4">
        <v>973</v>
      </c>
      <c r="H25" s="4">
        <v>718</v>
      </c>
      <c r="I25" s="4">
        <v>784</v>
      </c>
      <c r="J25" s="4">
        <v>847</v>
      </c>
      <c r="K25" s="3">
        <v>1242</v>
      </c>
      <c r="L25" s="3">
        <v>1402</v>
      </c>
      <c r="M25" s="3">
        <v>1421</v>
      </c>
      <c r="N25" s="3">
        <v>1656</v>
      </c>
      <c r="O25" s="3">
        <v>2033</v>
      </c>
      <c r="P25" s="3">
        <v>1896</v>
      </c>
      <c r="Q25" s="3">
        <v>1497</v>
      </c>
      <c r="R25" s="3">
        <v>1704</v>
      </c>
      <c r="S25" s="3">
        <v>1816</v>
      </c>
      <c r="T25" s="3">
        <v>1981</v>
      </c>
      <c r="U25" s="3">
        <v>1691</v>
      </c>
      <c r="V25" s="3">
        <v>1741</v>
      </c>
      <c r="W25" s="3">
        <v>1874</v>
      </c>
      <c r="X25" s="3">
        <v>2069</v>
      </c>
      <c r="Y25" s="3">
        <v>1983</v>
      </c>
      <c r="Z25" s="3">
        <v>1980</v>
      </c>
      <c r="AA25" s="3">
        <v>2356</v>
      </c>
      <c r="AB25" s="3">
        <v>2988</v>
      </c>
      <c r="AC25" s="3">
        <v>3145</v>
      </c>
      <c r="AD25" s="3">
        <v>3844</v>
      </c>
      <c r="AE25" s="3">
        <v>4282</v>
      </c>
      <c r="AF25" s="3">
        <v>3283</v>
      </c>
      <c r="AG25" s="3">
        <v>1992</v>
      </c>
      <c r="AH25" s="3">
        <v>3525</v>
      </c>
      <c r="AI25" s="3">
        <v>4846</v>
      </c>
      <c r="AJ25" s="3">
        <v>3481</v>
      </c>
      <c r="AK25" s="3">
        <v>5619</v>
      </c>
      <c r="AL25" s="3">
        <v>4245</v>
      </c>
      <c r="AM25" s="3">
        <v>2496</v>
      </c>
      <c r="AN25" s="3">
        <v>3351</v>
      </c>
      <c r="AO25" s="3">
        <v>3850</v>
      </c>
      <c r="AP25" s="3">
        <v>4548</v>
      </c>
      <c r="AQ25" s="3">
        <v>3493</v>
      </c>
      <c r="AR25" s="3">
        <v>3001</v>
      </c>
      <c r="AS25" s="3">
        <v>3810</v>
      </c>
      <c r="AT25" s="3">
        <v>4050</v>
      </c>
      <c r="AU25" s="3">
        <v>3340</v>
      </c>
      <c r="AV25" s="3">
        <v>3500</v>
      </c>
      <c r="AW25" s="3">
        <v>3900</v>
      </c>
      <c r="AX25" s="3">
        <v>3300</v>
      </c>
      <c r="AY25" s="3">
        <v>3000</v>
      </c>
      <c r="AZ25" s="3">
        <v>3050</v>
      </c>
      <c r="BA25" s="3">
        <v>4450</v>
      </c>
      <c r="BB25" s="44">
        <f>BB22+BB23-BB24</f>
        <v>4715.0109999999995</v>
      </c>
      <c r="BC25" s="42"/>
      <c r="BD25" s="42"/>
    </row>
  </sheetData>
  <pageMargins left="0.7" right="0.7" top="0.75" bottom="0.75" header="0.3" footer="0.3"/>
  <pageSetup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9"/>
  <sheetViews>
    <sheetView workbookViewId="0">
      <pane xSplit="6" ySplit="15" topLeftCell="G26" activePane="bottomRight" state="frozen"/>
      <selection pane="topRight" activeCell="G1" sqref="G1"/>
      <selection pane="bottomLeft" activeCell="A16" sqref="A16"/>
      <selection pane="bottomRight" activeCell="BB5" sqref="BB5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4" width="11.28515625" customWidth="1"/>
    <col min="55" max="56" width="10.5703125" bestFit="1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s="5" customFormat="1" x14ac:dyDescent="0.25">
      <c r="A2" s="14" t="s">
        <v>26</v>
      </c>
      <c r="B2" s="6" t="s">
        <v>5</v>
      </c>
      <c r="C2" s="6" t="s">
        <v>6</v>
      </c>
      <c r="D2" s="8">
        <v>5386</v>
      </c>
      <c r="E2" s="8">
        <v>5561</v>
      </c>
      <c r="F2" s="8">
        <v>5450</v>
      </c>
      <c r="G2" s="8">
        <v>6690</v>
      </c>
      <c r="H2" s="8">
        <v>7500</v>
      </c>
      <c r="I2" s="8">
        <v>8000</v>
      </c>
      <c r="J2" s="8">
        <v>8200</v>
      </c>
      <c r="K2" s="8">
        <v>8000</v>
      </c>
      <c r="L2" s="8">
        <v>8500</v>
      </c>
      <c r="M2" s="8">
        <v>6500</v>
      </c>
      <c r="N2" s="8">
        <v>8900</v>
      </c>
      <c r="O2" s="8">
        <v>9100</v>
      </c>
      <c r="P2" s="8">
        <v>8100</v>
      </c>
      <c r="Q2" s="8">
        <v>9000</v>
      </c>
      <c r="R2" s="8">
        <v>7780</v>
      </c>
      <c r="S2" s="8">
        <v>9300</v>
      </c>
      <c r="T2" s="8">
        <v>9600</v>
      </c>
      <c r="U2" s="8">
        <v>9700</v>
      </c>
      <c r="V2" s="8">
        <v>10200</v>
      </c>
      <c r="W2" s="8">
        <v>9200</v>
      </c>
      <c r="X2" s="8">
        <v>10400</v>
      </c>
      <c r="Y2" s="8">
        <v>12500</v>
      </c>
      <c r="Z2" s="8">
        <v>7000</v>
      </c>
      <c r="AA2" s="8">
        <v>9300</v>
      </c>
      <c r="AB2" s="8">
        <v>9900</v>
      </c>
      <c r="AC2" s="8">
        <v>10500</v>
      </c>
      <c r="AD2" s="8">
        <v>10000</v>
      </c>
      <c r="AE2" s="8">
        <v>9900</v>
      </c>
      <c r="AF2" s="8">
        <v>10100</v>
      </c>
      <c r="AG2" s="8">
        <v>9750</v>
      </c>
      <c r="AH2" s="8">
        <v>14100</v>
      </c>
      <c r="AI2" s="8">
        <v>14689</v>
      </c>
      <c r="AJ2" s="8">
        <v>18631</v>
      </c>
      <c r="AK2" s="8">
        <v>19276</v>
      </c>
      <c r="AL2" s="8">
        <v>16994</v>
      </c>
      <c r="AM2" s="8">
        <v>17780</v>
      </c>
      <c r="AN2" s="8">
        <v>18922</v>
      </c>
      <c r="AO2" s="8">
        <v>17368</v>
      </c>
      <c r="AP2" s="8">
        <v>17789</v>
      </c>
      <c r="AQ2" s="8">
        <v>19240</v>
      </c>
      <c r="AR2" s="8">
        <v>17917</v>
      </c>
      <c r="AS2" s="8">
        <v>20400</v>
      </c>
      <c r="AT2" s="8">
        <v>19280</v>
      </c>
      <c r="AU2" s="8">
        <v>21800</v>
      </c>
      <c r="AV2" s="8">
        <v>22050</v>
      </c>
      <c r="AW2" s="8">
        <v>19500</v>
      </c>
      <c r="AX2" s="8">
        <v>22350</v>
      </c>
      <c r="AY2" s="8">
        <v>23600</v>
      </c>
      <c r="AZ2" s="8">
        <v>24226</v>
      </c>
      <c r="BA2" s="8">
        <v>20374</v>
      </c>
      <c r="BB2" s="47">
        <f>17635417/1000</f>
        <v>17635.417000000001</v>
      </c>
      <c r="BC2" s="43">
        <f>22069254/1000</f>
        <v>22069.254000000001</v>
      </c>
      <c r="BD2" s="43">
        <f>22663953/1000</f>
        <v>22663.953000000001</v>
      </c>
    </row>
    <row r="3" spans="1:56" x14ac:dyDescent="0.25">
      <c r="A3" s="12"/>
      <c r="B3" s="2"/>
      <c r="C3" s="2" t="s">
        <v>7</v>
      </c>
      <c r="D3" s="4">
        <v>61</v>
      </c>
      <c r="E3" s="4">
        <v>20</v>
      </c>
      <c r="F3" s="4">
        <v>450</v>
      </c>
      <c r="G3" s="4">
        <v>117</v>
      </c>
      <c r="H3" s="4">
        <v>20</v>
      </c>
      <c r="I3" s="4">
        <v>14</v>
      </c>
      <c r="J3" s="4">
        <v>15</v>
      </c>
      <c r="K3" s="4">
        <v>25</v>
      </c>
      <c r="L3" s="4">
        <v>18</v>
      </c>
      <c r="M3" s="4">
        <v>780</v>
      </c>
      <c r="N3" s="4">
        <v>139</v>
      </c>
      <c r="O3" s="4">
        <v>37</v>
      </c>
      <c r="P3" s="3">
        <v>1300</v>
      </c>
      <c r="Q3" s="3">
        <v>1200</v>
      </c>
      <c r="R3" s="3">
        <v>2100</v>
      </c>
      <c r="S3" s="3">
        <v>1450</v>
      </c>
      <c r="T3" s="3">
        <v>1500</v>
      </c>
      <c r="U3" s="3">
        <v>1690</v>
      </c>
      <c r="V3" s="4">
        <v>630</v>
      </c>
      <c r="W3" s="3">
        <v>3870</v>
      </c>
      <c r="X3" s="3">
        <v>3833</v>
      </c>
      <c r="Y3" s="4">
        <v>571</v>
      </c>
      <c r="Z3" s="3">
        <v>4003</v>
      </c>
      <c r="AA3" s="3">
        <v>2459</v>
      </c>
      <c r="AB3" s="3">
        <v>1684</v>
      </c>
      <c r="AC3" s="3">
        <v>1736</v>
      </c>
      <c r="AD3" s="3">
        <v>3256</v>
      </c>
      <c r="AE3" s="3">
        <v>2899</v>
      </c>
      <c r="AF3" s="3">
        <v>3138</v>
      </c>
      <c r="AG3" s="3">
        <v>4995</v>
      </c>
      <c r="AH3" s="3">
        <v>1939</v>
      </c>
      <c r="AI3" s="3">
        <v>1024</v>
      </c>
      <c r="AJ3" s="4">
        <v>396</v>
      </c>
      <c r="AK3" s="3">
        <v>1691</v>
      </c>
      <c r="AL3" s="3">
        <v>3166</v>
      </c>
      <c r="AM3" s="3">
        <v>6433</v>
      </c>
      <c r="AN3" s="3">
        <v>3141</v>
      </c>
      <c r="AO3" s="3">
        <v>4376</v>
      </c>
      <c r="AP3" s="3">
        <v>5615</v>
      </c>
      <c r="AQ3" s="3">
        <v>4911</v>
      </c>
      <c r="AR3" s="3">
        <v>6017</v>
      </c>
      <c r="AS3" s="3">
        <v>4076</v>
      </c>
      <c r="AT3" s="3">
        <v>5269</v>
      </c>
      <c r="AU3" s="3">
        <v>5739</v>
      </c>
      <c r="AV3" s="3">
        <v>5945</v>
      </c>
      <c r="AW3" s="3">
        <v>6787</v>
      </c>
      <c r="AX3" s="3">
        <v>8944</v>
      </c>
      <c r="AY3" s="3">
        <v>9556</v>
      </c>
      <c r="AZ3" s="3">
        <v>7764</v>
      </c>
      <c r="BA3" s="3">
        <v>8298</v>
      </c>
      <c r="BB3" s="44">
        <f>9476171/1000</f>
        <v>9476.1710000000003</v>
      </c>
      <c r="BC3" s="42"/>
      <c r="BD3" s="42"/>
    </row>
    <row r="4" spans="1:56" s="5" customFormat="1" x14ac:dyDescent="0.25">
      <c r="A4" s="14"/>
      <c r="B4" s="6"/>
      <c r="C4" s="6" t="s">
        <v>8</v>
      </c>
      <c r="D4" s="7">
        <v>53</v>
      </c>
      <c r="E4" s="7">
        <v>3</v>
      </c>
      <c r="F4" s="7">
        <v>0</v>
      </c>
      <c r="G4" s="7">
        <v>66</v>
      </c>
      <c r="H4" s="8">
        <v>1170</v>
      </c>
      <c r="I4" s="8">
        <v>1105</v>
      </c>
      <c r="J4" s="8">
        <v>1055</v>
      </c>
      <c r="K4" s="7">
        <v>921</v>
      </c>
      <c r="L4" s="7">
        <v>938</v>
      </c>
      <c r="M4" s="7">
        <v>61</v>
      </c>
      <c r="N4" s="7">
        <v>293</v>
      </c>
      <c r="O4" s="7">
        <v>469</v>
      </c>
      <c r="P4" s="7">
        <v>96</v>
      </c>
      <c r="Q4" s="7">
        <v>0</v>
      </c>
      <c r="R4" s="7">
        <v>0</v>
      </c>
      <c r="S4" s="7">
        <v>4</v>
      </c>
      <c r="T4" s="7">
        <v>40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0</v>
      </c>
      <c r="AC4" s="7">
        <v>0</v>
      </c>
      <c r="AD4" s="7">
        <v>0</v>
      </c>
      <c r="AE4" s="7">
        <v>0</v>
      </c>
      <c r="AF4" s="7">
        <v>0</v>
      </c>
      <c r="AG4" s="7">
        <v>0</v>
      </c>
      <c r="AH4" s="7">
        <v>0</v>
      </c>
      <c r="AI4" s="7">
        <v>12</v>
      </c>
      <c r="AJ4" s="7">
        <v>8</v>
      </c>
      <c r="AK4" s="7">
        <v>113</v>
      </c>
      <c r="AL4" s="7">
        <v>74</v>
      </c>
      <c r="AM4" s="7">
        <v>72</v>
      </c>
      <c r="AN4" s="7">
        <v>123</v>
      </c>
      <c r="AO4" s="7">
        <v>258</v>
      </c>
      <c r="AP4" s="7">
        <v>16</v>
      </c>
      <c r="AQ4" s="7">
        <v>8</v>
      </c>
      <c r="AR4" s="7">
        <v>17</v>
      </c>
      <c r="AS4" s="7">
        <v>164</v>
      </c>
      <c r="AT4" s="7">
        <v>7</v>
      </c>
      <c r="AU4" s="7">
        <v>5</v>
      </c>
      <c r="AV4" s="7">
        <v>27</v>
      </c>
      <c r="AW4" s="7">
        <v>209</v>
      </c>
      <c r="AX4" s="7">
        <v>217</v>
      </c>
      <c r="AY4" s="7">
        <v>109</v>
      </c>
      <c r="AZ4" s="7">
        <v>162</v>
      </c>
      <c r="BA4" s="7">
        <v>642</v>
      </c>
      <c r="BB4" s="47">
        <f>101019/1000</f>
        <v>101.01900000000001</v>
      </c>
      <c r="BC4" s="43"/>
      <c r="BD4" s="43"/>
    </row>
    <row r="5" spans="1:56" x14ac:dyDescent="0.25">
      <c r="A5" s="12"/>
      <c r="B5" s="2"/>
      <c r="C5" s="2" t="s">
        <v>9</v>
      </c>
      <c r="D5" s="3">
        <v>5399</v>
      </c>
      <c r="E5" s="3">
        <v>5497</v>
      </c>
      <c r="F5" s="3">
        <v>5700</v>
      </c>
      <c r="G5" s="3">
        <v>6000</v>
      </c>
      <c r="H5" s="3">
        <v>6500</v>
      </c>
      <c r="I5" s="3">
        <v>7010</v>
      </c>
      <c r="J5" s="3">
        <v>7410</v>
      </c>
      <c r="K5" s="3">
        <v>7520</v>
      </c>
      <c r="L5" s="3">
        <v>7810</v>
      </c>
      <c r="M5" s="3">
        <v>7300</v>
      </c>
      <c r="N5" s="3">
        <v>8300</v>
      </c>
      <c r="O5" s="3">
        <v>9092</v>
      </c>
      <c r="P5" s="3">
        <v>9254</v>
      </c>
      <c r="Q5" s="3">
        <v>9800</v>
      </c>
      <c r="R5" s="3">
        <v>9980</v>
      </c>
      <c r="S5" s="3">
        <v>10570</v>
      </c>
      <c r="T5" s="3">
        <v>10980</v>
      </c>
      <c r="U5" s="3">
        <v>11300</v>
      </c>
      <c r="V5" s="3">
        <v>11400</v>
      </c>
      <c r="W5" s="3">
        <v>12700</v>
      </c>
      <c r="X5" s="3">
        <v>12800</v>
      </c>
      <c r="Y5" s="3">
        <v>13518</v>
      </c>
      <c r="Z5" s="3">
        <v>12300</v>
      </c>
      <c r="AA5" s="3">
        <v>11600</v>
      </c>
      <c r="AB5" s="3">
        <v>11800</v>
      </c>
      <c r="AC5" s="3">
        <v>11986</v>
      </c>
      <c r="AD5" s="3">
        <v>13106</v>
      </c>
      <c r="AE5" s="3">
        <v>13024</v>
      </c>
      <c r="AF5" s="3">
        <v>13447</v>
      </c>
      <c r="AG5" s="3">
        <v>13989</v>
      </c>
      <c r="AH5" s="3">
        <v>15239</v>
      </c>
      <c r="AI5" s="3">
        <v>16451</v>
      </c>
      <c r="AJ5" s="3">
        <v>18461</v>
      </c>
      <c r="AK5" s="3">
        <v>20500</v>
      </c>
      <c r="AL5" s="3">
        <v>20250</v>
      </c>
      <c r="AM5" s="3">
        <v>23200</v>
      </c>
      <c r="AN5" s="3">
        <v>22090</v>
      </c>
      <c r="AO5" s="3">
        <v>22000</v>
      </c>
      <c r="AP5" s="3">
        <v>23040</v>
      </c>
      <c r="AQ5" s="3">
        <v>23660</v>
      </c>
      <c r="AR5" s="3">
        <v>24000</v>
      </c>
      <c r="AS5" s="3">
        <v>23600</v>
      </c>
      <c r="AT5" s="3">
        <v>24700</v>
      </c>
      <c r="AU5" s="3">
        <v>26400</v>
      </c>
      <c r="AV5" s="3">
        <v>27900</v>
      </c>
      <c r="AW5" s="3">
        <v>27900</v>
      </c>
      <c r="AX5" s="3">
        <v>30700</v>
      </c>
      <c r="AY5" s="3">
        <v>32000</v>
      </c>
      <c r="AZ5" s="3">
        <v>32400</v>
      </c>
      <c r="BA5" s="3">
        <v>30200</v>
      </c>
      <c r="BB5" s="44">
        <f>BB2+BB3-BB4</f>
        <v>27010.569000000003</v>
      </c>
      <c r="BC5" s="42"/>
      <c r="BD5" s="42"/>
    </row>
    <row r="6" spans="1:56" s="5" customFormat="1" x14ac:dyDescent="0.25">
      <c r="A6" s="14"/>
      <c r="B6" s="6" t="s">
        <v>10</v>
      </c>
      <c r="C6" s="6" t="s">
        <v>6</v>
      </c>
      <c r="D6" s="8">
        <v>2100</v>
      </c>
      <c r="E6" s="8">
        <v>1995</v>
      </c>
      <c r="F6" s="8">
        <v>2425</v>
      </c>
      <c r="G6" s="8">
        <v>2109</v>
      </c>
      <c r="H6" s="8">
        <v>2400</v>
      </c>
      <c r="I6" s="8">
        <v>2625</v>
      </c>
      <c r="J6" s="8">
        <v>2250</v>
      </c>
      <c r="K6" s="8">
        <v>2000</v>
      </c>
      <c r="L6" s="8">
        <v>2450</v>
      </c>
      <c r="M6" s="8">
        <v>1750</v>
      </c>
      <c r="N6" s="8">
        <v>1450</v>
      </c>
      <c r="O6" s="8">
        <v>1710</v>
      </c>
      <c r="P6" s="8">
        <v>1790</v>
      </c>
      <c r="Q6" s="8">
        <v>1470</v>
      </c>
      <c r="R6" s="8">
        <v>2230</v>
      </c>
      <c r="S6" s="7">
        <v>902</v>
      </c>
      <c r="T6" s="8">
        <v>1005</v>
      </c>
      <c r="U6" s="8">
        <v>1610</v>
      </c>
      <c r="V6" s="8">
        <v>1550</v>
      </c>
      <c r="W6" s="8">
        <v>1500</v>
      </c>
      <c r="X6" s="8">
        <v>1595</v>
      </c>
      <c r="Y6" s="8">
        <v>1424</v>
      </c>
      <c r="Z6" s="7">
        <v>830</v>
      </c>
      <c r="AA6" s="7">
        <v>996</v>
      </c>
      <c r="AB6" s="8">
        <v>1241</v>
      </c>
      <c r="AC6" s="7">
        <v>958</v>
      </c>
      <c r="AD6" s="7">
        <v>636</v>
      </c>
      <c r="AE6" s="8">
        <v>1014</v>
      </c>
      <c r="AF6" s="8">
        <v>1402</v>
      </c>
      <c r="AG6" s="7">
        <v>751</v>
      </c>
      <c r="AH6" s="7">
        <v>857</v>
      </c>
      <c r="AI6" s="7">
        <v>898</v>
      </c>
      <c r="AJ6" s="7">
        <v>147</v>
      </c>
      <c r="AK6" s="7">
        <v>122</v>
      </c>
      <c r="AL6" s="7">
        <v>460</v>
      </c>
      <c r="AM6" s="7">
        <v>974</v>
      </c>
      <c r="AN6" s="8">
        <v>1078</v>
      </c>
      <c r="AO6" s="7">
        <v>984</v>
      </c>
      <c r="AP6" s="8">
        <v>1039</v>
      </c>
      <c r="AQ6" s="7">
        <v>669</v>
      </c>
      <c r="AR6" s="7">
        <v>394</v>
      </c>
      <c r="AS6" s="7">
        <v>432</v>
      </c>
      <c r="AT6" s="7">
        <v>205</v>
      </c>
      <c r="AU6" s="7">
        <v>357</v>
      </c>
      <c r="AV6" s="7">
        <v>625</v>
      </c>
      <c r="AW6" s="7">
        <v>635</v>
      </c>
      <c r="AX6" s="7">
        <v>650</v>
      </c>
      <c r="AY6" s="7">
        <v>620</v>
      </c>
      <c r="AZ6" s="7">
        <v>567</v>
      </c>
      <c r="BA6" s="7">
        <v>422</v>
      </c>
      <c r="BB6" s="47">
        <v>683</v>
      </c>
      <c r="BC6" s="43">
        <f>274000/1000</f>
        <v>274</v>
      </c>
      <c r="BD6" s="43">
        <f>231000/1000</f>
        <v>231</v>
      </c>
    </row>
    <row r="7" spans="1:56" x14ac:dyDescent="0.25">
      <c r="A7" s="12"/>
      <c r="B7" s="2"/>
      <c r="C7" s="2" t="s">
        <v>7</v>
      </c>
      <c r="D7" s="4">
        <v>1</v>
      </c>
      <c r="E7" s="4">
        <v>1</v>
      </c>
      <c r="F7" s="4">
        <v>1</v>
      </c>
      <c r="G7" s="4">
        <v>1</v>
      </c>
      <c r="H7" s="4">
        <v>2</v>
      </c>
      <c r="I7" s="4">
        <v>2</v>
      </c>
      <c r="J7" s="4">
        <v>2</v>
      </c>
      <c r="K7" s="4">
        <v>2</v>
      </c>
      <c r="L7" s="4">
        <v>2</v>
      </c>
      <c r="M7" s="4">
        <v>3</v>
      </c>
      <c r="N7" s="4">
        <v>6</v>
      </c>
      <c r="O7" s="4">
        <v>2</v>
      </c>
      <c r="P7" s="4">
        <v>1</v>
      </c>
      <c r="Q7" s="4">
        <v>1</v>
      </c>
      <c r="R7" s="4">
        <v>0</v>
      </c>
      <c r="S7" s="4">
        <v>1</v>
      </c>
      <c r="T7" s="4">
        <v>1</v>
      </c>
      <c r="U7" s="4">
        <v>1</v>
      </c>
      <c r="V7" s="4">
        <v>1</v>
      </c>
      <c r="W7" s="4">
        <v>1</v>
      </c>
      <c r="X7" s="4">
        <v>1</v>
      </c>
      <c r="Y7" s="4">
        <v>1</v>
      </c>
      <c r="Z7" s="4">
        <v>15</v>
      </c>
      <c r="AA7" s="4">
        <v>7</v>
      </c>
      <c r="AB7" s="4">
        <v>0</v>
      </c>
      <c r="AC7" s="4">
        <v>20</v>
      </c>
      <c r="AD7" s="4">
        <v>180</v>
      </c>
      <c r="AE7" s="4">
        <v>15</v>
      </c>
      <c r="AF7" s="4">
        <v>39</v>
      </c>
      <c r="AG7" s="4">
        <v>142</v>
      </c>
      <c r="AH7" s="4">
        <v>211</v>
      </c>
      <c r="AI7" s="4">
        <v>300</v>
      </c>
      <c r="AJ7" s="4">
        <v>656</v>
      </c>
      <c r="AK7" s="4">
        <v>794</v>
      </c>
      <c r="AL7" s="4">
        <v>580</v>
      </c>
      <c r="AM7" s="4">
        <v>528</v>
      </c>
      <c r="AN7" s="4">
        <v>894</v>
      </c>
      <c r="AO7" s="3">
        <v>1371</v>
      </c>
      <c r="AP7" s="3">
        <v>1422</v>
      </c>
      <c r="AQ7" s="3">
        <v>1813</v>
      </c>
      <c r="AR7" s="3">
        <v>1865</v>
      </c>
      <c r="AS7" s="3">
        <v>2065</v>
      </c>
      <c r="AT7" s="3">
        <v>2330</v>
      </c>
      <c r="AU7" s="3">
        <v>1858</v>
      </c>
      <c r="AV7" s="3">
        <v>1810</v>
      </c>
      <c r="AW7" s="3">
        <v>1744</v>
      </c>
      <c r="AX7" s="3">
        <v>1353</v>
      </c>
      <c r="AY7" s="3">
        <v>1530</v>
      </c>
      <c r="AZ7" s="3">
        <v>1315</v>
      </c>
      <c r="BA7" s="3">
        <v>1393</v>
      </c>
      <c r="BB7" s="44">
        <v>1350</v>
      </c>
      <c r="BC7" s="42">
        <f>264488/1000</f>
        <v>264.488</v>
      </c>
      <c r="BD7" s="42"/>
    </row>
    <row r="8" spans="1:56" s="5" customFormat="1" x14ac:dyDescent="0.25">
      <c r="A8" s="14"/>
      <c r="B8" s="6"/>
      <c r="C8" s="6" t="s">
        <v>8</v>
      </c>
      <c r="D8" s="8">
        <v>1610</v>
      </c>
      <c r="E8" s="8">
        <v>1482</v>
      </c>
      <c r="F8" s="8">
        <v>1897</v>
      </c>
      <c r="G8" s="8">
        <v>1426</v>
      </c>
      <c r="H8" s="8">
        <v>1616</v>
      </c>
      <c r="I8" s="8">
        <v>2127</v>
      </c>
      <c r="J8" s="8">
        <v>1518</v>
      </c>
      <c r="K8" s="8">
        <v>1327</v>
      </c>
      <c r="L8" s="8">
        <v>1641</v>
      </c>
      <c r="M8" s="8">
        <v>1266</v>
      </c>
      <c r="N8" s="7">
        <v>802</v>
      </c>
      <c r="O8" s="7">
        <v>944</v>
      </c>
      <c r="P8" s="7">
        <v>940</v>
      </c>
      <c r="Q8" s="7">
        <v>767</v>
      </c>
      <c r="R8" s="7">
        <v>891</v>
      </c>
      <c r="S8" s="7">
        <v>536</v>
      </c>
      <c r="T8" s="7">
        <v>542</v>
      </c>
      <c r="U8" s="7">
        <v>597</v>
      </c>
      <c r="V8" s="7">
        <v>963</v>
      </c>
      <c r="W8" s="7">
        <v>913</v>
      </c>
      <c r="X8" s="7">
        <v>818</v>
      </c>
      <c r="Y8" s="7">
        <v>756</v>
      </c>
      <c r="Z8" s="7">
        <v>395</v>
      </c>
      <c r="AA8" s="7">
        <v>475</v>
      </c>
      <c r="AB8" s="7">
        <v>575</v>
      </c>
      <c r="AC8" s="7">
        <v>380</v>
      </c>
      <c r="AD8" s="7">
        <v>220</v>
      </c>
      <c r="AE8" s="7">
        <v>375</v>
      </c>
      <c r="AF8" s="7">
        <v>561</v>
      </c>
      <c r="AG8" s="7">
        <v>212</v>
      </c>
      <c r="AH8" s="7">
        <v>223</v>
      </c>
      <c r="AI8" s="7">
        <v>248</v>
      </c>
      <c r="AJ8" s="7">
        <v>25</v>
      </c>
      <c r="AK8" s="7">
        <v>34</v>
      </c>
      <c r="AL8" s="7">
        <v>185</v>
      </c>
      <c r="AM8" s="7">
        <v>221</v>
      </c>
      <c r="AN8" s="7">
        <v>349</v>
      </c>
      <c r="AO8" s="7">
        <v>204</v>
      </c>
      <c r="AP8" s="7">
        <v>103</v>
      </c>
      <c r="AQ8" s="7">
        <v>134</v>
      </c>
      <c r="AR8" s="7">
        <v>80</v>
      </c>
      <c r="AS8" s="7">
        <v>90</v>
      </c>
      <c r="AT8" s="7">
        <v>64</v>
      </c>
      <c r="AU8" s="7">
        <v>114</v>
      </c>
      <c r="AV8" s="7">
        <v>135</v>
      </c>
      <c r="AW8" s="7">
        <v>249</v>
      </c>
      <c r="AX8" s="7">
        <v>175</v>
      </c>
      <c r="AY8" s="7">
        <v>220</v>
      </c>
      <c r="AZ8" s="7">
        <v>175</v>
      </c>
      <c r="BA8" s="7">
        <v>75</v>
      </c>
      <c r="BB8" s="47">
        <v>200</v>
      </c>
      <c r="BC8" s="43">
        <f>50124/1000</f>
        <v>50.124000000000002</v>
      </c>
      <c r="BD8" s="43"/>
    </row>
    <row r="9" spans="1:56" x14ac:dyDescent="0.25">
      <c r="A9" s="12"/>
      <c r="B9" s="2"/>
      <c r="C9" s="2" t="s">
        <v>9</v>
      </c>
      <c r="D9" s="4">
        <v>516</v>
      </c>
      <c r="E9" s="4">
        <v>514</v>
      </c>
      <c r="F9" s="4">
        <v>514</v>
      </c>
      <c r="G9" s="4">
        <v>581</v>
      </c>
      <c r="H9" s="4">
        <v>611</v>
      </c>
      <c r="I9" s="4">
        <v>640</v>
      </c>
      <c r="J9" s="4">
        <v>718</v>
      </c>
      <c r="K9" s="4">
        <v>708</v>
      </c>
      <c r="L9" s="4">
        <v>712</v>
      </c>
      <c r="M9" s="4">
        <v>686</v>
      </c>
      <c r="N9" s="4">
        <v>685</v>
      </c>
      <c r="O9" s="4">
        <v>725</v>
      </c>
      <c r="P9" s="4">
        <v>800</v>
      </c>
      <c r="Q9" s="4">
        <v>795</v>
      </c>
      <c r="R9" s="4">
        <v>725</v>
      </c>
      <c r="S9" s="4">
        <v>808</v>
      </c>
      <c r="T9" s="4">
        <v>732</v>
      </c>
      <c r="U9" s="4">
        <v>749</v>
      </c>
      <c r="V9" s="4">
        <v>727</v>
      </c>
      <c r="W9" s="4">
        <v>750</v>
      </c>
      <c r="X9" s="4">
        <v>735</v>
      </c>
      <c r="Y9" s="4">
        <v>620</v>
      </c>
      <c r="Z9" s="4">
        <v>625</v>
      </c>
      <c r="AA9" s="4">
        <v>519</v>
      </c>
      <c r="AB9" s="4">
        <v>555</v>
      </c>
      <c r="AC9" s="4">
        <v>675</v>
      </c>
      <c r="AD9" s="4">
        <v>555</v>
      </c>
      <c r="AE9" s="4">
        <v>605</v>
      </c>
      <c r="AF9" s="4">
        <v>778</v>
      </c>
      <c r="AG9" s="4">
        <v>763</v>
      </c>
      <c r="AH9" s="4">
        <v>903</v>
      </c>
      <c r="AI9" s="4">
        <v>872</v>
      </c>
      <c r="AJ9" s="4">
        <v>762</v>
      </c>
      <c r="AK9" s="4">
        <v>860</v>
      </c>
      <c r="AL9" s="4">
        <v>898</v>
      </c>
      <c r="AM9" s="3">
        <v>1132</v>
      </c>
      <c r="AN9" s="3">
        <v>1635</v>
      </c>
      <c r="AO9" s="3">
        <v>2035</v>
      </c>
      <c r="AP9" s="3">
        <v>2235</v>
      </c>
      <c r="AQ9" s="3">
        <v>2425</v>
      </c>
      <c r="AR9" s="3">
        <v>2125</v>
      </c>
      <c r="AS9" s="3">
        <v>2225</v>
      </c>
      <c r="AT9" s="3">
        <v>2125</v>
      </c>
      <c r="AU9" s="3">
        <v>2025</v>
      </c>
      <c r="AV9" s="3">
        <v>2125</v>
      </c>
      <c r="AW9" s="3">
        <v>2125</v>
      </c>
      <c r="AX9" s="3">
        <v>2125</v>
      </c>
      <c r="AY9" s="3">
        <v>2025</v>
      </c>
      <c r="AZ9" s="3">
        <v>1875</v>
      </c>
      <c r="BA9" s="3">
        <v>1925</v>
      </c>
      <c r="BB9" s="44">
        <v>1925</v>
      </c>
      <c r="BC9" s="42">
        <f>BC6+BC7-BC8</f>
        <v>488.36400000000003</v>
      </c>
      <c r="BD9" s="42"/>
    </row>
    <row r="10" spans="1:56" s="5" customFormat="1" x14ac:dyDescent="0.25">
      <c r="A10" s="14"/>
      <c r="B10" s="6" t="s">
        <v>11</v>
      </c>
      <c r="C10" s="6" t="s">
        <v>6</v>
      </c>
      <c r="D10" s="7">
        <v>0</v>
      </c>
      <c r="E10" s="7">
        <v>0</v>
      </c>
      <c r="F10" s="7">
        <v>0</v>
      </c>
      <c r="G10" s="7">
        <v>0</v>
      </c>
      <c r="H10" s="7">
        <v>36</v>
      </c>
      <c r="I10" s="7">
        <v>60</v>
      </c>
      <c r="J10" s="7">
        <v>100</v>
      </c>
      <c r="K10" s="7">
        <v>121</v>
      </c>
      <c r="L10" s="7">
        <v>270</v>
      </c>
      <c r="M10" s="7">
        <v>300</v>
      </c>
      <c r="N10" s="7">
        <v>240</v>
      </c>
      <c r="O10" s="7">
        <v>250</v>
      </c>
      <c r="P10" s="7">
        <v>375</v>
      </c>
      <c r="Q10" s="7">
        <v>510</v>
      </c>
      <c r="R10" s="7">
        <v>420</v>
      </c>
      <c r="S10" s="7">
        <v>625</v>
      </c>
      <c r="T10" s="7">
        <v>280</v>
      </c>
      <c r="U10" s="7">
        <v>470</v>
      </c>
      <c r="V10" s="7">
        <v>330</v>
      </c>
      <c r="W10" s="7">
        <v>680</v>
      </c>
      <c r="X10" s="7">
        <v>280</v>
      </c>
      <c r="Y10" s="7">
        <v>680</v>
      </c>
      <c r="Z10" s="7">
        <v>550</v>
      </c>
      <c r="AA10" s="7">
        <v>600</v>
      </c>
      <c r="AB10" s="7">
        <v>550</v>
      </c>
      <c r="AC10" s="7">
        <v>710</v>
      </c>
      <c r="AD10" s="7">
        <v>660</v>
      </c>
      <c r="AE10" s="7">
        <v>750</v>
      </c>
      <c r="AF10" s="7">
        <v>300</v>
      </c>
      <c r="AG10" s="7">
        <v>984</v>
      </c>
      <c r="AH10" s="7">
        <v>567</v>
      </c>
      <c r="AI10" s="7">
        <v>718</v>
      </c>
      <c r="AJ10" s="7">
        <v>572</v>
      </c>
      <c r="AK10" s="7">
        <v>497</v>
      </c>
      <c r="AL10" s="7">
        <v>523</v>
      </c>
      <c r="AM10" s="7">
        <v>190</v>
      </c>
      <c r="AN10" s="7">
        <v>61</v>
      </c>
      <c r="AO10" s="7">
        <v>189</v>
      </c>
      <c r="AP10" s="7">
        <v>143</v>
      </c>
      <c r="AQ10" s="7">
        <v>123</v>
      </c>
      <c r="AR10" s="7">
        <v>103</v>
      </c>
      <c r="AS10" s="7">
        <v>66</v>
      </c>
      <c r="AT10" s="7">
        <v>89</v>
      </c>
      <c r="AU10" s="7">
        <v>125</v>
      </c>
      <c r="AV10" s="7">
        <v>132</v>
      </c>
      <c r="AW10" s="7">
        <v>185</v>
      </c>
      <c r="AX10" s="7">
        <v>80</v>
      </c>
      <c r="AY10" s="7">
        <v>88</v>
      </c>
      <c r="AZ10" s="7">
        <v>153</v>
      </c>
      <c r="BA10" s="7">
        <v>105</v>
      </c>
      <c r="BB10" s="47">
        <v>105</v>
      </c>
      <c r="BC10" s="43">
        <f>205234/1000</f>
        <v>205.23400000000001</v>
      </c>
      <c r="BD10" s="43">
        <f>247500/1000</f>
        <v>247.5</v>
      </c>
    </row>
    <row r="11" spans="1:56" x14ac:dyDescent="0.25">
      <c r="A11" s="12"/>
      <c r="B11" s="2"/>
      <c r="C11" s="2" t="s">
        <v>7</v>
      </c>
      <c r="D11" s="4">
        <v>0</v>
      </c>
      <c r="E11" s="4">
        <v>0</v>
      </c>
      <c r="F11" s="4">
        <v>0</v>
      </c>
      <c r="G11" s="4">
        <v>0</v>
      </c>
      <c r="H11" s="4">
        <v>3</v>
      </c>
      <c r="I11" s="4">
        <v>5</v>
      </c>
      <c r="J11" s="4">
        <v>7</v>
      </c>
      <c r="K11" s="4">
        <v>8</v>
      </c>
      <c r="L11" s="4">
        <v>22</v>
      </c>
      <c r="M11" s="4">
        <v>133</v>
      </c>
      <c r="N11" s="4">
        <v>62</v>
      </c>
      <c r="O11" s="4">
        <v>18</v>
      </c>
      <c r="P11" s="4">
        <v>50</v>
      </c>
      <c r="Q11" s="4">
        <v>271</v>
      </c>
      <c r="R11" s="4">
        <v>118</v>
      </c>
      <c r="S11" s="4">
        <v>135</v>
      </c>
      <c r="T11" s="4">
        <v>498</v>
      </c>
      <c r="U11" s="4">
        <v>551</v>
      </c>
      <c r="V11" s="4">
        <v>589</v>
      </c>
      <c r="W11" s="4">
        <v>711</v>
      </c>
      <c r="X11" s="3">
        <v>1370</v>
      </c>
      <c r="Y11" s="4">
        <v>566</v>
      </c>
      <c r="Z11" s="3">
        <v>1070</v>
      </c>
      <c r="AA11" s="3">
        <v>1805</v>
      </c>
      <c r="AB11" s="3">
        <v>1472</v>
      </c>
      <c r="AC11" s="4">
        <v>877</v>
      </c>
      <c r="AD11" s="3">
        <v>1092</v>
      </c>
      <c r="AE11" s="4">
        <v>956</v>
      </c>
      <c r="AF11" s="3">
        <v>1220</v>
      </c>
      <c r="AG11" s="4">
        <v>945</v>
      </c>
      <c r="AH11" s="3">
        <v>1376</v>
      </c>
      <c r="AI11" s="3">
        <v>2100</v>
      </c>
      <c r="AJ11" s="3">
        <v>2136</v>
      </c>
      <c r="AK11" s="3">
        <v>2200</v>
      </c>
      <c r="AL11" s="3">
        <v>1867</v>
      </c>
      <c r="AM11" s="3">
        <v>2401</v>
      </c>
      <c r="AN11" s="3">
        <v>2720</v>
      </c>
      <c r="AO11" s="3">
        <v>3502</v>
      </c>
      <c r="AP11" s="3">
        <v>3766</v>
      </c>
      <c r="AQ11" s="3">
        <v>4039</v>
      </c>
      <c r="AR11" s="3">
        <v>4381</v>
      </c>
      <c r="AS11" s="3">
        <v>4510</v>
      </c>
      <c r="AT11" s="3">
        <v>4230</v>
      </c>
      <c r="AU11" s="3">
        <v>3797</v>
      </c>
      <c r="AV11" s="3">
        <v>3640</v>
      </c>
      <c r="AW11" s="3">
        <v>3667</v>
      </c>
      <c r="AX11" s="3">
        <v>3844</v>
      </c>
      <c r="AY11" s="3">
        <v>3614</v>
      </c>
      <c r="AZ11" s="3">
        <v>3327</v>
      </c>
      <c r="BA11" s="3">
        <v>3523</v>
      </c>
      <c r="BB11" s="44">
        <v>3700</v>
      </c>
      <c r="BC11" s="42">
        <f>3340376/1000</f>
        <v>3340.3760000000002</v>
      </c>
      <c r="BD11" s="42"/>
    </row>
    <row r="12" spans="1:56" s="5" customFormat="1" x14ac:dyDescent="0.25">
      <c r="A12" s="14"/>
      <c r="B12" s="6"/>
      <c r="C12" s="6" t="s">
        <v>8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1</v>
      </c>
      <c r="AU12" s="7">
        <v>3</v>
      </c>
      <c r="AV12" s="7">
        <v>1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47">
        <v>0</v>
      </c>
      <c r="BC12" s="43">
        <f>85/1000</f>
        <v>8.5000000000000006E-2</v>
      </c>
      <c r="BD12" s="43"/>
    </row>
    <row r="13" spans="1:56" x14ac:dyDescent="0.25">
      <c r="A13" s="12"/>
      <c r="B13" s="2"/>
      <c r="C13" s="2" t="s">
        <v>9</v>
      </c>
      <c r="D13" s="4">
        <v>0</v>
      </c>
      <c r="E13" s="4">
        <v>0</v>
      </c>
      <c r="F13" s="4">
        <v>0</v>
      </c>
      <c r="G13" s="4">
        <v>0</v>
      </c>
      <c r="H13" s="4">
        <v>39</v>
      </c>
      <c r="I13" s="4">
        <v>65</v>
      </c>
      <c r="J13" s="4">
        <v>107</v>
      </c>
      <c r="K13" s="4">
        <v>129</v>
      </c>
      <c r="L13" s="4">
        <v>268</v>
      </c>
      <c r="M13" s="4">
        <v>419</v>
      </c>
      <c r="N13" s="4">
        <v>312</v>
      </c>
      <c r="O13" s="4">
        <v>271</v>
      </c>
      <c r="P13" s="4">
        <v>412</v>
      </c>
      <c r="Q13" s="4">
        <v>751</v>
      </c>
      <c r="R13" s="4">
        <v>555</v>
      </c>
      <c r="S13" s="4">
        <v>736</v>
      </c>
      <c r="T13" s="4">
        <v>773</v>
      </c>
      <c r="U13" s="3">
        <v>1001</v>
      </c>
      <c r="V13" s="4">
        <v>919</v>
      </c>
      <c r="W13" s="3">
        <v>1241</v>
      </c>
      <c r="X13" s="3">
        <v>1530</v>
      </c>
      <c r="Y13" s="3">
        <v>1530</v>
      </c>
      <c r="Z13" s="3">
        <v>1480</v>
      </c>
      <c r="AA13" s="3">
        <v>2353</v>
      </c>
      <c r="AB13" s="3">
        <v>2082</v>
      </c>
      <c r="AC13" s="3">
        <v>1642</v>
      </c>
      <c r="AD13" s="3">
        <v>1744</v>
      </c>
      <c r="AE13" s="3">
        <v>1746</v>
      </c>
      <c r="AF13" s="3">
        <v>1550</v>
      </c>
      <c r="AG13" s="3">
        <v>1830</v>
      </c>
      <c r="AH13" s="3">
        <v>1993</v>
      </c>
      <c r="AI13" s="3">
        <v>2793</v>
      </c>
      <c r="AJ13" s="3">
        <v>2770</v>
      </c>
      <c r="AK13" s="3">
        <v>2710</v>
      </c>
      <c r="AL13" s="3">
        <v>2400</v>
      </c>
      <c r="AM13" s="3">
        <v>2506</v>
      </c>
      <c r="AN13" s="3">
        <v>2761</v>
      </c>
      <c r="AO13" s="3">
        <v>3658</v>
      </c>
      <c r="AP13" s="3">
        <v>3982</v>
      </c>
      <c r="AQ13" s="3">
        <v>4135</v>
      </c>
      <c r="AR13" s="3">
        <v>4485</v>
      </c>
      <c r="AS13" s="3">
        <v>4655</v>
      </c>
      <c r="AT13" s="3">
        <v>4375</v>
      </c>
      <c r="AU13" s="3">
        <v>3924</v>
      </c>
      <c r="AV13" s="3">
        <v>3764</v>
      </c>
      <c r="AW13" s="3">
        <v>3858</v>
      </c>
      <c r="AX13" s="3">
        <v>3926</v>
      </c>
      <c r="AY13" s="3">
        <v>3685</v>
      </c>
      <c r="AZ13" s="3">
        <v>3500</v>
      </c>
      <c r="BA13" s="3">
        <v>3618</v>
      </c>
      <c r="BB13" s="44">
        <v>3805</v>
      </c>
      <c r="BC13" s="42">
        <f>BC10+BC11-BC12</f>
        <v>3545.5250000000001</v>
      </c>
      <c r="BD13" s="42"/>
    </row>
    <row r="14" spans="1:56" s="5" customFormat="1" x14ac:dyDescent="0.25">
      <c r="A14" s="14"/>
      <c r="B14" s="6" t="s">
        <v>12</v>
      </c>
      <c r="C14" s="6" t="s">
        <v>6</v>
      </c>
      <c r="D14" s="7">
        <v>219</v>
      </c>
      <c r="E14" s="7">
        <v>222</v>
      </c>
      <c r="F14" s="7">
        <v>193</v>
      </c>
      <c r="G14" s="7">
        <v>197</v>
      </c>
      <c r="H14" s="7">
        <v>183</v>
      </c>
      <c r="I14" s="7">
        <v>252</v>
      </c>
      <c r="J14" s="7">
        <v>248</v>
      </c>
      <c r="K14" s="7">
        <v>278</v>
      </c>
      <c r="L14" s="7">
        <v>231</v>
      </c>
      <c r="M14" s="7">
        <v>263</v>
      </c>
      <c r="N14" s="7">
        <v>270</v>
      </c>
      <c r="O14" s="7">
        <v>245</v>
      </c>
      <c r="P14" s="7">
        <v>280</v>
      </c>
      <c r="Q14" s="7">
        <v>290</v>
      </c>
      <c r="R14" s="7">
        <v>325</v>
      </c>
      <c r="S14" s="7">
        <v>480</v>
      </c>
      <c r="T14" s="7">
        <v>300</v>
      </c>
      <c r="U14" s="7">
        <v>350</v>
      </c>
      <c r="V14" s="7">
        <v>275</v>
      </c>
      <c r="W14" s="7">
        <v>320</v>
      </c>
      <c r="X14" s="7">
        <v>260</v>
      </c>
      <c r="Y14" s="7">
        <v>390</v>
      </c>
      <c r="Z14" s="7">
        <v>340</v>
      </c>
      <c r="AA14" s="7">
        <v>290</v>
      </c>
      <c r="AB14" s="7">
        <v>291</v>
      </c>
      <c r="AC14" s="7">
        <v>498</v>
      </c>
      <c r="AD14" s="7">
        <v>351</v>
      </c>
      <c r="AE14" s="7">
        <v>380</v>
      </c>
      <c r="AF14" s="7">
        <v>266</v>
      </c>
      <c r="AG14" s="7">
        <v>360</v>
      </c>
      <c r="AH14" s="7">
        <v>200</v>
      </c>
      <c r="AI14" s="7">
        <v>190</v>
      </c>
      <c r="AJ14" s="7">
        <v>200</v>
      </c>
      <c r="AK14" s="7">
        <v>140</v>
      </c>
      <c r="AL14" s="7">
        <v>257</v>
      </c>
      <c r="AM14" s="7">
        <v>233</v>
      </c>
      <c r="AN14" s="7">
        <v>267</v>
      </c>
      <c r="AO14" s="7">
        <v>300</v>
      </c>
      <c r="AP14" s="7">
        <v>313</v>
      </c>
      <c r="AQ14" s="7">
        <v>269</v>
      </c>
      <c r="AR14" s="7">
        <v>215</v>
      </c>
      <c r="AS14" s="7">
        <v>185</v>
      </c>
      <c r="AT14" s="7">
        <v>133</v>
      </c>
      <c r="AU14" s="7">
        <v>200</v>
      </c>
      <c r="AV14" s="7">
        <v>195</v>
      </c>
      <c r="AW14" s="7">
        <v>181</v>
      </c>
      <c r="AX14" s="7">
        <v>178</v>
      </c>
      <c r="AY14" s="7">
        <v>178</v>
      </c>
      <c r="AZ14" s="7">
        <v>156</v>
      </c>
      <c r="BA14" s="7">
        <v>178</v>
      </c>
      <c r="BB14" s="47">
        <v>150</v>
      </c>
      <c r="BC14" s="43">
        <f>173461/1000</f>
        <v>173.46100000000001</v>
      </c>
      <c r="BD14" s="43">
        <f>178787/1000</f>
        <v>178.78700000000001</v>
      </c>
    </row>
    <row r="15" spans="1:56" x14ac:dyDescent="0.25">
      <c r="A15" s="12"/>
      <c r="B15" s="2"/>
      <c r="C15" s="2" t="s">
        <v>7</v>
      </c>
      <c r="D15" s="4">
        <v>0</v>
      </c>
      <c r="E15" s="4">
        <v>0</v>
      </c>
      <c r="F15" s="4">
        <v>2</v>
      </c>
      <c r="G15" s="4">
        <v>0</v>
      </c>
      <c r="H15" s="4">
        <v>17</v>
      </c>
      <c r="I15" s="4">
        <v>12</v>
      </c>
      <c r="J15" s="4">
        <v>0</v>
      </c>
      <c r="K15" s="4">
        <v>0</v>
      </c>
      <c r="L15" s="4">
        <v>5</v>
      </c>
      <c r="M15" s="4">
        <v>5</v>
      </c>
      <c r="N15" s="4">
        <v>18</v>
      </c>
      <c r="O15" s="4">
        <v>0</v>
      </c>
      <c r="P15" s="4">
        <v>9</v>
      </c>
      <c r="Q15" s="4">
        <v>72</v>
      </c>
      <c r="R15" s="4">
        <v>30</v>
      </c>
      <c r="S15" s="4">
        <v>1</v>
      </c>
      <c r="T15" s="4">
        <v>1</v>
      </c>
      <c r="U15" s="4">
        <v>1</v>
      </c>
      <c r="V15" s="4">
        <v>13</v>
      </c>
      <c r="W15" s="4">
        <v>65</v>
      </c>
      <c r="X15" s="4">
        <v>140</v>
      </c>
      <c r="Y15" s="4">
        <v>17</v>
      </c>
      <c r="Z15" s="4">
        <v>0</v>
      </c>
      <c r="AA15" s="4">
        <v>106</v>
      </c>
      <c r="AB15" s="4">
        <v>203</v>
      </c>
      <c r="AC15" s="4">
        <v>23</v>
      </c>
      <c r="AD15" s="4">
        <v>0</v>
      </c>
      <c r="AE15" s="4">
        <v>0</v>
      </c>
      <c r="AF15" s="4">
        <v>189</v>
      </c>
      <c r="AG15" s="4">
        <v>136</v>
      </c>
      <c r="AH15" s="4">
        <v>175</v>
      </c>
      <c r="AI15" s="4">
        <v>385</v>
      </c>
      <c r="AJ15" s="4">
        <v>275</v>
      </c>
      <c r="AK15" s="4">
        <v>250</v>
      </c>
      <c r="AL15" s="4">
        <v>245</v>
      </c>
      <c r="AM15" s="4">
        <v>300</v>
      </c>
      <c r="AN15" s="4">
        <v>279</v>
      </c>
      <c r="AO15" s="4">
        <v>308</v>
      </c>
      <c r="AP15" s="4">
        <v>310</v>
      </c>
      <c r="AQ15" s="4">
        <v>430</v>
      </c>
      <c r="AR15" s="4">
        <v>403</v>
      </c>
      <c r="AS15" s="4">
        <v>537</v>
      </c>
      <c r="AT15" s="4">
        <v>536</v>
      </c>
      <c r="AU15" s="4">
        <v>535</v>
      </c>
      <c r="AV15" s="4">
        <v>550</v>
      </c>
      <c r="AW15" s="4">
        <v>581</v>
      </c>
      <c r="AX15" s="4">
        <v>594</v>
      </c>
      <c r="AY15" s="4">
        <v>582</v>
      </c>
      <c r="AZ15" s="4">
        <v>588</v>
      </c>
      <c r="BA15" s="4">
        <v>608</v>
      </c>
      <c r="BB15" s="44">
        <v>655</v>
      </c>
      <c r="BC15" s="42">
        <f>666830/1000</f>
        <v>666.83</v>
      </c>
      <c r="BD15" s="42"/>
    </row>
    <row r="16" spans="1:56" s="5" customFormat="1" x14ac:dyDescent="0.25">
      <c r="A16" s="14"/>
      <c r="B16" s="6"/>
      <c r="C16" s="6" t="s">
        <v>8</v>
      </c>
      <c r="D16" s="7">
        <v>3</v>
      </c>
      <c r="E16" s="7">
        <v>63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46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3</v>
      </c>
      <c r="U16" s="7">
        <v>60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4</v>
      </c>
      <c r="AQ16" s="7">
        <v>3</v>
      </c>
      <c r="AR16" s="7">
        <v>4</v>
      </c>
      <c r="AS16" s="7">
        <v>3</v>
      </c>
      <c r="AT16" s="7">
        <v>3</v>
      </c>
      <c r="AU16" s="7">
        <v>0</v>
      </c>
      <c r="AV16" s="7">
        <v>0</v>
      </c>
      <c r="AW16" s="7">
        <v>2</v>
      </c>
      <c r="AX16" s="7">
        <v>0</v>
      </c>
      <c r="AY16" s="7">
        <v>10</v>
      </c>
      <c r="AZ16" s="7">
        <v>10</v>
      </c>
      <c r="BA16" s="7">
        <v>6</v>
      </c>
      <c r="BB16" s="7">
        <v>5</v>
      </c>
      <c r="BC16" s="43">
        <f>1843/1000</f>
        <v>1.843</v>
      </c>
      <c r="BD16" s="43"/>
    </row>
    <row r="17" spans="1:56" x14ac:dyDescent="0.25">
      <c r="A17" s="12"/>
      <c r="B17" s="2"/>
      <c r="C17" s="2" t="s">
        <v>9</v>
      </c>
      <c r="D17" s="4">
        <v>216</v>
      </c>
      <c r="E17" s="4">
        <v>159</v>
      </c>
      <c r="F17" s="4">
        <v>195</v>
      </c>
      <c r="G17" s="4">
        <v>197</v>
      </c>
      <c r="H17" s="4">
        <v>200</v>
      </c>
      <c r="I17" s="4">
        <v>264</v>
      </c>
      <c r="J17" s="4">
        <v>248</v>
      </c>
      <c r="K17" s="4">
        <v>232</v>
      </c>
      <c r="L17" s="4">
        <v>236</v>
      </c>
      <c r="M17" s="4">
        <v>303</v>
      </c>
      <c r="N17" s="4">
        <v>263</v>
      </c>
      <c r="O17" s="4">
        <v>270</v>
      </c>
      <c r="P17" s="4">
        <v>294</v>
      </c>
      <c r="Q17" s="4">
        <v>307</v>
      </c>
      <c r="R17" s="4">
        <v>325</v>
      </c>
      <c r="S17" s="4">
        <v>355</v>
      </c>
      <c r="T17" s="4">
        <v>329</v>
      </c>
      <c r="U17" s="4">
        <v>351</v>
      </c>
      <c r="V17" s="4">
        <v>360</v>
      </c>
      <c r="W17" s="4">
        <v>380</v>
      </c>
      <c r="X17" s="4">
        <v>370</v>
      </c>
      <c r="Y17" s="4">
        <v>380</v>
      </c>
      <c r="Z17" s="4">
        <v>390</v>
      </c>
      <c r="AA17" s="4">
        <v>410</v>
      </c>
      <c r="AB17" s="4">
        <v>425</v>
      </c>
      <c r="AC17" s="4">
        <v>436</v>
      </c>
      <c r="AD17" s="4">
        <v>445</v>
      </c>
      <c r="AE17" s="4">
        <v>440</v>
      </c>
      <c r="AF17" s="4">
        <v>430</v>
      </c>
      <c r="AG17" s="4">
        <v>446</v>
      </c>
      <c r="AH17" s="4">
        <v>440</v>
      </c>
      <c r="AI17" s="4">
        <v>460</v>
      </c>
      <c r="AJ17" s="4">
        <v>480</v>
      </c>
      <c r="AK17" s="4">
        <v>485</v>
      </c>
      <c r="AL17" s="4">
        <v>500</v>
      </c>
      <c r="AM17" s="4">
        <v>525</v>
      </c>
      <c r="AN17" s="4">
        <v>545</v>
      </c>
      <c r="AO17" s="4">
        <v>585</v>
      </c>
      <c r="AP17" s="4">
        <v>604</v>
      </c>
      <c r="AQ17" s="4">
        <v>621</v>
      </c>
      <c r="AR17" s="4">
        <v>650</v>
      </c>
      <c r="AS17" s="4">
        <v>675</v>
      </c>
      <c r="AT17" s="4">
        <v>700</v>
      </c>
      <c r="AU17" s="4">
        <v>725</v>
      </c>
      <c r="AV17" s="4">
        <v>750</v>
      </c>
      <c r="AW17" s="4">
        <v>775</v>
      </c>
      <c r="AX17" s="4">
        <v>788</v>
      </c>
      <c r="AY17" s="4">
        <v>700</v>
      </c>
      <c r="AZ17" s="4">
        <v>761</v>
      </c>
      <c r="BA17" s="4">
        <v>775</v>
      </c>
      <c r="BB17" s="4">
        <v>820</v>
      </c>
      <c r="BC17" s="42">
        <f>BC14+BC15-BC16</f>
        <v>838.44800000000009</v>
      </c>
      <c r="BD17" s="42"/>
    </row>
    <row r="18" spans="1:56" s="5" customFormat="1" x14ac:dyDescent="0.25">
      <c r="A18" s="14"/>
      <c r="B18" s="6" t="s">
        <v>13</v>
      </c>
      <c r="C18" s="6" t="s">
        <v>6</v>
      </c>
      <c r="D18" s="7">
        <v>209</v>
      </c>
      <c r="E18" s="7">
        <v>291</v>
      </c>
      <c r="F18" s="7">
        <v>296</v>
      </c>
      <c r="G18" s="7">
        <v>402</v>
      </c>
      <c r="H18" s="7">
        <v>526</v>
      </c>
      <c r="I18" s="7">
        <v>747</v>
      </c>
      <c r="J18" s="8">
        <v>1411</v>
      </c>
      <c r="K18" s="8">
        <v>1605</v>
      </c>
      <c r="L18" s="8">
        <v>2128</v>
      </c>
      <c r="M18" s="8">
        <v>2200</v>
      </c>
      <c r="N18" s="8">
        <v>2350</v>
      </c>
      <c r="O18" s="8">
        <v>2200</v>
      </c>
      <c r="P18" s="8">
        <v>1800</v>
      </c>
      <c r="Q18" s="8">
        <v>2900</v>
      </c>
      <c r="R18" s="8">
        <v>2760</v>
      </c>
      <c r="S18" s="8">
        <v>3400</v>
      </c>
      <c r="T18" s="8">
        <v>3200</v>
      </c>
      <c r="U18" s="8">
        <v>2800</v>
      </c>
      <c r="V18" s="8">
        <v>3200</v>
      </c>
      <c r="W18" s="8">
        <v>2000</v>
      </c>
      <c r="X18" s="8">
        <v>3800</v>
      </c>
      <c r="Y18" s="8">
        <v>4000</v>
      </c>
      <c r="Z18" s="8">
        <v>2800</v>
      </c>
      <c r="AA18" s="8">
        <v>4000</v>
      </c>
      <c r="AB18" s="8">
        <v>4100</v>
      </c>
      <c r="AC18" s="8">
        <v>3700</v>
      </c>
      <c r="AD18" s="8">
        <v>4300</v>
      </c>
      <c r="AE18" s="8">
        <v>4000</v>
      </c>
      <c r="AF18" s="8">
        <v>3110</v>
      </c>
      <c r="AG18" s="8">
        <v>3750</v>
      </c>
      <c r="AH18" s="8">
        <v>3700</v>
      </c>
      <c r="AI18" s="8">
        <v>4403</v>
      </c>
      <c r="AJ18" s="8">
        <v>3088</v>
      </c>
      <c r="AK18" s="8">
        <v>3018</v>
      </c>
      <c r="AL18" s="8">
        <v>3000</v>
      </c>
      <c r="AM18" s="8">
        <v>5568</v>
      </c>
      <c r="AN18" s="8">
        <v>6855</v>
      </c>
      <c r="AO18" s="8">
        <v>5700</v>
      </c>
      <c r="AP18" s="8">
        <v>6400</v>
      </c>
      <c r="AQ18" s="8">
        <v>6394</v>
      </c>
      <c r="AR18" s="8">
        <v>5665</v>
      </c>
      <c r="AS18" s="8">
        <v>5900</v>
      </c>
      <c r="AT18" s="8">
        <v>6338</v>
      </c>
      <c r="AU18" s="8">
        <v>7300</v>
      </c>
      <c r="AV18" s="8">
        <v>5890</v>
      </c>
      <c r="AW18" s="8">
        <v>5500</v>
      </c>
      <c r="AX18" s="8">
        <v>5810</v>
      </c>
      <c r="AY18" s="8">
        <v>6200</v>
      </c>
      <c r="AZ18" s="8">
        <v>7067</v>
      </c>
      <c r="BA18" s="8">
        <v>6250</v>
      </c>
      <c r="BB18" s="8">
        <v>7100</v>
      </c>
      <c r="BC18" s="43">
        <f>6429311/1000</f>
        <v>6429.3109999999997</v>
      </c>
      <c r="BD18" s="43">
        <f>6969502/1000</f>
        <v>6969.5020000000004</v>
      </c>
    </row>
    <row r="19" spans="1:56" x14ac:dyDescent="0.25">
      <c r="A19" s="12"/>
      <c r="B19" s="2"/>
      <c r="C19" s="2" t="s">
        <v>7</v>
      </c>
      <c r="D19" s="4">
        <v>27</v>
      </c>
      <c r="E19" s="4">
        <v>41</v>
      </c>
      <c r="F19" s="4">
        <v>173</v>
      </c>
      <c r="G19" s="4">
        <v>13</v>
      </c>
      <c r="H19" s="4">
        <v>56</v>
      </c>
      <c r="I19" s="4">
        <v>56</v>
      </c>
      <c r="J19" s="4">
        <v>25</v>
      </c>
      <c r="K19" s="4">
        <v>85</v>
      </c>
      <c r="L19" s="4">
        <v>31</v>
      </c>
      <c r="M19" s="4">
        <v>26</v>
      </c>
      <c r="N19" s="4">
        <v>22</v>
      </c>
      <c r="O19" s="4">
        <v>84</v>
      </c>
      <c r="P19" s="4">
        <v>186</v>
      </c>
      <c r="Q19" s="4">
        <v>200</v>
      </c>
      <c r="R19" s="4">
        <v>583</v>
      </c>
      <c r="S19" s="4">
        <v>300</v>
      </c>
      <c r="T19" s="4">
        <v>800</v>
      </c>
      <c r="U19" s="4">
        <v>570</v>
      </c>
      <c r="V19" s="3">
        <v>1405</v>
      </c>
      <c r="W19" s="3">
        <v>2290</v>
      </c>
      <c r="X19" s="3">
        <v>3193</v>
      </c>
      <c r="Y19" s="4">
        <v>945</v>
      </c>
      <c r="Z19" s="3">
        <v>3227</v>
      </c>
      <c r="AA19" s="3">
        <v>3329</v>
      </c>
      <c r="AB19" s="3">
        <v>2481</v>
      </c>
      <c r="AC19" s="4">
        <v>627</v>
      </c>
      <c r="AD19" s="4">
        <v>810</v>
      </c>
      <c r="AE19" s="4">
        <v>875</v>
      </c>
      <c r="AF19" s="3">
        <v>2256</v>
      </c>
      <c r="AG19" s="3">
        <v>3020</v>
      </c>
      <c r="AH19" s="3">
        <v>3025</v>
      </c>
      <c r="AI19" s="3">
        <v>5015</v>
      </c>
      <c r="AJ19" s="3">
        <v>4024</v>
      </c>
      <c r="AK19" s="3">
        <v>3118</v>
      </c>
      <c r="AL19" s="3">
        <v>2544</v>
      </c>
      <c r="AM19" s="3">
        <v>1764</v>
      </c>
      <c r="AN19" s="3">
        <v>2091</v>
      </c>
      <c r="AO19" s="3">
        <v>3379</v>
      </c>
      <c r="AP19" s="3">
        <v>3338</v>
      </c>
      <c r="AQ19" s="3">
        <v>4890</v>
      </c>
      <c r="AR19" s="3">
        <v>5037</v>
      </c>
      <c r="AS19" s="3">
        <v>4837</v>
      </c>
      <c r="AT19" s="3">
        <v>3384</v>
      </c>
      <c r="AU19" s="3">
        <v>3002</v>
      </c>
      <c r="AV19" s="3">
        <v>2931</v>
      </c>
      <c r="AW19" s="3">
        <v>3029</v>
      </c>
      <c r="AX19" s="3">
        <v>1954</v>
      </c>
      <c r="AY19" s="3">
        <v>1156</v>
      </c>
      <c r="AZ19" s="3">
        <v>2496</v>
      </c>
      <c r="BA19" s="3">
        <v>2528</v>
      </c>
      <c r="BB19" s="3">
        <v>2400</v>
      </c>
      <c r="BC19" s="42">
        <f>2380276/1000</f>
        <v>2380.2759999999998</v>
      </c>
      <c r="BD19" s="42"/>
    </row>
    <row r="20" spans="1:56" s="5" customFormat="1" x14ac:dyDescent="0.25">
      <c r="A20" s="14"/>
      <c r="B20" s="6"/>
      <c r="C20" s="6" t="s">
        <v>8</v>
      </c>
      <c r="D20" s="7">
        <v>0</v>
      </c>
      <c r="E20" s="7">
        <v>0</v>
      </c>
      <c r="F20" s="7">
        <v>1</v>
      </c>
      <c r="G20" s="7">
        <v>2</v>
      </c>
      <c r="H20" s="7">
        <v>0</v>
      </c>
      <c r="I20" s="7">
        <v>0</v>
      </c>
      <c r="J20" s="7">
        <v>21</v>
      </c>
      <c r="K20" s="7">
        <v>170</v>
      </c>
      <c r="L20" s="7">
        <v>175</v>
      </c>
      <c r="M20" s="7">
        <v>250</v>
      </c>
      <c r="N20" s="7">
        <v>200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  <c r="AL20" s="7">
        <v>0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7">
        <v>0</v>
      </c>
      <c r="BB20" s="7">
        <v>0</v>
      </c>
      <c r="BC20" s="43">
        <f>297/1000</f>
        <v>0.29699999999999999</v>
      </c>
      <c r="BD20" s="43"/>
    </row>
    <row r="21" spans="1:56" x14ac:dyDescent="0.25">
      <c r="A21" s="12"/>
      <c r="B21" s="2"/>
      <c r="C21" s="2" t="s">
        <v>9</v>
      </c>
      <c r="D21" s="4">
        <v>237</v>
      </c>
      <c r="E21" s="4">
        <v>334</v>
      </c>
      <c r="F21" s="4">
        <v>450</v>
      </c>
      <c r="G21" s="4">
        <v>427</v>
      </c>
      <c r="H21" s="4">
        <v>555</v>
      </c>
      <c r="I21" s="4">
        <v>825</v>
      </c>
      <c r="J21" s="3">
        <v>1120</v>
      </c>
      <c r="K21" s="3">
        <v>1545</v>
      </c>
      <c r="L21" s="3">
        <v>1900</v>
      </c>
      <c r="M21" s="3">
        <v>2100</v>
      </c>
      <c r="N21" s="3">
        <v>2200</v>
      </c>
      <c r="O21" s="3">
        <v>2402</v>
      </c>
      <c r="P21" s="3">
        <v>1876</v>
      </c>
      <c r="Q21" s="3">
        <v>3010</v>
      </c>
      <c r="R21" s="3">
        <v>3123</v>
      </c>
      <c r="S21" s="3">
        <v>3670</v>
      </c>
      <c r="T21" s="3">
        <v>3950</v>
      </c>
      <c r="U21" s="3">
        <v>3950</v>
      </c>
      <c r="V21" s="3">
        <v>4220</v>
      </c>
      <c r="W21" s="3">
        <v>4280</v>
      </c>
      <c r="X21" s="3">
        <v>5200</v>
      </c>
      <c r="Y21" s="3">
        <v>6758</v>
      </c>
      <c r="Z21" s="3">
        <v>6100</v>
      </c>
      <c r="AA21" s="3">
        <v>6300</v>
      </c>
      <c r="AB21" s="3">
        <v>6425</v>
      </c>
      <c r="AC21" s="3">
        <v>5702</v>
      </c>
      <c r="AD21" s="3">
        <v>5110</v>
      </c>
      <c r="AE21" s="3">
        <v>4853</v>
      </c>
      <c r="AF21" s="3">
        <v>5279</v>
      </c>
      <c r="AG21" s="3">
        <v>6020</v>
      </c>
      <c r="AH21" s="3">
        <v>6825</v>
      </c>
      <c r="AI21" s="3">
        <v>9418</v>
      </c>
      <c r="AJ21" s="3">
        <v>7412</v>
      </c>
      <c r="AK21" s="3">
        <v>6336</v>
      </c>
      <c r="AL21" s="3">
        <v>5644</v>
      </c>
      <c r="AM21" s="3">
        <v>6900</v>
      </c>
      <c r="AN21" s="3">
        <v>8500</v>
      </c>
      <c r="AO21" s="3">
        <v>8980</v>
      </c>
      <c r="AP21" s="3">
        <v>9800</v>
      </c>
      <c r="AQ21" s="3">
        <v>11200</v>
      </c>
      <c r="AR21" s="3">
        <v>11200</v>
      </c>
      <c r="AS21" s="3">
        <v>10750</v>
      </c>
      <c r="AT21" s="3">
        <v>9900</v>
      </c>
      <c r="AU21" s="3">
        <v>9800</v>
      </c>
      <c r="AV21" s="3">
        <v>9300</v>
      </c>
      <c r="AW21" s="3">
        <v>8600</v>
      </c>
      <c r="AX21" s="3">
        <v>8100</v>
      </c>
      <c r="AY21" s="3">
        <v>7200</v>
      </c>
      <c r="AZ21" s="3">
        <v>8600</v>
      </c>
      <c r="BA21" s="3">
        <v>9700</v>
      </c>
      <c r="BB21" s="3">
        <v>9500</v>
      </c>
      <c r="BC21" s="42">
        <f>BC18+BC19-BC20</f>
        <v>8809.2899999999991</v>
      </c>
      <c r="BD21" s="42"/>
    </row>
    <row r="22" spans="1:56" x14ac:dyDescent="0.25">
      <c r="A22" s="14"/>
      <c r="B22" s="6" t="s">
        <v>14</v>
      </c>
      <c r="C22" s="6" t="s">
        <v>42</v>
      </c>
      <c r="D22" s="8">
        <f>19167984/1000</f>
        <v>19167.984</v>
      </c>
      <c r="E22" s="8">
        <f>21115600/1000</f>
        <v>21115.599999999999</v>
      </c>
      <c r="F22" s="8">
        <f>22326992/1000</f>
        <v>22326.991999999998</v>
      </c>
      <c r="G22" s="8">
        <f>26989616/1000</f>
        <v>26989.616000000002</v>
      </c>
      <c r="H22" s="8">
        <f>30955680/1000</f>
        <v>30955.68</v>
      </c>
      <c r="I22" s="8">
        <f>32228624/1000</f>
        <v>32228.624</v>
      </c>
      <c r="J22" s="8">
        <f>32106864/1000</f>
        <v>32106.864000000001</v>
      </c>
      <c r="K22" s="8">
        <f>31683232/1000</f>
        <v>31683.232</v>
      </c>
      <c r="L22" s="8">
        <f>32445808/1000</f>
        <v>32445.808000000001</v>
      </c>
      <c r="M22" s="8">
        <f>34651424/1000</f>
        <v>34651.423999999999</v>
      </c>
      <c r="N22" s="8">
        <f>32715152/1000</f>
        <v>32715.151999999998</v>
      </c>
      <c r="O22" s="8">
        <f>32252000/1000</f>
        <v>32252</v>
      </c>
      <c r="P22" s="8">
        <f>32861248/1000</f>
        <v>32861.248</v>
      </c>
      <c r="Q22" s="8">
        <f>33499152/1000</f>
        <v>33499.152000000002</v>
      </c>
      <c r="R22" s="8">
        <f>35840576/1000</f>
        <v>35840.576000000001</v>
      </c>
      <c r="S22" s="8">
        <f>31386544/1000</f>
        <v>31386.544000000002</v>
      </c>
      <c r="T22" s="8">
        <f>29397344/1000</f>
        <v>29397.344000000001</v>
      </c>
      <c r="U22" s="8">
        <f>35474848/1000</f>
        <v>35474.847999999998</v>
      </c>
      <c r="V22" s="8">
        <f>34587408/1000</f>
        <v>34587.408000000003</v>
      </c>
      <c r="W22" s="8">
        <f>35278624/1000</f>
        <v>35278.624000000003</v>
      </c>
      <c r="X22" s="8">
        <f>33197404/1000</f>
        <v>33197.404000000002</v>
      </c>
      <c r="Y22" s="8">
        <f>35511016/1000</f>
        <v>35511.016000000003</v>
      </c>
      <c r="Z22" s="8">
        <f>34232016/1000</f>
        <v>34232.016000000003</v>
      </c>
      <c r="AA22" s="8">
        <f>34969728/1000</f>
        <v>34969.728000000003</v>
      </c>
      <c r="AB22" s="8">
        <f>34430840/1000</f>
        <v>34430.839999999997</v>
      </c>
      <c r="AC22" s="8">
        <f>44271184/1000</f>
        <v>44271.184000000001</v>
      </c>
      <c r="AD22" s="8">
        <f>45874232/1000</f>
        <v>45874.232000000004</v>
      </c>
      <c r="AE22" s="8">
        <f>42735216/1000</f>
        <v>42735.216</v>
      </c>
      <c r="AF22" s="8">
        <f>43910480/1000</f>
        <v>43910.48</v>
      </c>
      <c r="AG22" s="8">
        <f>39919368/1000</f>
        <v>39919.368000000002</v>
      </c>
      <c r="AH22" s="8">
        <f>38433992/1000</f>
        <v>38433.991999999998</v>
      </c>
      <c r="AI22" s="8">
        <f>41696600/1000</f>
        <v>41696.6</v>
      </c>
      <c r="AJ22" s="8">
        <f>42930960/1000</f>
        <v>42930.96</v>
      </c>
      <c r="AK22" s="8">
        <f>40586768/1000</f>
        <v>40586.767999999996</v>
      </c>
      <c r="AL22" s="8">
        <f>44452952/1000</f>
        <v>44452.951999999997</v>
      </c>
      <c r="AM22" s="8">
        <f>45080648/1000</f>
        <v>45080.648000000001</v>
      </c>
      <c r="AN22" s="8">
        <f>45219512/1000</f>
        <v>45219.512000000002</v>
      </c>
      <c r="AO22" s="8">
        <f>48895256/1000</f>
        <v>48895.256000000001</v>
      </c>
      <c r="AP22" s="8">
        <f>46880000/1000</f>
        <v>46880</v>
      </c>
      <c r="AQ22" s="8">
        <f>44100000/1000</f>
        <v>44100</v>
      </c>
      <c r="AR22" s="8">
        <f>47250000/1000</f>
        <v>47250</v>
      </c>
      <c r="AS22" s="8">
        <f>45635300/1000</f>
        <v>45635.3</v>
      </c>
      <c r="AT22" s="8">
        <f>47483984/1000</f>
        <v>47483.983999999997</v>
      </c>
      <c r="AU22" s="8">
        <f>48662244/1000</f>
        <v>48662.243999999999</v>
      </c>
      <c r="AV22" s="8">
        <f>51645544/1000</f>
        <v>51645.544000000002</v>
      </c>
      <c r="AW22" s="8">
        <f>50675820/1000</f>
        <v>50675.82</v>
      </c>
      <c r="AX22" s="8">
        <f>52089356/1000</f>
        <v>52089.356</v>
      </c>
      <c r="AY22" s="8">
        <f>51090721/1000</f>
        <v>51090.720999999998</v>
      </c>
      <c r="AZ22" s="8">
        <f>49492695/1000</f>
        <v>49492.695</v>
      </c>
      <c r="BA22" s="8">
        <f>50421619/1000</f>
        <v>50421.618999999999</v>
      </c>
      <c r="BB22" s="25">
        <f>49735273/1000</f>
        <v>49735.273000000001</v>
      </c>
      <c r="BC22" s="42">
        <f>50946483/1000</f>
        <v>50946.483</v>
      </c>
      <c r="BD22" s="42">
        <f>61182077/1000</f>
        <v>61182.076999999997</v>
      </c>
    </row>
    <row r="23" spans="1:56" s="5" customFormat="1" x14ac:dyDescent="0.25">
      <c r="A23" s="14"/>
      <c r="B23" s="2"/>
      <c r="C23" s="2" t="s">
        <v>45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778</v>
      </c>
      <c r="X23" s="4">
        <v>607</v>
      </c>
      <c r="Y23" s="4">
        <v>470</v>
      </c>
      <c r="Z23" s="4">
        <v>862</v>
      </c>
      <c r="AA23" s="4">
        <v>270</v>
      </c>
      <c r="AB23" s="4">
        <v>0</v>
      </c>
      <c r="AC23" s="4">
        <v>0</v>
      </c>
      <c r="AD23" s="4">
        <v>0</v>
      </c>
      <c r="AE23" s="4">
        <v>0</v>
      </c>
      <c r="AF23" s="4">
        <v>600</v>
      </c>
      <c r="AG23" s="3">
        <v>1100</v>
      </c>
      <c r="AH23" s="3">
        <v>1625</v>
      </c>
      <c r="AI23" s="4">
        <v>275</v>
      </c>
      <c r="AJ23" s="4">
        <v>78</v>
      </c>
      <c r="AK23" s="4">
        <v>94</v>
      </c>
      <c r="AL23" s="4">
        <v>49</v>
      </c>
      <c r="AM23" s="4">
        <v>234</v>
      </c>
      <c r="AN23" s="4">
        <v>191</v>
      </c>
      <c r="AO23" s="4">
        <v>31</v>
      </c>
      <c r="AP23" s="4">
        <v>41</v>
      </c>
      <c r="AQ23" s="4">
        <v>37</v>
      </c>
      <c r="AR23" s="4">
        <v>43</v>
      </c>
      <c r="AS23" s="4">
        <v>52</v>
      </c>
      <c r="AT23" s="4">
        <v>63</v>
      </c>
      <c r="AU23" s="4">
        <v>327</v>
      </c>
      <c r="AV23" s="4">
        <v>268</v>
      </c>
      <c r="AW23" s="4">
        <v>240</v>
      </c>
      <c r="AX23" s="4">
        <v>474</v>
      </c>
      <c r="AY23" s="4">
        <v>226</v>
      </c>
      <c r="AZ23" s="4">
        <v>160</v>
      </c>
      <c r="BA23" s="4">
        <v>861</v>
      </c>
      <c r="BB23" s="13">
        <v>225</v>
      </c>
      <c r="BC23" s="43"/>
      <c r="BD23" s="43"/>
    </row>
    <row r="24" spans="1:56" x14ac:dyDescent="0.25">
      <c r="A24" s="14"/>
      <c r="B24" s="6"/>
      <c r="C24" s="6" t="s">
        <v>44</v>
      </c>
      <c r="D24" s="7">
        <v>417</v>
      </c>
      <c r="E24" s="7">
        <v>357</v>
      </c>
      <c r="F24" s="7">
        <v>375</v>
      </c>
      <c r="G24" s="7">
        <v>484</v>
      </c>
      <c r="H24" s="7">
        <v>528</v>
      </c>
      <c r="I24" s="7">
        <v>475</v>
      </c>
      <c r="J24" s="7">
        <v>550</v>
      </c>
      <c r="K24" s="7">
        <v>610</v>
      </c>
      <c r="L24" s="7">
        <v>604</v>
      </c>
      <c r="M24" s="7">
        <v>548</v>
      </c>
      <c r="N24" s="7">
        <v>556</v>
      </c>
      <c r="O24" s="7">
        <v>532</v>
      </c>
      <c r="P24" s="7">
        <v>561</v>
      </c>
      <c r="Q24" s="7">
        <v>623</v>
      </c>
      <c r="R24" s="7">
        <v>232</v>
      </c>
      <c r="S24" s="7">
        <v>432</v>
      </c>
      <c r="T24" s="7">
        <v>0</v>
      </c>
      <c r="U24" s="7">
        <v>0</v>
      </c>
      <c r="V24" s="7">
        <v>103</v>
      </c>
      <c r="W24" s="7">
        <v>0</v>
      </c>
      <c r="X24" s="7">
        <v>0</v>
      </c>
      <c r="Y24" s="7">
        <v>0</v>
      </c>
      <c r="Z24" s="7">
        <v>40</v>
      </c>
      <c r="AA24" s="7">
        <v>0</v>
      </c>
      <c r="AB24" s="7">
        <v>11</v>
      </c>
      <c r="AC24" s="7">
        <v>192</v>
      </c>
      <c r="AD24" s="7">
        <v>425</v>
      </c>
      <c r="AE24" s="7">
        <v>967</v>
      </c>
      <c r="AF24" s="7">
        <v>410</v>
      </c>
      <c r="AG24" s="7">
        <v>170</v>
      </c>
      <c r="AH24" s="7">
        <v>285</v>
      </c>
      <c r="AI24" s="7">
        <v>204</v>
      </c>
      <c r="AJ24" s="7">
        <v>7</v>
      </c>
      <c r="AK24" s="7">
        <v>0</v>
      </c>
      <c r="AL24" s="7">
        <v>235</v>
      </c>
      <c r="AM24" s="7">
        <v>646</v>
      </c>
      <c r="AN24" s="7">
        <v>966</v>
      </c>
      <c r="AO24" s="8">
        <v>1076</v>
      </c>
      <c r="AP24" s="7">
        <v>524</v>
      </c>
      <c r="AQ24" s="7">
        <v>318</v>
      </c>
      <c r="AR24" s="7">
        <v>155</v>
      </c>
      <c r="AS24" s="7">
        <v>413</v>
      </c>
      <c r="AT24" s="7">
        <v>38</v>
      </c>
      <c r="AU24" s="7">
        <v>14</v>
      </c>
      <c r="AV24" s="7">
        <v>128</v>
      </c>
      <c r="AW24" s="7">
        <v>866</v>
      </c>
      <c r="AX24" s="7">
        <v>160</v>
      </c>
      <c r="AY24" s="7">
        <v>677</v>
      </c>
      <c r="AZ24" s="8">
        <v>1367</v>
      </c>
      <c r="BA24" s="7">
        <v>773</v>
      </c>
      <c r="BB24" s="15">
        <v>938</v>
      </c>
      <c r="BC24" s="42"/>
      <c r="BD24" s="42"/>
    </row>
    <row r="25" spans="1:56" s="5" customFormat="1" ht="30" x14ac:dyDescent="0.25">
      <c r="A25" s="14"/>
      <c r="B25" s="2"/>
      <c r="C25" s="2" t="s">
        <v>43</v>
      </c>
      <c r="D25" s="3">
        <f>D22+D23-D24</f>
        <v>18750.984</v>
      </c>
      <c r="E25" s="3">
        <f t="shared" ref="E25:BD25" si="0">E22+E23-E24</f>
        <v>20758.599999999999</v>
      </c>
      <c r="F25" s="3">
        <f t="shared" si="0"/>
        <v>21951.991999999998</v>
      </c>
      <c r="G25" s="3">
        <f t="shared" si="0"/>
        <v>26505.616000000002</v>
      </c>
      <c r="H25" s="3">
        <f t="shared" si="0"/>
        <v>30427.68</v>
      </c>
      <c r="I25" s="3">
        <f t="shared" si="0"/>
        <v>31753.624</v>
      </c>
      <c r="J25" s="3">
        <f t="shared" si="0"/>
        <v>31556.864000000001</v>
      </c>
      <c r="K25" s="3">
        <f t="shared" si="0"/>
        <v>31073.232</v>
      </c>
      <c r="L25" s="3">
        <f t="shared" si="0"/>
        <v>31841.808000000001</v>
      </c>
      <c r="M25" s="3">
        <f t="shared" si="0"/>
        <v>34103.423999999999</v>
      </c>
      <c r="N25" s="3">
        <f t="shared" si="0"/>
        <v>32159.151999999998</v>
      </c>
      <c r="O25" s="3">
        <f t="shared" si="0"/>
        <v>31720</v>
      </c>
      <c r="P25" s="3">
        <f t="shared" si="0"/>
        <v>32300.248</v>
      </c>
      <c r="Q25" s="3">
        <f t="shared" si="0"/>
        <v>32876.152000000002</v>
      </c>
      <c r="R25" s="3">
        <f t="shared" si="0"/>
        <v>35608.576000000001</v>
      </c>
      <c r="S25" s="3">
        <f t="shared" si="0"/>
        <v>30954.544000000002</v>
      </c>
      <c r="T25" s="3">
        <f t="shared" si="0"/>
        <v>29397.344000000001</v>
      </c>
      <c r="U25" s="3">
        <f t="shared" si="0"/>
        <v>35474.847999999998</v>
      </c>
      <c r="V25" s="3">
        <f t="shared" si="0"/>
        <v>34484.408000000003</v>
      </c>
      <c r="W25" s="3">
        <f t="shared" si="0"/>
        <v>36056.624000000003</v>
      </c>
      <c r="X25" s="3">
        <f t="shared" si="0"/>
        <v>33804.404000000002</v>
      </c>
      <c r="Y25" s="3">
        <f t="shared" si="0"/>
        <v>35981.016000000003</v>
      </c>
      <c r="Z25" s="3">
        <f t="shared" si="0"/>
        <v>35054.016000000003</v>
      </c>
      <c r="AA25" s="3">
        <f t="shared" si="0"/>
        <v>35239.728000000003</v>
      </c>
      <c r="AB25" s="3">
        <f t="shared" si="0"/>
        <v>34419.839999999997</v>
      </c>
      <c r="AC25" s="3">
        <f t="shared" si="0"/>
        <v>44079.184000000001</v>
      </c>
      <c r="AD25" s="3">
        <f t="shared" si="0"/>
        <v>45449.232000000004</v>
      </c>
      <c r="AE25" s="3">
        <f t="shared" si="0"/>
        <v>41768.216</v>
      </c>
      <c r="AF25" s="3">
        <f t="shared" si="0"/>
        <v>44100.480000000003</v>
      </c>
      <c r="AG25" s="3">
        <f t="shared" si="0"/>
        <v>40849.368000000002</v>
      </c>
      <c r="AH25" s="3">
        <f t="shared" si="0"/>
        <v>39773.991999999998</v>
      </c>
      <c r="AI25" s="3">
        <f t="shared" si="0"/>
        <v>41767.599999999999</v>
      </c>
      <c r="AJ25" s="3">
        <f t="shared" si="0"/>
        <v>43001.96</v>
      </c>
      <c r="AK25" s="3">
        <f t="shared" si="0"/>
        <v>40680.767999999996</v>
      </c>
      <c r="AL25" s="3">
        <f t="shared" si="0"/>
        <v>44266.951999999997</v>
      </c>
      <c r="AM25" s="3">
        <f t="shared" si="0"/>
        <v>44668.648000000001</v>
      </c>
      <c r="AN25" s="3">
        <f t="shared" si="0"/>
        <v>44444.512000000002</v>
      </c>
      <c r="AO25" s="3">
        <f t="shared" si="0"/>
        <v>47850.256000000001</v>
      </c>
      <c r="AP25" s="3">
        <f t="shared" si="0"/>
        <v>46397</v>
      </c>
      <c r="AQ25" s="3">
        <f t="shared" si="0"/>
        <v>43819</v>
      </c>
      <c r="AR25" s="3">
        <f t="shared" si="0"/>
        <v>47138</v>
      </c>
      <c r="AS25" s="3">
        <f t="shared" si="0"/>
        <v>45274.3</v>
      </c>
      <c r="AT25" s="3">
        <f t="shared" si="0"/>
        <v>47508.983999999997</v>
      </c>
      <c r="AU25" s="3">
        <f t="shared" si="0"/>
        <v>48975.243999999999</v>
      </c>
      <c r="AV25" s="3">
        <f t="shared" si="0"/>
        <v>51785.544000000002</v>
      </c>
      <c r="AW25" s="3">
        <f t="shared" si="0"/>
        <v>50049.82</v>
      </c>
      <c r="AX25" s="3">
        <f t="shared" si="0"/>
        <v>52403.356</v>
      </c>
      <c r="AY25" s="3">
        <f t="shared" si="0"/>
        <v>50639.720999999998</v>
      </c>
      <c r="AZ25" s="3">
        <f t="shared" si="0"/>
        <v>48285.695</v>
      </c>
      <c r="BA25" s="3">
        <f t="shared" si="0"/>
        <v>50509.618999999999</v>
      </c>
      <c r="BB25" s="3">
        <f t="shared" si="0"/>
        <v>49022.273000000001</v>
      </c>
      <c r="BC25" s="3">
        <f t="shared" si="0"/>
        <v>50946.483</v>
      </c>
      <c r="BD25" s="3">
        <f t="shared" si="0"/>
        <v>61182.076999999997</v>
      </c>
    </row>
    <row r="26" spans="1:56" x14ac:dyDescent="0.25">
      <c r="A26" s="12"/>
      <c r="B26" s="2" t="s">
        <v>15</v>
      </c>
      <c r="C26" s="2" t="s">
        <v>6</v>
      </c>
      <c r="D26" s="3">
        <v>1190</v>
      </c>
      <c r="E26" s="3">
        <v>1402</v>
      </c>
      <c r="F26" s="3">
        <v>1455</v>
      </c>
      <c r="G26" s="3">
        <v>1703</v>
      </c>
      <c r="H26" s="3">
        <v>1800</v>
      </c>
      <c r="I26" s="3">
        <v>2088</v>
      </c>
      <c r="J26" s="3">
        <v>1612</v>
      </c>
      <c r="K26" s="3">
        <v>2061</v>
      </c>
      <c r="L26" s="3">
        <v>1780</v>
      </c>
      <c r="M26" s="3">
        <v>1915</v>
      </c>
      <c r="N26" s="3">
        <v>2148</v>
      </c>
      <c r="O26" s="3">
        <v>2019</v>
      </c>
      <c r="P26" s="3">
        <v>1700</v>
      </c>
      <c r="Q26" s="3">
        <v>2000</v>
      </c>
      <c r="R26" s="3">
        <v>2400</v>
      </c>
      <c r="S26" s="3">
        <v>2900</v>
      </c>
      <c r="T26" s="3">
        <v>3350</v>
      </c>
      <c r="U26" s="3">
        <v>2300</v>
      </c>
      <c r="V26" s="3">
        <v>2350</v>
      </c>
      <c r="W26" s="3">
        <v>2280</v>
      </c>
      <c r="X26" s="3">
        <v>2650</v>
      </c>
      <c r="Y26" s="3">
        <v>3050</v>
      </c>
      <c r="Z26" s="3">
        <v>4200</v>
      </c>
      <c r="AA26" s="3">
        <v>3200</v>
      </c>
      <c r="AB26" s="3">
        <v>4200</v>
      </c>
      <c r="AC26" s="3">
        <v>4400</v>
      </c>
      <c r="AD26" s="3">
        <v>4500</v>
      </c>
      <c r="AE26" s="3">
        <v>3700</v>
      </c>
      <c r="AF26" s="3">
        <v>3200</v>
      </c>
      <c r="AG26" s="3">
        <v>4000</v>
      </c>
      <c r="AH26" s="3">
        <v>3930</v>
      </c>
      <c r="AI26" s="3">
        <v>4061</v>
      </c>
      <c r="AJ26" s="3">
        <v>3621</v>
      </c>
      <c r="AK26" s="3">
        <v>3582</v>
      </c>
      <c r="AL26" s="3">
        <v>4151</v>
      </c>
      <c r="AM26" s="3">
        <v>3468</v>
      </c>
      <c r="AN26" s="3">
        <v>3107</v>
      </c>
      <c r="AO26" s="3">
        <v>3639</v>
      </c>
      <c r="AP26" s="3">
        <v>3235</v>
      </c>
      <c r="AQ26" s="3">
        <v>3050</v>
      </c>
      <c r="AR26" s="3">
        <v>3400</v>
      </c>
      <c r="AS26" s="3">
        <v>3270</v>
      </c>
      <c r="AT26" s="3">
        <v>3230</v>
      </c>
      <c r="AU26" s="3">
        <v>2700</v>
      </c>
      <c r="AV26" s="3">
        <v>2420</v>
      </c>
      <c r="AW26" s="3">
        <v>3020</v>
      </c>
      <c r="AX26" s="3">
        <v>3240</v>
      </c>
      <c r="AY26" s="3">
        <v>3593</v>
      </c>
      <c r="AZ26" s="3">
        <v>4000</v>
      </c>
      <c r="BA26" s="3">
        <v>4300</v>
      </c>
      <c r="BB26" s="3">
        <v>3900</v>
      </c>
      <c r="BC26" s="42">
        <f>3627511/1000</f>
        <v>3627.511</v>
      </c>
      <c r="BD26" s="42">
        <f>3274337/1000</f>
        <v>3274.337</v>
      </c>
    </row>
    <row r="27" spans="1:56" s="5" customFormat="1" x14ac:dyDescent="0.25">
      <c r="A27" s="14"/>
      <c r="B27" s="6"/>
      <c r="C27" s="6" t="s">
        <v>7</v>
      </c>
      <c r="D27" s="7">
        <v>7</v>
      </c>
      <c r="E27" s="7">
        <v>20</v>
      </c>
      <c r="F27" s="7">
        <v>36</v>
      </c>
      <c r="G27" s="7">
        <v>54</v>
      </c>
      <c r="H27" s="7">
        <v>31</v>
      </c>
      <c r="I27" s="7">
        <v>7</v>
      </c>
      <c r="J27" s="7">
        <v>1</v>
      </c>
      <c r="K27" s="7">
        <v>1</v>
      </c>
      <c r="L27" s="7">
        <v>1</v>
      </c>
      <c r="M27" s="7">
        <v>49</v>
      </c>
      <c r="N27" s="7">
        <v>5</v>
      </c>
      <c r="O27" s="7">
        <v>409</v>
      </c>
      <c r="P27" s="7">
        <v>650</v>
      </c>
      <c r="Q27" s="7">
        <v>790</v>
      </c>
      <c r="R27" s="7">
        <v>832</v>
      </c>
      <c r="S27" s="7">
        <v>1</v>
      </c>
      <c r="T27" s="7">
        <v>1</v>
      </c>
      <c r="U27" s="7">
        <v>625</v>
      </c>
      <c r="V27" s="8">
        <v>1055</v>
      </c>
      <c r="W27" s="8">
        <v>1005</v>
      </c>
      <c r="X27" s="8">
        <v>1235</v>
      </c>
      <c r="Y27" s="7">
        <v>938</v>
      </c>
      <c r="Z27" s="7">
        <v>50</v>
      </c>
      <c r="AA27" s="7">
        <v>566</v>
      </c>
      <c r="AB27" s="7">
        <v>491</v>
      </c>
      <c r="AC27" s="7">
        <v>92</v>
      </c>
      <c r="AD27" s="7">
        <v>575</v>
      </c>
      <c r="AE27" s="7">
        <v>724</v>
      </c>
      <c r="AF27" s="8">
        <v>1046</v>
      </c>
      <c r="AG27" s="7">
        <v>220</v>
      </c>
      <c r="AH27" s="7">
        <v>486</v>
      </c>
      <c r="AI27" s="7">
        <v>739</v>
      </c>
      <c r="AJ27" s="8">
        <v>1350</v>
      </c>
      <c r="AK27" s="8">
        <v>1828</v>
      </c>
      <c r="AL27" s="8">
        <v>1374</v>
      </c>
      <c r="AM27" s="8">
        <v>1581</v>
      </c>
      <c r="AN27" s="8">
        <v>1940</v>
      </c>
      <c r="AO27" s="8">
        <v>2166</v>
      </c>
      <c r="AP27" s="8">
        <v>2485</v>
      </c>
      <c r="AQ27" s="8">
        <v>2632</v>
      </c>
      <c r="AR27" s="8">
        <v>3066</v>
      </c>
      <c r="AS27" s="8">
        <v>3171</v>
      </c>
      <c r="AT27" s="8">
        <v>3161</v>
      </c>
      <c r="AU27" s="8">
        <v>3644</v>
      </c>
      <c r="AV27" s="8">
        <v>3717</v>
      </c>
      <c r="AW27" s="8">
        <v>3549</v>
      </c>
      <c r="AX27" s="8">
        <v>3607</v>
      </c>
      <c r="AY27" s="8">
        <v>3136</v>
      </c>
      <c r="AZ27" s="8">
        <v>3342</v>
      </c>
      <c r="BA27" s="8">
        <v>3196</v>
      </c>
      <c r="BB27" s="8">
        <v>3500</v>
      </c>
      <c r="BC27" s="43">
        <f>4047832/1000</f>
        <v>4047.8319999999999</v>
      </c>
      <c r="BD27" s="43"/>
    </row>
    <row r="28" spans="1:56" x14ac:dyDescent="0.25">
      <c r="A28" s="12"/>
      <c r="B28" s="2"/>
      <c r="C28" s="2" t="s">
        <v>8</v>
      </c>
      <c r="D28" s="4">
        <v>0</v>
      </c>
      <c r="E28" s="4">
        <v>0</v>
      </c>
      <c r="F28" s="4">
        <v>0</v>
      </c>
      <c r="G28" s="4">
        <v>282</v>
      </c>
      <c r="H28" s="4">
        <v>406</v>
      </c>
      <c r="I28" s="4">
        <v>477</v>
      </c>
      <c r="J28" s="4">
        <v>30</v>
      </c>
      <c r="K28" s="4">
        <v>175</v>
      </c>
      <c r="L28" s="4">
        <v>0</v>
      </c>
      <c r="M28" s="4">
        <v>262</v>
      </c>
      <c r="N28" s="4">
        <v>40</v>
      </c>
      <c r="O28" s="4">
        <v>65</v>
      </c>
      <c r="P28" s="4">
        <v>16</v>
      </c>
      <c r="Q28" s="4">
        <v>10</v>
      </c>
      <c r="R28" s="4">
        <v>19</v>
      </c>
      <c r="S28" s="4">
        <v>31</v>
      </c>
      <c r="T28" s="4">
        <v>40</v>
      </c>
      <c r="U28" s="4">
        <v>17</v>
      </c>
      <c r="V28" s="4">
        <v>15</v>
      </c>
      <c r="W28" s="4">
        <v>15</v>
      </c>
      <c r="X28" s="4">
        <v>10</v>
      </c>
      <c r="Y28" s="4">
        <v>5</v>
      </c>
      <c r="Z28" s="4">
        <v>10</v>
      </c>
      <c r="AA28" s="4">
        <v>2</v>
      </c>
      <c r="AB28" s="4">
        <v>5</v>
      </c>
      <c r="AC28" s="4">
        <v>6</v>
      </c>
      <c r="AD28" s="4">
        <v>3</v>
      </c>
      <c r="AE28" s="4">
        <v>52</v>
      </c>
      <c r="AF28" s="4">
        <v>231</v>
      </c>
      <c r="AG28" s="4">
        <v>200</v>
      </c>
      <c r="AH28" s="4">
        <v>7</v>
      </c>
      <c r="AI28" s="4">
        <v>8</v>
      </c>
      <c r="AJ28" s="4">
        <v>8</v>
      </c>
      <c r="AK28" s="4">
        <v>12</v>
      </c>
      <c r="AL28" s="4">
        <v>135</v>
      </c>
      <c r="AM28" s="4">
        <v>472</v>
      </c>
      <c r="AN28" s="4">
        <v>227</v>
      </c>
      <c r="AO28" s="4">
        <v>374</v>
      </c>
      <c r="AP28" s="4">
        <v>311</v>
      </c>
      <c r="AQ28" s="4">
        <v>404</v>
      </c>
      <c r="AR28" s="4">
        <v>705</v>
      </c>
      <c r="AS28" s="4">
        <v>548</v>
      </c>
      <c r="AT28" s="4">
        <v>597</v>
      </c>
      <c r="AU28" s="4">
        <v>451</v>
      </c>
      <c r="AV28" s="4">
        <v>504</v>
      </c>
      <c r="AW28" s="4">
        <v>533</v>
      </c>
      <c r="AX28" s="4">
        <v>548</v>
      </c>
      <c r="AY28" s="3">
        <v>1261</v>
      </c>
      <c r="AZ28" s="3">
        <v>1406</v>
      </c>
      <c r="BA28" s="4">
        <v>839</v>
      </c>
      <c r="BB28" s="4">
        <v>700</v>
      </c>
      <c r="BC28" s="42">
        <f>835908/1000</f>
        <v>835.90800000000002</v>
      </c>
      <c r="BD28" s="42"/>
    </row>
    <row r="29" spans="1:56" s="5" customFormat="1" x14ac:dyDescent="0.25">
      <c r="A29" s="14"/>
      <c r="B29" s="6"/>
      <c r="C29" s="6" t="s">
        <v>9</v>
      </c>
      <c r="D29" s="8">
        <v>1253</v>
      </c>
      <c r="E29" s="8">
        <v>1305</v>
      </c>
      <c r="F29" s="8">
        <v>1435</v>
      </c>
      <c r="G29" s="8">
        <v>1469</v>
      </c>
      <c r="H29" s="8">
        <v>1553</v>
      </c>
      <c r="I29" s="8">
        <v>1600</v>
      </c>
      <c r="J29" s="8">
        <v>1650</v>
      </c>
      <c r="K29" s="8">
        <v>1750</v>
      </c>
      <c r="L29" s="8">
        <v>1800</v>
      </c>
      <c r="M29" s="8">
        <v>1850</v>
      </c>
      <c r="N29" s="8">
        <v>2100</v>
      </c>
      <c r="O29" s="8">
        <v>2342</v>
      </c>
      <c r="P29" s="8">
        <v>2390</v>
      </c>
      <c r="Q29" s="8">
        <v>2729</v>
      </c>
      <c r="R29" s="8">
        <v>2873</v>
      </c>
      <c r="S29" s="8">
        <v>2990</v>
      </c>
      <c r="T29" s="8">
        <v>3180</v>
      </c>
      <c r="U29" s="8">
        <v>3155</v>
      </c>
      <c r="V29" s="8">
        <v>3400</v>
      </c>
      <c r="W29" s="8">
        <v>3400</v>
      </c>
      <c r="X29" s="8">
        <v>3500</v>
      </c>
      <c r="Y29" s="8">
        <v>4000</v>
      </c>
      <c r="Z29" s="8">
        <v>4093</v>
      </c>
      <c r="AA29" s="8">
        <v>4100</v>
      </c>
      <c r="AB29" s="8">
        <v>4350</v>
      </c>
      <c r="AC29" s="8">
        <v>4640</v>
      </c>
      <c r="AD29" s="8">
        <v>5112</v>
      </c>
      <c r="AE29" s="8">
        <v>4272</v>
      </c>
      <c r="AF29" s="8">
        <v>4103</v>
      </c>
      <c r="AG29" s="8">
        <v>4152</v>
      </c>
      <c r="AH29" s="8">
        <v>4454</v>
      </c>
      <c r="AI29" s="8">
        <v>4622</v>
      </c>
      <c r="AJ29" s="8">
        <v>4888</v>
      </c>
      <c r="AK29" s="8">
        <v>5398</v>
      </c>
      <c r="AL29" s="8">
        <v>5265</v>
      </c>
      <c r="AM29" s="8">
        <v>4707</v>
      </c>
      <c r="AN29" s="8">
        <v>4815</v>
      </c>
      <c r="AO29" s="8">
        <v>5181</v>
      </c>
      <c r="AP29" s="8">
        <v>5409</v>
      </c>
      <c r="AQ29" s="8">
        <v>5378</v>
      </c>
      <c r="AR29" s="8">
        <v>5580</v>
      </c>
      <c r="AS29" s="8">
        <v>5818</v>
      </c>
      <c r="AT29" s="8">
        <v>5900</v>
      </c>
      <c r="AU29" s="8">
        <v>5900</v>
      </c>
      <c r="AV29" s="8">
        <v>6000</v>
      </c>
      <c r="AW29" s="8">
        <v>6100</v>
      </c>
      <c r="AX29" s="8">
        <v>6200</v>
      </c>
      <c r="AY29" s="8">
        <v>5500</v>
      </c>
      <c r="AZ29" s="8">
        <v>6000</v>
      </c>
      <c r="BA29" s="8">
        <v>6050</v>
      </c>
      <c r="BB29" s="8">
        <v>6350</v>
      </c>
      <c r="BC29" s="43">
        <f>BC26+BC27-BC28</f>
        <v>6839.4349999999995</v>
      </c>
      <c r="BD29" s="43"/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89"/>
  <sheetViews>
    <sheetView zoomScaleNormal="100" workbookViewId="0">
      <pane xSplit="6" ySplit="15" topLeftCell="G179" activePane="bottomRight" state="frozen"/>
      <selection pane="topRight" activeCell="G1" sqref="G1"/>
      <selection pane="bottomLeft" activeCell="A16" sqref="A16"/>
      <selection pane="bottomRight" activeCell="BB5" sqref="BB5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x14ac:dyDescent="0.25">
      <c r="A2" s="12" t="s">
        <v>27</v>
      </c>
      <c r="B2" s="2" t="s">
        <v>5</v>
      </c>
      <c r="C2" s="2" t="s">
        <v>6</v>
      </c>
      <c r="D2" s="4">
        <v>914</v>
      </c>
      <c r="E2" s="3">
        <v>1000</v>
      </c>
      <c r="F2" s="4">
        <v>900</v>
      </c>
      <c r="G2" s="3">
        <v>1050</v>
      </c>
      <c r="H2" s="3">
        <v>1090</v>
      </c>
      <c r="I2" s="3">
        <v>1040</v>
      </c>
      <c r="J2" s="3">
        <v>1020</v>
      </c>
      <c r="K2" s="3">
        <v>1000</v>
      </c>
      <c r="L2" s="4">
        <v>950</v>
      </c>
      <c r="M2" s="3">
        <v>1426</v>
      </c>
      <c r="N2" s="3">
        <v>1310</v>
      </c>
      <c r="O2" s="4">
        <v>931</v>
      </c>
      <c r="P2" s="3">
        <v>1182</v>
      </c>
      <c r="Q2" s="3">
        <v>1287</v>
      </c>
      <c r="R2" s="3">
        <v>1350</v>
      </c>
      <c r="S2" s="3">
        <v>1400</v>
      </c>
      <c r="T2" s="3">
        <v>1440</v>
      </c>
      <c r="U2" s="3">
        <v>1500</v>
      </c>
      <c r="V2" s="3">
        <v>1640</v>
      </c>
      <c r="W2" s="3">
        <v>1670</v>
      </c>
      <c r="X2" s="3">
        <v>1720</v>
      </c>
      <c r="Y2" s="3">
        <v>1750</v>
      </c>
      <c r="Z2" s="3">
        <v>1785</v>
      </c>
      <c r="AA2" s="3">
        <v>1660</v>
      </c>
      <c r="AB2" s="3">
        <v>1800</v>
      </c>
      <c r="AC2" s="3">
        <v>2000</v>
      </c>
      <c r="AD2" s="3">
        <v>2000</v>
      </c>
      <c r="AE2" s="3">
        <v>1900</v>
      </c>
      <c r="AF2" s="3">
        <v>2200</v>
      </c>
      <c r="AG2" s="3">
        <v>1900</v>
      </c>
      <c r="AH2" s="3">
        <v>5810</v>
      </c>
      <c r="AI2" s="3">
        <v>5840</v>
      </c>
      <c r="AJ2" s="3">
        <v>5771</v>
      </c>
      <c r="AK2" s="3">
        <v>6291</v>
      </c>
      <c r="AL2" s="3">
        <v>6417</v>
      </c>
      <c r="AM2" s="3">
        <v>6500</v>
      </c>
      <c r="AN2" s="3">
        <v>5000</v>
      </c>
      <c r="AO2" s="3">
        <v>4900</v>
      </c>
      <c r="AP2" s="3">
        <v>4950</v>
      </c>
      <c r="AQ2" s="3">
        <v>5100</v>
      </c>
      <c r="AR2" s="3">
        <v>4000</v>
      </c>
      <c r="AS2" s="3">
        <v>5000</v>
      </c>
      <c r="AT2" s="3">
        <v>5200</v>
      </c>
      <c r="AU2" s="3">
        <v>5500</v>
      </c>
      <c r="AV2" s="3">
        <v>6500</v>
      </c>
      <c r="AW2" s="3">
        <v>7000</v>
      </c>
      <c r="AX2" s="3">
        <v>7800</v>
      </c>
      <c r="AY2" s="3">
        <v>6500</v>
      </c>
      <c r="AZ2" s="3">
        <v>7970</v>
      </c>
      <c r="BA2" s="3">
        <v>8759</v>
      </c>
      <c r="BB2" s="44">
        <f>8878456/1000</f>
        <v>8878.4560000000001</v>
      </c>
      <c r="BC2" s="42">
        <f>8694900/1000</f>
        <v>8694.9</v>
      </c>
      <c r="BD2" s="42">
        <f>10400000/1000</f>
        <v>10400</v>
      </c>
    </row>
    <row r="3" spans="1:56" s="5" customFormat="1" x14ac:dyDescent="0.25">
      <c r="A3" s="14"/>
      <c r="B3" s="6"/>
      <c r="C3" s="6" t="s">
        <v>7</v>
      </c>
      <c r="D3" s="7">
        <v>0</v>
      </c>
      <c r="E3" s="7">
        <v>0</v>
      </c>
      <c r="F3" s="7">
        <v>0</v>
      </c>
      <c r="G3" s="7">
        <v>0</v>
      </c>
      <c r="H3" s="7">
        <v>0</v>
      </c>
      <c r="I3" s="7">
        <v>0</v>
      </c>
      <c r="J3" s="7">
        <v>0</v>
      </c>
      <c r="K3" s="7">
        <v>0</v>
      </c>
      <c r="L3" s="7">
        <v>1</v>
      </c>
      <c r="M3" s="7">
        <v>1</v>
      </c>
      <c r="N3" s="7">
        <v>10</v>
      </c>
      <c r="O3" s="7">
        <v>2</v>
      </c>
      <c r="P3" s="7">
        <v>2</v>
      </c>
      <c r="Q3" s="7">
        <v>2</v>
      </c>
      <c r="R3" s="7">
        <v>3</v>
      </c>
      <c r="S3" s="7">
        <v>1</v>
      </c>
      <c r="T3" s="7">
        <v>25</v>
      </c>
      <c r="U3" s="7">
        <v>75</v>
      </c>
      <c r="V3" s="7">
        <v>40</v>
      </c>
      <c r="W3" s="7">
        <v>175</v>
      </c>
      <c r="X3" s="7">
        <v>300</v>
      </c>
      <c r="Y3" s="7">
        <v>400</v>
      </c>
      <c r="Z3" s="7">
        <v>375</v>
      </c>
      <c r="AA3" s="7">
        <v>100</v>
      </c>
      <c r="AB3" s="7">
        <v>120</v>
      </c>
      <c r="AC3" s="7">
        <v>50</v>
      </c>
      <c r="AD3" s="7">
        <v>0</v>
      </c>
      <c r="AE3" s="7">
        <v>0</v>
      </c>
      <c r="AF3" s="7">
        <v>0</v>
      </c>
      <c r="AG3" s="7">
        <v>0</v>
      </c>
      <c r="AH3" s="7">
        <v>0</v>
      </c>
      <c r="AI3" s="7">
        <v>0</v>
      </c>
      <c r="AJ3" s="7">
        <v>15</v>
      </c>
      <c r="AK3" s="7">
        <v>0</v>
      </c>
      <c r="AL3" s="7">
        <v>0</v>
      </c>
      <c r="AM3" s="7">
        <v>0</v>
      </c>
      <c r="AN3" s="7">
        <v>16</v>
      </c>
      <c r="AO3" s="7">
        <v>4</v>
      </c>
      <c r="AP3" s="7">
        <v>0</v>
      </c>
      <c r="AQ3" s="7">
        <v>0</v>
      </c>
      <c r="AR3" s="7">
        <v>0</v>
      </c>
      <c r="AS3" s="7">
        <v>41</v>
      </c>
      <c r="AT3" s="7">
        <v>8</v>
      </c>
      <c r="AU3" s="7">
        <v>0</v>
      </c>
      <c r="AV3" s="7">
        <v>18</v>
      </c>
      <c r="AW3" s="7">
        <v>9</v>
      </c>
      <c r="AX3" s="7">
        <v>0</v>
      </c>
      <c r="AY3" s="7">
        <v>0</v>
      </c>
      <c r="AZ3" s="7">
        <v>50</v>
      </c>
      <c r="BA3" s="7">
        <v>100</v>
      </c>
      <c r="BB3" s="47">
        <f>812/1000</f>
        <v>0.81200000000000006</v>
      </c>
      <c r="BC3" s="43"/>
      <c r="BD3" s="43"/>
    </row>
    <row r="4" spans="1:56" x14ac:dyDescent="0.25">
      <c r="A4" s="12"/>
      <c r="B4" s="2"/>
      <c r="C4" s="2" t="s">
        <v>8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P4" s="4">
        <v>0</v>
      </c>
      <c r="Q4" s="4">
        <v>0</v>
      </c>
      <c r="R4" s="4">
        <v>0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  <c r="AF4" s="4">
        <v>0</v>
      </c>
      <c r="AG4" s="4">
        <v>0</v>
      </c>
      <c r="AH4" s="4">
        <v>0</v>
      </c>
      <c r="AI4" s="4">
        <v>0</v>
      </c>
      <c r="AJ4" s="4">
        <v>0</v>
      </c>
      <c r="AK4" s="4">
        <v>0</v>
      </c>
      <c r="AL4" s="4">
        <v>0</v>
      </c>
      <c r="AM4" s="4">
        <v>0</v>
      </c>
      <c r="AN4" s="4">
        <v>0</v>
      </c>
      <c r="AO4" s="4">
        <v>0</v>
      </c>
      <c r="AP4" s="4">
        <v>0</v>
      </c>
      <c r="AQ4" s="4">
        <v>0</v>
      </c>
      <c r="AR4" s="4">
        <v>0</v>
      </c>
      <c r="AS4" s="4">
        <v>0</v>
      </c>
      <c r="AT4" s="4">
        <v>0</v>
      </c>
      <c r="AU4" s="4">
        <v>0</v>
      </c>
      <c r="AV4" s="4">
        <v>200</v>
      </c>
      <c r="AW4" s="4">
        <v>200</v>
      </c>
      <c r="AX4" s="4">
        <v>100</v>
      </c>
      <c r="AY4" s="4">
        <v>100</v>
      </c>
      <c r="AZ4" s="4">
        <v>100</v>
      </c>
      <c r="BA4" s="4">
        <v>100</v>
      </c>
      <c r="BB4" s="44">
        <f>8/1000</f>
        <v>8.0000000000000002E-3</v>
      </c>
      <c r="BC4" s="42"/>
      <c r="BD4" s="42"/>
    </row>
    <row r="5" spans="1:56" s="5" customFormat="1" x14ac:dyDescent="0.25">
      <c r="A5" s="14"/>
      <c r="B5" s="6"/>
      <c r="C5" s="6" t="s">
        <v>9</v>
      </c>
      <c r="D5" s="7">
        <v>914</v>
      </c>
      <c r="E5" s="8">
        <v>1000</v>
      </c>
      <c r="F5" s="7">
        <v>900</v>
      </c>
      <c r="G5" s="8">
        <v>1050</v>
      </c>
      <c r="H5" s="8">
        <v>1090</v>
      </c>
      <c r="I5" s="8">
        <v>1040</v>
      </c>
      <c r="J5" s="8">
        <v>1020</v>
      </c>
      <c r="K5" s="8">
        <v>1000</v>
      </c>
      <c r="L5" s="7">
        <v>951</v>
      </c>
      <c r="M5" s="8">
        <v>1427</v>
      </c>
      <c r="N5" s="8">
        <v>1320</v>
      </c>
      <c r="O5" s="7">
        <v>933</v>
      </c>
      <c r="P5" s="8">
        <v>1184</v>
      </c>
      <c r="Q5" s="8">
        <v>1289</v>
      </c>
      <c r="R5" s="8">
        <v>1353</v>
      </c>
      <c r="S5" s="8">
        <v>1401</v>
      </c>
      <c r="T5" s="8">
        <v>1465</v>
      </c>
      <c r="U5" s="8">
        <v>1530</v>
      </c>
      <c r="V5" s="8">
        <v>1660</v>
      </c>
      <c r="W5" s="8">
        <v>1785</v>
      </c>
      <c r="X5" s="8">
        <v>1985</v>
      </c>
      <c r="Y5" s="8">
        <v>2130</v>
      </c>
      <c r="Z5" s="8">
        <v>2175</v>
      </c>
      <c r="AA5" s="8">
        <v>1900</v>
      </c>
      <c r="AB5" s="8">
        <v>1930</v>
      </c>
      <c r="AC5" s="8">
        <v>1965</v>
      </c>
      <c r="AD5" s="8">
        <v>1900</v>
      </c>
      <c r="AE5" s="8">
        <v>2000</v>
      </c>
      <c r="AF5" s="8">
        <v>2150</v>
      </c>
      <c r="AG5" s="8">
        <v>1850</v>
      </c>
      <c r="AH5" s="8">
        <v>5810</v>
      </c>
      <c r="AI5" s="8">
        <v>5840</v>
      </c>
      <c r="AJ5" s="8">
        <v>5786</v>
      </c>
      <c r="AK5" s="8">
        <v>6291</v>
      </c>
      <c r="AL5" s="8">
        <v>6417</v>
      </c>
      <c r="AM5" s="8">
        <v>6500</v>
      </c>
      <c r="AN5" s="8">
        <v>5116</v>
      </c>
      <c r="AO5" s="8">
        <v>4904</v>
      </c>
      <c r="AP5" s="8">
        <v>4950</v>
      </c>
      <c r="AQ5" s="8">
        <v>5100</v>
      </c>
      <c r="AR5" s="8">
        <v>4000</v>
      </c>
      <c r="AS5" s="8">
        <v>5030</v>
      </c>
      <c r="AT5" s="8">
        <v>5200</v>
      </c>
      <c r="AU5" s="8">
        <v>5500</v>
      </c>
      <c r="AV5" s="8">
        <v>6300</v>
      </c>
      <c r="AW5" s="8">
        <v>6800</v>
      </c>
      <c r="AX5" s="8">
        <v>7600</v>
      </c>
      <c r="AY5" s="8">
        <v>6550</v>
      </c>
      <c r="AZ5" s="8">
        <v>7900</v>
      </c>
      <c r="BA5" s="8">
        <v>8600</v>
      </c>
      <c r="BB5" s="47">
        <f>BB2+BB3-BB4</f>
        <v>8879.26</v>
      </c>
      <c r="BC5" s="43"/>
      <c r="BD5" s="43"/>
    </row>
    <row r="6" spans="1:56" x14ac:dyDescent="0.25">
      <c r="A6" s="12"/>
      <c r="B6" s="2" t="s">
        <v>10</v>
      </c>
      <c r="C6" s="2" t="s">
        <v>6</v>
      </c>
      <c r="D6" s="4">
        <v>260</v>
      </c>
      <c r="E6" s="4">
        <v>165</v>
      </c>
      <c r="F6" s="4">
        <v>250</v>
      </c>
      <c r="G6" s="4">
        <v>210</v>
      </c>
      <c r="H6" s="4">
        <v>200</v>
      </c>
      <c r="I6" s="4">
        <v>200</v>
      </c>
      <c r="J6" s="4">
        <v>235</v>
      </c>
      <c r="K6" s="4">
        <v>125</v>
      </c>
      <c r="L6" s="4">
        <v>260</v>
      </c>
      <c r="M6" s="4">
        <v>420</v>
      </c>
      <c r="N6" s="4">
        <v>180</v>
      </c>
      <c r="O6" s="4">
        <v>175</v>
      </c>
      <c r="P6" s="4">
        <v>215</v>
      </c>
      <c r="Q6" s="4">
        <v>142</v>
      </c>
      <c r="R6" s="4">
        <v>240</v>
      </c>
      <c r="S6" s="4">
        <v>280</v>
      </c>
      <c r="T6" s="4">
        <v>370</v>
      </c>
      <c r="U6" s="4">
        <v>166</v>
      </c>
      <c r="V6" s="4">
        <v>170</v>
      </c>
      <c r="W6" s="4">
        <v>137</v>
      </c>
      <c r="X6" s="4">
        <v>125</v>
      </c>
      <c r="Y6" s="4">
        <v>95</v>
      </c>
      <c r="Z6" s="4">
        <v>90</v>
      </c>
      <c r="AA6" s="4">
        <v>64</v>
      </c>
      <c r="AB6" s="4">
        <v>73</v>
      </c>
      <c r="AC6" s="4">
        <v>46</v>
      </c>
      <c r="AD6" s="4">
        <v>129</v>
      </c>
      <c r="AE6" s="4">
        <v>138</v>
      </c>
      <c r="AF6" s="4">
        <v>193</v>
      </c>
      <c r="AG6" s="4">
        <v>188</v>
      </c>
      <c r="AH6" s="4">
        <v>165</v>
      </c>
      <c r="AI6" s="4">
        <v>276</v>
      </c>
      <c r="AJ6" s="4">
        <v>289</v>
      </c>
      <c r="AK6" s="4">
        <v>239</v>
      </c>
      <c r="AL6" s="4">
        <v>299</v>
      </c>
      <c r="AM6" s="4">
        <v>459</v>
      </c>
      <c r="AN6" s="4">
        <v>436</v>
      </c>
      <c r="AO6" s="4">
        <v>322</v>
      </c>
      <c r="AP6" s="4">
        <v>300</v>
      </c>
      <c r="AQ6" s="4">
        <v>230</v>
      </c>
      <c r="AR6" s="4">
        <v>400</v>
      </c>
      <c r="AS6" s="4">
        <v>450</v>
      </c>
      <c r="AT6" s="4">
        <v>390</v>
      </c>
      <c r="AU6" s="4">
        <v>415</v>
      </c>
      <c r="AV6" s="4">
        <v>420</v>
      </c>
      <c r="AW6" s="4">
        <v>400</v>
      </c>
      <c r="AX6" s="4">
        <v>400</v>
      </c>
      <c r="AY6" s="4">
        <v>450</v>
      </c>
      <c r="AZ6" s="4">
        <v>425</v>
      </c>
      <c r="BA6" s="4">
        <v>450</v>
      </c>
      <c r="BB6" s="44">
        <v>475</v>
      </c>
      <c r="BC6" s="42">
        <f>103000/1000</f>
        <v>103</v>
      </c>
      <c r="BD6" s="42">
        <f>111500/1000</f>
        <v>111.5</v>
      </c>
    </row>
    <row r="7" spans="1:56" s="5" customFormat="1" x14ac:dyDescent="0.25">
      <c r="A7" s="14"/>
      <c r="B7" s="6"/>
      <c r="C7" s="6" t="s">
        <v>7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12</v>
      </c>
      <c r="R7" s="7">
        <v>109</v>
      </c>
      <c r="S7" s="7">
        <v>19</v>
      </c>
      <c r="T7" s="7">
        <v>2</v>
      </c>
      <c r="U7" s="7">
        <v>6</v>
      </c>
      <c r="V7" s="7">
        <v>1</v>
      </c>
      <c r="W7" s="7">
        <v>14</v>
      </c>
      <c r="X7" s="7">
        <v>0</v>
      </c>
      <c r="Y7" s="7">
        <v>60</v>
      </c>
      <c r="Z7" s="7">
        <v>115</v>
      </c>
      <c r="AA7" s="7">
        <v>248</v>
      </c>
      <c r="AB7" s="7">
        <v>207</v>
      </c>
      <c r="AC7" s="7">
        <v>184</v>
      </c>
      <c r="AD7" s="7">
        <v>78</v>
      </c>
      <c r="AE7" s="7">
        <v>110</v>
      </c>
      <c r="AF7" s="7">
        <v>207</v>
      </c>
      <c r="AG7" s="7">
        <v>50</v>
      </c>
      <c r="AH7" s="7">
        <v>211</v>
      </c>
      <c r="AI7" s="7">
        <v>93</v>
      </c>
      <c r="AJ7" s="7">
        <v>93</v>
      </c>
      <c r="AK7" s="7">
        <v>100</v>
      </c>
      <c r="AL7" s="7">
        <v>115</v>
      </c>
      <c r="AM7" s="7">
        <v>46</v>
      </c>
      <c r="AN7" s="7">
        <v>46</v>
      </c>
      <c r="AO7" s="7">
        <v>69</v>
      </c>
      <c r="AP7" s="7">
        <v>70</v>
      </c>
      <c r="AQ7" s="7">
        <v>70</v>
      </c>
      <c r="AR7" s="7">
        <v>70</v>
      </c>
      <c r="AS7" s="7">
        <v>70</v>
      </c>
      <c r="AT7" s="7">
        <v>70</v>
      </c>
      <c r="AU7" s="7">
        <v>70</v>
      </c>
      <c r="AV7" s="7">
        <v>70</v>
      </c>
      <c r="AW7" s="7">
        <v>70</v>
      </c>
      <c r="AX7" s="7">
        <v>75</v>
      </c>
      <c r="AY7" s="7">
        <v>70</v>
      </c>
      <c r="AZ7" s="7">
        <v>50</v>
      </c>
      <c r="BA7" s="7">
        <v>50</v>
      </c>
      <c r="BB7" s="47">
        <v>50</v>
      </c>
      <c r="BC7" s="43">
        <f>20/1000</f>
        <v>0.02</v>
      </c>
      <c r="BD7" s="43"/>
    </row>
    <row r="8" spans="1:56" x14ac:dyDescent="0.25">
      <c r="A8" s="12"/>
      <c r="B8" s="2"/>
      <c r="C8" s="2" t="s">
        <v>8</v>
      </c>
      <c r="D8" s="4">
        <v>181</v>
      </c>
      <c r="E8" s="4">
        <v>168</v>
      </c>
      <c r="F8" s="4">
        <v>141</v>
      </c>
      <c r="G8" s="4">
        <v>145</v>
      </c>
      <c r="H8" s="4">
        <v>89</v>
      </c>
      <c r="I8" s="4">
        <v>113</v>
      </c>
      <c r="J8" s="4">
        <v>110</v>
      </c>
      <c r="K8" s="4">
        <v>114</v>
      </c>
      <c r="L8" s="4">
        <v>51</v>
      </c>
      <c r="M8" s="4">
        <v>88</v>
      </c>
      <c r="N8" s="4">
        <v>191</v>
      </c>
      <c r="O8" s="4">
        <v>5</v>
      </c>
      <c r="P8" s="4">
        <v>30</v>
      </c>
      <c r="Q8" s="4">
        <v>8</v>
      </c>
      <c r="R8" s="4">
        <v>0</v>
      </c>
      <c r="S8" s="4">
        <v>0</v>
      </c>
      <c r="T8" s="4">
        <v>30</v>
      </c>
      <c r="U8" s="4">
        <v>21</v>
      </c>
      <c r="V8" s="4">
        <v>105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  <c r="AF8" s="4">
        <v>32</v>
      </c>
      <c r="AG8" s="4">
        <v>9</v>
      </c>
      <c r="AH8" s="4">
        <v>0</v>
      </c>
      <c r="AI8" s="4">
        <v>0</v>
      </c>
      <c r="AJ8" s="4">
        <v>0</v>
      </c>
      <c r="AK8" s="4">
        <v>0</v>
      </c>
      <c r="AL8" s="4">
        <v>0</v>
      </c>
      <c r="AM8" s="4">
        <v>0</v>
      </c>
      <c r="AN8" s="4">
        <v>70</v>
      </c>
      <c r="AO8" s="4">
        <v>0</v>
      </c>
      <c r="AP8" s="4">
        <v>90</v>
      </c>
      <c r="AQ8" s="4">
        <v>75</v>
      </c>
      <c r="AR8" s="4">
        <v>135</v>
      </c>
      <c r="AS8" s="4">
        <v>75</v>
      </c>
      <c r="AT8" s="4">
        <v>100</v>
      </c>
      <c r="AU8" s="4">
        <v>90</v>
      </c>
      <c r="AV8" s="4">
        <v>100</v>
      </c>
      <c r="AW8" s="4">
        <v>125</v>
      </c>
      <c r="AX8" s="4">
        <v>125</v>
      </c>
      <c r="AY8" s="4">
        <v>150</v>
      </c>
      <c r="AZ8" s="4">
        <v>125</v>
      </c>
      <c r="BA8" s="4">
        <v>225</v>
      </c>
      <c r="BB8" s="44">
        <v>225</v>
      </c>
      <c r="BC8" s="42">
        <f>13580/1000</f>
        <v>13.58</v>
      </c>
      <c r="BD8" s="42"/>
    </row>
    <row r="9" spans="1:56" s="5" customFormat="1" x14ac:dyDescent="0.25">
      <c r="A9" s="14"/>
      <c r="B9" s="6"/>
      <c r="C9" s="6" t="s">
        <v>9</v>
      </c>
      <c r="D9" s="7">
        <v>30</v>
      </c>
      <c r="E9" s="7">
        <v>36</v>
      </c>
      <c r="F9" s="7">
        <v>47</v>
      </c>
      <c r="G9" s="7">
        <v>82</v>
      </c>
      <c r="H9" s="7">
        <v>96</v>
      </c>
      <c r="I9" s="7">
        <v>85</v>
      </c>
      <c r="J9" s="7">
        <v>100</v>
      </c>
      <c r="K9" s="7">
        <v>110</v>
      </c>
      <c r="L9" s="7">
        <v>117</v>
      </c>
      <c r="M9" s="7">
        <v>182</v>
      </c>
      <c r="N9" s="7">
        <v>184</v>
      </c>
      <c r="O9" s="7">
        <v>150</v>
      </c>
      <c r="P9" s="7">
        <v>170</v>
      </c>
      <c r="Q9" s="7">
        <v>220</v>
      </c>
      <c r="R9" s="7">
        <v>243</v>
      </c>
      <c r="S9" s="7">
        <v>250</v>
      </c>
      <c r="T9" s="7">
        <v>250</v>
      </c>
      <c r="U9" s="7">
        <v>191</v>
      </c>
      <c r="V9" s="7">
        <v>209</v>
      </c>
      <c r="W9" s="7">
        <v>209</v>
      </c>
      <c r="X9" s="7">
        <v>152</v>
      </c>
      <c r="Y9" s="7">
        <v>160</v>
      </c>
      <c r="Z9" s="7">
        <v>203</v>
      </c>
      <c r="AA9" s="7">
        <v>270</v>
      </c>
      <c r="AB9" s="7">
        <v>276</v>
      </c>
      <c r="AC9" s="7">
        <v>253</v>
      </c>
      <c r="AD9" s="7">
        <v>207</v>
      </c>
      <c r="AE9" s="7">
        <v>248</v>
      </c>
      <c r="AF9" s="7">
        <v>358</v>
      </c>
      <c r="AG9" s="7">
        <v>243</v>
      </c>
      <c r="AH9" s="7">
        <v>340</v>
      </c>
      <c r="AI9" s="7">
        <v>312</v>
      </c>
      <c r="AJ9" s="7">
        <v>377</v>
      </c>
      <c r="AK9" s="7">
        <v>418</v>
      </c>
      <c r="AL9" s="7">
        <v>400</v>
      </c>
      <c r="AM9" s="7">
        <v>482</v>
      </c>
      <c r="AN9" s="7">
        <v>410</v>
      </c>
      <c r="AO9" s="7">
        <v>381</v>
      </c>
      <c r="AP9" s="7">
        <v>230</v>
      </c>
      <c r="AQ9" s="7">
        <v>230</v>
      </c>
      <c r="AR9" s="7">
        <v>375</v>
      </c>
      <c r="AS9" s="7">
        <v>375</v>
      </c>
      <c r="AT9" s="7">
        <v>390</v>
      </c>
      <c r="AU9" s="7">
        <v>410</v>
      </c>
      <c r="AV9" s="7">
        <v>375</v>
      </c>
      <c r="AW9" s="7">
        <v>360</v>
      </c>
      <c r="AX9" s="7">
        <v>360</v>
      </c>
      <c r="AY9" s="7">
        <v>350</v>
      </c>
      <c r="AZ9" s="7">
        <v>325</v>
      </c>
      <c r="BA9" s="7">
        <v>300</v>
      </c>
      <c r="BB9" s="47">
        <v>300</v>
      </c>
      <c r="BC9" s="43">
        <f>BC6+BC7-BC8</f>
        <v>89.44</v>
      </c>
      <c r="BD9" s="43"/>
    </row>
    <row r="10" spans="1:56" x14ac:dyDescent="0.25">
      <c r="A10" s="12"/>
      <c r="B10" s="2" t="s">
        <v>11</v>
      </c>
      <c r="C10" s="2" t="s">
        <v>6</v>
      </c>
      <c r="D10" s="4">
        <v>0</v>
      </c>
      <c r="E10" s="4">
        <v>0</v>
      </c>
      <c r="F10" s="4">
        <v>0</v>
      </c>
      <c r="G10" s="4">
        <v>0</v>
      </c>
      <c r="H10" s="4">
        <v>19</v>
      </c>
      <c r="I10" s="4">
        <v>19</v>
      </c>
      <c r="J10" s="4">
        <v>15</v>
      </c>
      <c r="K10" s="4">
        <v>16</v>
      </c>
      <c r="L10" s="4">
        <v>7</v>
      </c>
      <c r="M10" s="4">
        <v>34</v>
      </c>
      <c r="N10" s="4">
        <v>58</v>
      </c>
      <c r="O10" s="4">
        <v>63</v>
      </c>
      <c r="P10" s="4">
        <v>63</v>
      </c>
      <c r="Q10" s="4">
        <v>64</v>
      </c>
      <c r="R10" s="4">
        <v>65</v>
      </c>
      <c r="S10" s="4">
        <v>65</v>
      </c>
      <c r="T10" s="4">
        <v>70</v>
      </c>
      <c r="U10" s="4">
        <v>70</v>
      </c>
      <c r="V10" s="4">
        <v>73</v>
      </c>
      <c r="W10" s="4">
        <v>75</v>
      </c>
      <c r="X10" s="4">
        <v>55</v>
      </c>
      <c r="Y10" s="4">
        <v>60</v>
      </c>
      <c r="Z10" s="4">
        <v>65</v>
      </c>
      <c r="AA10" s="4">
        <v>50</v>
      </c>
      <c r="AB10" s="4">
        <v>60</v>
      </c>
      <c r="AC10" s="4">
        <v>55</v>
      </c>
      <c r="AD10" s="4">
        <v>70</v>
      </c>
      <c r="AE10" s="4">
        <v>40</v>
      </c>
      <c r="AF10" s="4">
        <v>55</v>
      </c>
      <c r="AG10" s="4">
        <v>60</v>
      </c>
      <c r="AH10" s="4">
        <v>218</v>
      </c>
      <c r="AI10" s="4">
        <v>145</v>
      </c>
      <c r="AJ10" s="4">
        <v>154</v>
      </c>
      <c r="AK10" s="4">
        <v>163</v>
      </c>
      <c r="AL10" s="4">
        <v>178</v>
      </c>
      <c r="AM10" s="4">
        <v>287</v>
      </c>
      <c r="AN10" s="4">
        <v>322</v>
      </c>
      <c r="AO10" s="4">
        <v>326</v>
      </c>
      <c r="AP10" s="4">
        <v>327</v>
      </c>
      <c r="AQ10" s="4">
        <v>333</v>
      </c>
      <c r="AR10" s="4">
        <v>340</v>
      </c>
      <c r="AS10" s="4">
        <v>348</v>
      </c>
      <c r="AT10" s="4">
        <v>380</v>
      </c>
      <c r="AU10" s="4">
        <v>400</v>
      </c>
      <c r="AV10" s="4">
        <v>410</v>
      </c>
      <c r="AW10" s="4">
        <v>430</v>
      </c>
      <c r="AX10" s="4">
        <v>440</v>
      </c>
      <c r="AY10" s="4">
        <v>450</v>
      </c>
      <c r="AZ10" s="4">
        <v>450</v>
      </c>
      <c r="BA10" s="4">
        <v>450</v>
      </c>
      <c r="BB10" s="44">
        <v>450</v>
      </c>
      <c r="BC10" s="42">
        <f>492852/1000</f>
        <v>492.85199999999998</v>
      </c>
      <c r="BD10" s="42">
        <f>650000/1000</f>
        <v>650</v>
      </c>
    </row>
    <row r="11" spans="1:56" s="5" customFormat="1" x14ac:dyDescent="0.25">
      <c r="A11" s="14"/>
      <c r="B11" s="6"/>
      <c r="C11" s="6" t="s">
        <v>7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12</v>
      </c>
      <c r="AB11" s="7">
        <v>3</v>
      </c>
      <c r="AC11" s="7">
        <v>13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  <c r="AL11" s="7">
        <v>0</v>
      </c>
      <c r="AM11" s="7">
        <v>0</v>
      </c>
      <c r="AN11" s="7">
        <v>0</v>
      </c>
      <c r="AO11" s="7">
        <v>0</v>
      </c>
      <c r="AP11" s="7">
        <v>0</v>
      </c>
      <c r="AQ11" s="7">
        <v>0</v>
      </c>
      <c r="AR11" s="7">
        <v>8</v>
      </c>
      <c r="AS11" s="7">
        <v>8</v>
      </c>
      <c r="AT11" s="7">
        <v>10</v>
      </c>
      <c r="AU11" s="7">
        <v>10</v>
      </c>
      <c r="AV11" s="7">
        <v>5</v>
      </c>
      <c r="AW11" s="7">
        <v>5</v>
      </c>
      <c r="AX11" s="7">
        <v>3</v>
      </c>
      <c r="AY11" s="7">
        <v>15</v>
      </c>
      <c r="AZ11" s="7">
        <v>4</v>
      </c>
      <c r="BA11" s="7">
        <v>4</v>
      </c>
      <c r="BB11" s="47">
        <v>4</v>
      </c>
      <c r="BC11" s="43">
        <f>9/1000</f>
        <v>8.9999999999999993E-3</v>
      </c>
      <c r="BD11" s="43"/>
    </row>
    <row r="12" spans="1:56" x14ac:dyDescent="0.25">
      <c r="A12" s="12"/>
      <c r="B12" s="2"/>
      <c r="C12" s="2" t="s">
        <v>8</v>
      </c>
      <c r="D12" s="4">
        <v>0</v>
      </c>
      <c r="E12" s="4">
        <v>0</v>
      </c>
      <c r="F12" s="4">
        <v>0</v>
      </c>
      <c r="G12" s="4">
        <v>0</v>
      </c>
      <c r="H12" s="4">
        <v>15</v>
      </c>
      <c r="I12" s="4">
        <v>12</v>
      </c>
      <c r="J12" s="4">
        <v>6</v>
      </c>
      <c r="K12" s="4">
        <v>14</v>
      </c>
      <c r="L12" s="4">
        <v>7</v>
      </c>
      <c r="M12" s="4">
        <v>10</v>
      </c>
      <c r="N12" s="4">
        <v>5</v>
      </c>
      <c r="O12" s="4">
        <v>2</v>
      </c>
      <c r="P12" s="4">
        <v>1</v>
      </c>
      <c r="Q12" s="4">
        <v>5</v>
      </c>
      <c r="R12" s="4">
        <v>2</v>
      </c>
      <c r="S12" s="4">
        <v>2</v>
      </c>
      <c r="T12" s="4">
        <v>1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  <c r="AF12" s="4">
        <v>5</v>
      </c>
      <c r="AG12" s="4">
        <v>0</v>
      </c>
      <c r="AH12" s="4">
        <v>0</v>
      </c>
      <c r="AI12" s="4">
        <v>0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10</v>
      </c>
      <c r="AP12" s="4">
        <v>0</v>
      </c>
      <c r="AQ12" s="4">
        <v>0</v>
      </c>
      <c r="AR12" s="4">
        <v>0</v>
      </c>
      <c r="AS12" s="4">
        <v>0</v>
      </c>
      <c r="AT12" s="4">
        <v>0</v>
      </c>
      <c r="AU12" s="4">
        <v>0</v>
      </c>
      <c r="AV12" s="4">
        <v>0</v>
      </c>
      <c r="AW12" s="4">
        <v>0</v>
      </c>
      <c r="AX12" s="4">
        <v>0</v>
      </c>
      <c r="AY12" s="4">
        <v>0</v>
      </c>
      <c r="AZ12" s="4">
        <v>0</v>
      </c>
      <c r="BA12" s="4">
        <v>0</v>
      </c>
      <c r="BB12" s="44">
        <v>0</v>
      </c>
      <c r="BC12" s="42">
        <f>11000/1000</f>
        <v>11</v>
      </c>
      <c r="BD12" s="42"/>
    </row>
    <row r="13" spans="1:56" s="5" customFormat="1" x14ac:dyDescent="0.25">
      <c r="A13" s="14"/>
      <c r="B13" s="6"/>
      <c r="C13" s="6" t="s">
        <v>9</v>
      </c>
      <c r="D13" s="7">
        <v>0</v>
      </c>
      <c r="E13" s="7">
        <v>0</v>
      </c>
      <c r="F13" s="7">
        <v>0</v>
      </c>
      <c r="G13" s="7">
        <v>0</v>
      </c>
      <c r="H13" s="7">
        <v>4</v>
      </c>
      <c r="I13" s="7">
        <v>7</v>
      </c>
      <c r="J13" s="7">
        <v>9</v>
      </c>
      <c r="K13" s="7">
        <v>2</v>
      </c>
      <c r="L13" s="7">
        <v>0</v>
      </c>
      <c r="M13" s="7">
        <v>24</v>
      </c>
      <c r="N13" s="7">
        <v>53</v>
      </c>
      <c r="O13" s="7">
        <v>61</v>
      </c>
      <c r="P13" s="7">
        <v>62</v>
      </c>
      <c r="Q13" s="7">
        <v>59</v>
      </c>
      <c r="R13" s="7">
        <v>63</v>
      </c>
      <c r="S13" s="7">
        <v>63</v>
      </c>
      <c r="T13" s="7">
        <v>69</v>
      </c>
      <c r="U13" s="7">
        <v>70</v>
      </c>
      <c r="V13" s="7">
        <v>73</v>
      </c>
      <c r="W13" s="7">
        <v>75</v>
      </c>
      <c r="X13" s="7">
        <v>55</v>
      </c>
      <c r="Y13" s="7">
        <v>60</v>
      </c>
      <c r="Z13" s="7">
        <v>65</v>
      </c>
      <c r="AA13" s="7">
        <v>62</v>
      </c>
      <c r="AB13" s="7">
        <v>63</v>
      </c>
      <c r="AC13" s="7">
        <v>68</v>
      </c>
      <c r="AD13" s="7">
        <v>70</v>
      </c>
      <c r="AE13" s="7">
        <v>40</v>
      </c>
      <c r="AF13" s="7">
        <v>45</v>
      </c>
      <c r="AG13" s="7">
        <v>60</v>
      </c>
      <c r="AH13" s="7">
        <v>218</v>
      </c>
      <c r="AI13" s="7">
        <v>145</v>
      </c>
      <c r="AJ13" s="7">
        <v>154</v>
      </c>
      <c r="AK13" s="7">
        <v>163</v>
      </c>
      <c r="AL13" s="7">
        <v>178</v>
      </c>
      <c r="AM13" s="7">
        <v>287</v>
      </c>
      <c r="AN13" s="7">
        <v>322</v>
      </c>
      <c r="AO13" s="7">
        <v>311</v>
      </c>
      <c r="AP13" s="7">
        <v>332</v>
      </c>
      <c r="AQ13" s="7">
        <v>338</v>
      </c>
      <c r="AR13" s="7">
        <v>348</v>
      </c>
      <c r="AS13" s="7">
        <v>356</v>
      </c>
      <c r="AT13" s="7">
        <v>390</v>
      </c>
      <c r="AU13" s="7">
        <v>410</v>
      </c>
      <c r="AV13" s="7">
        <v>415</v>
      </c>
      <c r="AW13" s="7">
        <v>435</v>
      </c>
      <c r="AX13" s="7">
        <v>443</v>
      </c>
      <c r="AY13" s="7">
        <v>465</v>
      </c>
      <c r="AZ13" s="7">
        <v>454</v>
      </c>
      <c r="BA13" s="7">
        <v>454</v>
      </c>
      <c r="BB13" s="47">
        <v>454</v>
      </c>
      <c r="BC13" s="43">
        <f>BC10+BC11-BC12</f>
        <v>481.86099999999999</v>
      </c>
      <c r="BD13" s="43"/>
    </row>
    <row r="14" spans="1:56" x14ac:dyDescent="0.25">
      <c r="A14" s="12"/>
      <c r="B14" s="2" t="s">
        <v>12</v>
      </c>
      <c r="C14" s="2" t="s">
        <v>6</v>
      </c>
      <c r="D14" s="4">
        <v>239</v>
      </c>
      <c r="E14" s="4">
        <v>229</v>
      </c>
      <c r="F14" s="4">
        <v>246</v>
      </c>
      <c r="G14" s="4">
        <v>202</v>
      </c>
      <c r="H14" s="4">
        <v>269</v>
      </c>
      <c r="I14" s="4">
        <v>236</v>
      </c>
      <c r="J14" s="4">
        <v>270</v>
      </c>
      <c r="K14" s="4">
        <v>260</v>
      </c>
      <c r="L14" s="4">
        <v>249</v>
      </c>
      <c r="M14" s="4">
        <v>257</v>
      </c>
      <c r="N14" s="4">
        <v>284</v>
      </c>
      <c r="O14" s="4">
        <v>307</v>
      </c>
      <c r="P14" s="4">
        <v>310</v>
      </c>
      <c r="Q14" s="4">
        <v>342</v>
      </c>
      <c r="R14" s="4">
        <v>348</v>
      </c>
      <c r="S14" s="4">
        <v>390</v>
      </c>
      <c r="T14" s="4">
        <v>406</v>
      </c>
      <c r="U14" s="4">
        <v>412</v>
      </c>
      <c r="V14" s="4">
        <v>394</v>
      </c>
      <c r="W14" s="4">
        <v>372</v>
      </c>
      <c r="X14" s="4">
        <v>523</v>
      </c>
      <c r="Y14" s="4">
        <v>579</v>
      </c>
      <c r="Z14" s="4">
        <v>648</v>
      </c>
      <c r="AA14" s="4">
        <v>607</v>
      </c>
      <c r="AB14" s="4">
        <v>579</v>
      </c>
      <c r="AC14" s="4">
        <v>680</v>
      </c>
      <c r="AD14" s="4">
        <v>630</v>
      </c>
      <c r="AE14" s="3">
        <v>1184</v>
      </c>
      <c r="AF14" s="3">
        <v>1249</v>
      </c>
      <c r="AG14" s="3">
        <v>1982</v>
      </c>
      <c r="AH14" s="3">
        <v>1500</v>
      </c>
      <c r="AI14" s="3">
        <v>1911</v>
      </c>
      <c r="AJ14" s="3">
        <v>1956</v>
      </c>
      <c r="AK14" s="3">
        <v>1839</v>
      </c>
      <c r="AL14" s="3">
        <v>1320</v>
      </c>
      <c r="AM14" s="3">
        <v>1752</v>
      </c>
      <c r="AN14" s="3">
        <v>1950</v>
      </c>
      <c r="AO14" s="3">
        <v>1850</v>
      </c>
      <c r="AP14" s="3">
        <v>1900</v>
      </c>
      <c r="AQ14" s="3">
        <v>2000</v>
      </c>
      <c r="AR14" s="3">
        <v>2000</v>
      </c>
      <c r="AS14" s="3">
        <v>2100</v>
      </c>
      <c r="AT14" s="3">
        <v>2200</v>
      </c>
      <c r="AU14" s="3">
        <v>2200</v>
      </c>
      <c r="AV14" s="3">
        <v>2300</v>
      </c>
      <c r="AW14" s="3">
        <v>2700</v>
      </c>
      <c r="AX14" s="3">
        <v>2900</v>
      </c>
      <c r="AY14" s="3">
        <v>3000</v>
      </c>
      <c r="AZ14" s="3">
        <v>3200</v>
      </c>
      <c r="BA14" s="3">
        <v>3400</v>
      </c>
      <c r="BB14" s="44">
        <v>3600</v>
      </c>
      <c r="BC14" s="42">
        <f>4612614/1000</f>
        <v>4612.6139999999996</v>
      </c>
      <c r="BD14" s="42">
        <f>5432930/1000</f>
        <v>5432.93</v>
      </c>
    </row>
    <row r="15" spans="1:56" s="5" customFormat="1" x14ac:dyDescent="0.25">
      <c r="A15" s="14"/>
      <c r="B15" s="6"/>
      <c r="C15" s="6" t="s">
        <v>7</v>
      </c>
      <c r="D15" s="7">
        <v>1</v>
      </c>
      <c r="E15" s="7">
        <v>1</v>
      </c>
      <c r="F15" s="7">
        <v>1</v>
      </c>
      <c r="G15" s="7">
        <v>2</v>
      </c>
      <c r="H15" s="7">
        <v>1</v>
      </c>
      <c r="I15" s="7">
        <v>1</v>
      </c>
      <c r="J15" s="7">
        <v>1</v>
      </c>
      <c r="K15" s="7">
        <v>1</v>
      </c>
      <c r="L15" s="7">
        <v>1</v>
      </c>
      <c r="M15" s="7">
        <v>1</v>
      </c>
      <c r="N15" s="7">
        <v>1</v>
      </c>
      <c r="O15" s="7">
        <v>6</v>
      </c>
      <c r="P15" s="7">
        <v>11</v>
      </c>
      <c r="Q15" s="7">
        <v>2</v>
      </c>
      <c r="R15" s="7">
        <v>4</v>
      </c>
      <c r="S15" s="7">
        <v>6</v>
      </c>
      <c r="T15" s="7">
        <v>94</v>
      </c>
      <c r="U15" s="7">
        <v>446</v>
      </c>
      <c r="V15" s="7">
        <v>789</v>
      </c>
      <c r="W15" s="7">
        <v>242</v>
      </c>
      <c r="X15" s="7">
        <v>394</v>
      </c>
      <c r="Y15" s="7">
        <v>686</v>
      </c>
      <c r="Z15" s="7">
        <v>666</v>
      </c>
      <c r="AA15" s="7">
        <v>903</v>
      </c>
      <c r="AB15" s="7">
        <v>629</v>
      </c>
      <c r="AC15" s="7">
        <v>569</v>
      </c>
      <c r="AD15" s="7">
        <v>462</v>
      </c>
      <c r="AE15" s="7">
        <v>642</v>
      </c>
      <c r="AF15" s="7">
        <v>344</v>
      </c>
      <c r="AG15" s="7">
        <v>164</v>
      </c>
      <c r="AH15" s="7">
        <v>224</v>
      </c>
      <c r="AI15" s="7">
        <v>296</v>
      </c>
      <c r="AJ15" s="7">
        <v>440</v>
      </c>
      <c r="AK15" s="7">
        <v>382</v>
      </c>
      <c r="AL15" s="7">
        <v>300</v>
      </c>
      <c r="AM15" s="7">
        <v>300</v>
      </c>
      <c r="AN15" s="7">
        <v>350</v>
      </c>
      <c r="AO15" s="7">
        <v>731</v>
      </c>
      <c r="AP15" s="7">
        <v>900</v>
      </c>
      <c r="AQ15" s="7">
        <v>950</v>
      </c>
      <c r="AR15" s="8">
        <v>1250</v>
      </c>
      <c r="AS15" s="8">
        <v>1906</v>
      </c>
      <c r="AT15" s="8">
        <v>1897</v>
      </c>
      <c r="AU15" s="8">
        <v>1448</v>
      </c>
      <c r="AV15" s="8">
        <v>1369</v>
      </c>
      <c r="AW15" s="8">
        <v>1650</v>
      </c>
      <c r="AX15" s="8">
        <v>1500</v>
      </c>
      <c r="AY15" s="8">
        <v>1800</v>
      </c>
      <c r="AZ15" s="8">
        <v>1750</v>
      </c>
      <c r="BA15" s="8">
        <v>1750</v>
      </c>
      <c r="BB15" s="47">
        <v>1900</v>
      </c>
      <c r="BC15" s="43">
        <f>2187419/1000</f>
        <v>2187.4189999999999</v>
      </c>
      <c r="BD15" s="43"/>
    </row>
    <row r="16" spans="1:56" x14ac:dyDescent="0.25">
      <c r="A16" s="12"/>
      <c r="B16" s="2"/>
      <c r="C16" s="2" t="s">
        <v>8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5</v>
      </c>
      <c r="Y16" s="4">
        <v>5</v>
      </c>
      <c r="Z16" s="4">
        <v>12</v>
      </c>
      <c r="AA16" s="4">
        <v>10</v>
      </c>
      <c r="AB16" s="4">
        <v>0</v>
      </c>
      <c r="AC16" s="4">
        <v>0</v>
      </c>
      <c r="AD16" s="4">
        <v>0</v>
      </c>
      <c r="AE16" s="4">
        <v>0</v>
      </c>
      <c r="AF16" s="4">
        <v>0</v>
      </c>
      <c r="AG16" s="4">
        <v>0</v>
      </c>
      <c r="AH16" s="4">
        <v>0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0</v>
      </c>
      <c r="AT16" s="4">
        <v>0</v>
      </c>
      <c r="AU16" s="4">
        <v>0</v>
      </c>
      <c r="AV16" s="4">
        <v>0</v>
      </c>
      <c r="AW16" s="4">
        <v>0</v>
      </c>
      <c r="AX16" s="4">
        <v>0</v>
      </c>
      <c r="AY16" s="4">
        <v>0</v>
      </c>
      <c r="AZ16" s="4">
        <v>0</v>
      </c>
      <c r="BA16" s="4">
        <v>0</v>
      </c>
      <c r="BB16" s="44">
        <v>0</v>
      </c>
      <c r="BC16" s="42">
        <f>166/1000</f>
        <v>0.16600000000000001</v>
      </c>
      <c r="BD16" s="42"/>
    </row>
    <row r="17" spans="1:56" s="5" customFormat="1" x14ac:dyDescent="0.25">
      <c r="A17" s="14"/>
      <c r="B17" s="6"/>
      <c r="C17" s="6" t="s">
        <v>9</v>
      </c>
      <c r="D17" s="7">
        <v>240</v>
      </c>
      <c r="E17" s="7">
        <v>230</v>
      </c>
      <c r="F17" s="7">
        <v>247</v>
      </c>
      <c r="G17" s="7">
        <v>204</v>
      </c>
      <c r="H17" s="7">
        <v>270</v>
      </c>
      <c r="I17" s="7">
        <v>237</v>
      </c>
      <c r="J17" s="7">
        <v>271</v>
      </c>
      <c r="K17" s="7">
        <v>261</v>
      </c>
      <c r="L17" s="7">
        <v>250</v>
      </c>
      <c r="M17" s="7">
        <v>258</v>
      </c>
      <c r="N17" s="7">
        <v>285</v>
      </c>
      <c r="O17" s="7">
        <v>313</v>
      </c>
      <c r="P17" s="7">
        <v>321</v>
      </c>
      <c r="Q17" s="7">
        <v>344</v>
      </c>
      <c r="R17" s="7">
        <v>352</v>
      </c>
      <c r="S17" s="7">
        <v>396</v>
      </c>
      <c r="T17" s="7">
        <v>500</v>
      </c>
      <c r="U17" s="7">
        <v>750</v>
      </c>
      <c r="V17" s="7">
        <v>950</v>
      </c>
      <c r="W17" s="7">
        <v>845</v>
      </c>
      <c r="X17" s="7">
        <v>850</v>
      </c>
      <c r="Y17" s="8">
        <v>1227</v>
      </c>
      <c r="Z17" s="8">
        <v>1337</v>
      </c>
      <c r="AA17" s="8">
        <v>1648</v>
      </c>
      <c r="AB17" s="8">
        <v>1220</v>
      </c>
      <c r="AC17" s="8">
        <v>1249</v>
      </c>
      <c r="AD17" s="8">
        <v>1042</v>
      </c>
      <c r="AE17" s="8">
        <v>1152</v>
      </c>
      <c r="AF17" s="8">
        <v>1350</v>
      </c>
      <c r="AG17" s="8">
        <v>1550</v>
      </c>
      <c r="AH17" s="8">
        <v>2757</v>
      </c>
      <c r="AI17" s="8">
        <v>2207</v>
      </c>
      <c r="AJ17" s="8">
        <v>2436</v>
      </c>
      <c r="AK17" s="8">
        <v>2221</v>
      </c>
      <c r="AL17" s="8">
        <v>2000</v>
      </c>
      <c r="AM17" s="8">
        <v>2000</v>
      </c>
      <c r="AN17" s="8">
        <v>2252</v>
      </c>
      <c r="AO17" s="8">
        <v>2601</v>
      </c>
      <c r="AP17" s="8">
        <v>2750</v>
      </c>
      <c r="AQ17" s="8">
        <v>2900</v>
      </c>
      <c r="AR17" s="8">
        <v>3050</v>
      </c>
      <c r="AS17" s="8">
        <v>3500</v>
      </c>
      <c r="AT17" s="8">
        <v>3750</v>
      </c>
      <c r="AU17" s="8">
        <v>4000</v>
      </c>
      <c r="AV17" s="8">
        <v>4250</v>
      </c>
      <c r="AW17" s="8">
        <v>4300</v>
      </c>
      <c r="AX17" s="8">
        <v>4400</v>
      </c>
      <c r="AY17" s="8">
        <v>4500</v>
      </c>
      <c r="AZ17" s="8">
        <v>5150</v>
      </c>
      <c r="BA17" s="8">
        <v>5250</v>
      </c>
      <c r="BB17" s="47">
        <v>5500</v>
      </c>
      <c r="BC17" s="43">
        <f>BC14+BC15-BC16</f>
        <v>6799.8669999999993</v>
      </c>
      <c r="BD17" s="43"/>
    </row>
    <row r="18" spans="1:56" x14ac:dyDescent="0.25">
      <c r="A18" s="12"/>
      <c r="B18" s="2" t="s">
        <v>13</v>
      </c>
      <c r="C18" s="2" t="s">
        <v>6</v>
      </c>
      <c r="D18" s="3">
        <v>4000</v>
      </c>
      <c r="E18" s="3">
        <v>3966</v>
      </c>
      <c r="F18" s="3">
        <v>4509</v>
      </c>
      <c r="G18" s="3">
        <v>3733</v>
      </c>
      <c r="H18" s="3">
        <v>3760</v>
      </c>
      <c r="I18" s="3">
        <v>4235</v>
      </c>
      <c r="J18" s="3">
        <v>3160</v>
      </c>
      <c r="K18" s="3">
        <v>3389</v>
      </c>
      <c r="L18" s="3">
        <v>3236</v>
      </c>
      <c r="M18" s="3">
        <v>4093</v>
      </c>
      <c r="N18" s="3">
        <v>4053</v>
      </c>
      <c r="O18" s="3">
        <v>3794</v>
      </c>
      <c r="P18" s="3">
        <v>2298</v>
      </c>
      <c r="Q18" s="3">
        <v>3124</v>
      </c>
      <c r="R18" s="3">
        <v>4732</v>
      </c>
      <c r="S18" s="3">
        <v>3590</v>
      </c>
      <c r="T18" s="3">
        <v>3680</v>
      </c>
      <c r="U18" s="3">
        <v>3750</v>
      </c>
      <c r="V18" s="3">
        <v>3760</v>
      </c>
      <c r="W18" s="3">
        <v>3785</v>
      </c>
      <c r="X18" s="3">
        <v>3800</v>
      </c>
      <c r="Y18" s="3">
        <v>3700</v>
      </c>
      <c r="Z18" s="3">
        <v>4134</v>
      </c>
      <c r="AA18" s="3">
        <v>2660</v>
      </c>
      <c r="AB18" s="3">
        <v>3690</v>
      </c>
      <c r="AC18" s="3">
        <v>3500</v>
      </c>
      <c r="AD18" s="3">
        <v>3600</v>
      </c>
      <c r="AE18" s="3">
        <v>2900</v>
      </c>
      <c r="AF18" s="3">
        <v>3500</v>
      </c>
      <c r="AG18" s="3">
        <v>3500</v>
      </c>
      <c r="AH18" s="3">
        <v>4185</v>
      </c>
      <c r="AI18" s="3">
        <v>4346</v>
      </c>
      <c r="AJ18" s="3">
        <v>4437</v>
      </c>
      <c r="AK18" s="3">
        <v>6175</v>
      </c>
      <c r="AL18" s="3">
        <v>6500</v>
      </c>
      <c r="AM18" s="3">
        <v>6500</v>
      </c>
      <c r="AN18" s="3">
        <v>6600</v>
      </c>
      <c r="AO18" s="3">
        <v>6930</v>
      </c>
      <c r="AP18" s="3">
        <v>7300</v>
      </c>
      <c r="AQ18" s="3">
        <v>7500</v>
      </c>
      <c r="AR18" s="3">
        <v>7800</v>
      </c>
      <c r="AS18" s="3">
        <v>7800</v>
      </c>
      <c r="AT18" s="3">
        <v>7850</v>
      </c>
      <c r="AU18" s="3">
        <v>9000</v>
      </c>
      <c r="AV18" s="3">
        <v>10000</v>
      </c>
      <c r="AW18" s="3">
        <v>10500</v>
      </c>
      <c r="AX18" s="3">
        <v>10500</v>
      </c>
      <c r="AY18" s="3">
        <v>10000</v>
      </c>
      <c r="AZ18" s="3">
        <v>11000</v>
      </c>
      <c r="BA18" s="3">
        <v>11500</v>
      </c>
      <c r="BB18" s="44">
        <v>11700</v>
      </c>
      <c r="BC18" s="42">
        <f>5690145/1000</f>
        <v>5690.1450000000004</v>
      </c>
      <c r="BD18" s="42">
        <f>5837106/1000</f>
        <v>5837.1059999999998</v>
      </c>
    </row>
    <row r="19" spans="1:56" s="5" customFormat="1" x14ac:dyDescent="0.25">
      <c r="A19" s="14"/>
      <c r="B19" s="6"/>
      <c r="C19" s="6" t="s">
        <v>7</v>
      </c>
      <c r="D19" s="7">
        <v>30</v>
      </c>
      <c r="E19" s="7">
        <v>30</v>
      </c>
      <c r="F19" s="7">
        <v>30</v>
      </c>
      <c r="G19" s="7">
        <v>3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10</v>
      </c>
      <c r="AA19" s="7">
        <v>0</v>
      </c>
      <c r="AB19" s="7">
        <v>85</v>
      </c>
      <c r="AC19" s="7">
        <v>0</v>
      </c>
      <c r="AD19" s="7">
        <v>0</v>
      </c>
      <c r="AE19" s="7">
        <v>86</v>
      </c>
      <c r="AF19" s="7">
        <v>32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18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47">
        <v>0</v>
      </c>
      <c r="BC19" s="43">
        <f>14000/1000</f>
        <v>14</v>
      </c>
      <c r="BD19" s="43"/>
    </row>
    <row r="20" spans="1:56" x14ac:dyDescent="0.25">
      <c r="A20" s="12"/>
      <c r="B20" s="2"/>
      <c r="C20" s="2" t="s">
        <v>8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50</v>
      </c>
      <c r="AF20" s="4">
        <v>0</v>
      </c>
      <c r="AG20" s="4">
        <v>0</v>
      </c>
      <c r="AH20" s="4">
        <v>0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100</v>
      </c>
      <c r="AS20" s="4">
        <v>50</v>
      </c>
      <c r="AT20" s="4">
        <v>50</v>
      </c>
      <c r="AU20" s="4">
        <v>50</v>
      </c>
      <c r="AV20" s="4">
        <v>50</v>
      </c>
      <c r="AW20" s="4">
        <v>50</v>
      </c>
      <c r="AX20" s="4">
        <v>50</v>
      </c>
      <c r="AY20" s="4">
        <v>50</v>
      </c>
      <c r="AZ20" s="4">
        <v>50</v>
      </c>
      <c r="BA20" s="4">
        <v>50</v>
      </c>
      <c r="BB20" s="44">
        <v>50</v>
      </c>
      <c r="BC20" s="42">
        <f>45/1000</f>
        <v>4.4999999999999998E-2</v>
      </c>
      <c r="BD20" s="42"/>
    </row>
    <row r="21" spans="1:56" s="5" customFormat="1" x14ac:dyDescent="0.25">
      <c r="A21" s="14"/>
      <c r="B21" s="6"/>
      <c r="C21" s="6" t="s">
        <v>9</v>
      </c>
      <c r="D21" s="8">
        <v>4030</v>
      </c>
      <c r="E21" s="8">
        <v>3996</v>
      </c>
      <c r="F21" s="8">
        <v>4519</v>
      </c>
      <c r="G21" s="8">
        <v>3736</v>
      </c>
      <c r="H21" s="8">
        <v>3760</v>
      </c>
      <c r="I21" s="8">
        <v>4235</v>
      </c>
      <c r="J21" s="8">
        <v>3160</v>
      </c>
      <c r="K21" s="8">
        <v>3389</v>
      </c>
      <c r="L21" s="8">
        <v>3236</v>
      </c>
      <c r="M21" s="8">
        <v>4093</v>
      </c>
      <c r="N21" s="8">
        <v>4053</v>
      </c>
      <c r="O21" s="8">
        <v>3794</v>
      </c>
      <c r="P21" s="8">
        <v>2298</v>
      </c>
      <c r="Q21" s="8">
        <v>3124</v>
      </c>
      <c r="R21" s="8">
        <v>4732</v>
      </c>
      <c r="S21" s="8">
        <v>3590</v>
      </c>
      <c r="T21" s="8">
        <v>3680</v>
      </c>
      <c r="U21" s="8">
        <v>3750</v>
      </c>
      <c r="V21" s="8">
        <v>3750</v>
      </c>
      <c r="W21" s="8">
        <v>3765</v>
      </c>
      <c r="X21" s="8">
        <v>3770</v>
      </c>
      <c r="Y21" s="8">
        <v>3753</v>
      </c>
      <c r="Z21" s="8">
        <v>4051</v>
      </c>
      <c r="AA21" s="8">
        <v>2780</v>
      </c>
      <c r="AB21" s="8">
        <v>3749</v>
      </c>
      <c r="AC21" s="8">
        <v>3176</v>
      </c>
      <c r="AD21" s="8">
        <v>3600</v>
      </c>
      <c r="AE21" s="8">
        <v>3186</v>
      </c>
      <c r="AF21" s="8">
        <v>3332</v>
      </c>
      <c r="AG21" s="8">
        <v>3500</v>
      </c>
      <c r="AH21" s="8">
        <v>4285</v>
      </c>
      <c r="AI21" s="8">
        <v>4346</v>
      </c>
      <c r="AJ21" s="8">
        <v>4437</v>
      </c>
      <c r="AK21" s="8">
        <v>6175</v>
      </c>
      <c r="AL21" s="8">
        <v>6500</v>
      </c>
      <c r="AM21" s="8">
        <v>6500</v>
      </c>
      <c r="AN21" s="8">
        <v>6600</v>
      </c>
      <c r="AO21" s="8">
        <v>6930</v>
      </c>
      <c r="AP21" s="8">
        <v>7318</v>
      </c>
      <c r="AQ21" s="8">
        <v>7500</v>
      </c>
      <c r="AR21" s="8">
        <v>7700</v>
      </c>
      <c r="AS21" s="8">
        <v>7750</v>
      </c>
      <c r="AT21" s="8">
        <v>7800</v>
      </c>
      <c r="AU21" s="8">
        <v>8950</v>
      </c>
      <c r="AV21" s="8">
        <v>9950</v>
      </c>
      <c r="AW21" s="8">
        <v>10450</v>
      </c>
      <c r="AX21" s="8">
        <v>10450</v>
      </c>
      <c r="AY21" s="8">
        <v>9950</v>
      </c>
      <c r="AZ21" s="8">
        <v>10950</v>
      </c>
      <c r="BA21" s="8">
        <v>11450</v>
      </c>
      <c r="BB21" s="47">
        <v>11650</v>
      </c>
      <c r="BC21" s="43">
        <f>BC18+BC19-BC20</f>
        <v>5704.1</v>
      </c>
      <c r="BD21" s="43"/>
    </row>
    <row r="22" spans="1:56" x14ac:dyDescent="0.25">
      <c r="A22" s="14"/>
      <c r="B22" s="6" t="s">
        <v>14</v>
      </c>
      <c r="C22" s="6" t="s">
        <v>42</v>
      </c>
      <c r="D22" s="47">
        <f>172000/1000</f>
        <v>172</v>
      </c>
      <c r="E22" s="47">
        <f>185000/1000</f>
        <v>185</v>
      </c>
      <c r="F22" s="47">
        <f>265000/1000</f>
        <v>265</v>
      </c>
      <c r="G22" s="47">
        <f>348000/1000</f>
        <v>348</v>
      </c>
      <c r="H22" s="47">
        <f>452000/1000</f>
        <v>452</v>
      </c>
      <c r="I22" s="47">
        <f>441000/1000</f>
        <v>441</v>
      </c>
      <c r="J22" s="47">
        <f>534000/1000</f>
        <v>534</v>
      </c>
      <c r="K22" s="47">
        <f>545000/1000</f>
        <v>545</v>
      </c>
      <c r="L22" s="47">
        <f>574000/1000</f>
        <v>574</v>
      </c>
      <c r="M22" s="47">
        <f>607000/1000</f>
        <v>607</v>
      </c>
      <c r="N22" s="47">
        <f>638000/1000</f>
        <v>638</v>
      </c>
      <c r="O22" s="47">
        <f>666000/1000</f>
        <v>666</v>
      </c>
      <c r="P22" s="47">
        <f>618000/1000</f>
        <v>618</v>
      </c>
      <c r="Q22" s="47">
        <f>670000/1000</f>
        <v>670</v>
      </c>
      <c r="R22" s="47">
        <f>700000/1000</f>
        <v>700</v>
      </c>
      <c r="S22" s="47">
        <f>735000/1000</f>
        <v>735</v>
      </c>
      <c r="T22" s="47">
        <f>765000/1000</f>
        <v>765</v>
      </c>
      <c r="U22" s="47">
        <f>770000/1000</f>
        <v>770</v>
      </c>
      <c r="V22" s="47">
        <f>815000/1000</f>
        <v>815</v>
      </c>
      <c r="W22" s="47">
        <f>870000/1000</f>
        <v>870</v>
      </c>
      <c r="X22" s="47">
        <f>926000/1000</f>
        <v>926</v>
      </c>
      <c r="Y22" s="47">
        <f>900000/1000</f>
        <v>900</v>
      </c>
      <c r="Z22" s="47">
        <f>810000/1000</f>
        <v>810</v>
      </c>
      <c r="AA22" s="47">
        <f>821000/1000</f>
        <v>821</v>
      </c>
      <c r="AB22" s="47">
        <f>862000/1000</f>
        <v>862</v>
      </c>
      <c r="AC22" s="47">
        <f>897000/1000</f>
        <v>897</v>
      </c>
      <c r="AD22" s="47">
        <f>882000/1000</f>
        <v>882</v>
      </c>
      <c r="AE22" s="47">
        <f>888000/1000</f>
        <v>888</v>
      </c>
      <c r="AF22" s="47">
        <f>900000/1000</f>
        <v>900</v>
      </c>
      <c r="AG22" s="47">
        <f>920000/1000</f>
        <v>920</v>
      </c>
      <c r="AH22" s="47">
        <f>888000/1000</f>
        <v>888</v>
      </c>
      <c r="AI22" s="47">
        <f>896000/1000</f>
        <v>896</v>
      </c>
      <c r="AJ22" s="47">
        <f>905000/1000</f>
        <v>905</v>
      </c>
      <c r="AK22" s="47">
        <f>633000/1000</f>
        <v>633</v>
      </c>
      <c r="AL22" s="47">
        <f>589000/1000</f>
        <v>589</v>
      </c>
      <c r="AM22" s="47">
        <f>615000/1000</f>
        <v>615</v>
      </c>
      <c r="AN22" s="47">
        <f>675000/1000</f>
        <v>675</v>
      </c>
      <c r="AO22" s="47">
        <f>675000/1000</f>
        <v>675</v>
      </c>
      <c r="AP22" s="47">
        <f>682000/1000</f>
        <v>682</v>
      </c>
      <c r="AQ22" s="47">
        <f>695000/1000</f>
        <v>695</v>
      </c>
      <c r="AR22" s="47">
        <f>705000/1000</f>
        <v>705</v>
      </c>
      <c r="AS22" s="47">
        <f>750000/1000</f>
        <v>750</v>
      </c>
      <c r="AT22" s="47">
        <f>798000/1000</f>
        <v>798</v>
      </c>
      <c r="AU22" s="47">
        <f>854000/1000</f>
        <v>854</v>
      </c>
      <c r="AV22" s="47">
        <f>914000/1000</f>
        <v>914</v>
      </c>
      <c r="AW22" s="47">
        <f>987000/1000</f>
        <v>987</v>
      </c>
      <c r="AX22" s="47">
        <f>1506000/1000</f>
        <v>1506</v>
      </c>
      <c r="AY22" s="47">
        <f>1412070/1000</f>
        <v>1412.07</v>
      </c>
      <c r="AZ22" s="47">
        <f>1401680/1000</f>
        <v>1401.68</v>
      </c>
      <c r="BA22" s="47">
        <f>1400000/1000</f>
        <v>1400</v>
      </c>
      <c r="BB22" s="48">
        <f>1450000/1000</f>
        <v>1450</v>
      </c>
      <c r="BC22" s="42">
        <f>1460000/1000</f>
        <v>1460</v>
      </c>
      <c r="BD22" s="42">
        <f>1455000/1000</f>
        <v>1455</v>
      </c>
    </row>
    <row r="23" spans="1:56" s="5" customFormat="1" x14ac:dyDescent="0.25">
      <c r="A23" s="14"/>
      <c r="B23" s="2"/>
      <c r="C23" s="2" t="s">
        <v>45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122</v>
      </c>
      <c r="Q23" s="4">
        <v>71</v>
      </c>
      <c r="R23" s="4">
        <v>106</v>
      </c>
      <c r="S23" s="4">
        <v>154</v>
      </c>
      <c r="T23" s="4">
        <v>311</v>
      </c>
      <c r="U23" s="4">
        <v>502</v>
      </c>
      <c r="V23" s="4">
        <v>509</v>
      </c>
      <c r="W23" s="4">
        <v>700</v>
      </c>
      <c r="X23" s="4">
        <v>900</v>
      </c>
      <c r="Y23" s="4">
        <v>940</v>
      </c>
      <c r="Z23" s="4">
        <v>885</v>
      </c>
      <c r="AA23" s="4">
        <v>580</v>
      </c>
      <c r="AB23" s="4">
        <v>626</v>
      </c>
      <c r="AC23" s="4">
        <v>600</v>
      </c>
      <c r="AD23" s="4">
        <v>578</v>
      </c>
      <c r="AE23" s="4">
        <v>505</v>
      </c>
      <c r="AF23" s="4">
        <v>400</v>
      </c>
      <c r="AG23" s="4">
        <v>396</v>
      </c>
      <c r="AH23" s="4">
        <v>480</v>
      </c>
      <c r="AI23" s="4">
        <v>560</v>
      </c>
      <c r="AJ23" s="4">
        <v>430</v>
      </c>
      <c r="AK23" s="4">
        <v>510</v>
      </c>
      <c r="AL23" s="4">
        <v>490</v>
      </c>
      <c r="AM23" s="4">
        <v>542</v>
      </c>
      <c r="AN23" s="4">
        <v>555</v>
      </c>
      <c r="AO23" s="4">
        <v>660</v>
      </c>
      <c r="AP23" s="4">
        <v>700</v>
      </c>
      <c r="AQ23" s="4">
        <v>825</v>
      </c>
      <c r="AR23" s="4">
        <v>714</v>
      </c>
      <c r="AS23" s="4">
        <v>775</v>
      </c>
      <c r="AT23" s="3">
        <v>1000</v>
      </c>
      <c r="AU23" s="3">
        <v>1150</v>
      </c>
      <c r="AV23" s="3">
        <v>1150</v>
      </c>
      <c r="AW23" s="3">
        <v>1200</v>
      </c>
      <c r="AX23" s="3">
        <v>1240</v>
      </c>
      <c r="AY23" s="3">
        <v>1485</v>
      </c>
      <c r="AZ23" s="3">
        <v>1250</v>
      </c>
      <c r="BA23" s="3">
        <v>1400</v>
      </c>
      <c r="BB23" s="45">
        <v>1525</v>
      </c>
      <c r="BC23" s="43">
        <f>1089371/1000</f>
        <v>1089.3710000000001</v>
      </c>
      <c r="BD23" s="43"/>
    </row>
    <row r="24" spans="1:56" x14ac:dyDescent="0.25">
      <c r="A24" s="14"/>
      <c r="B24" s="6"/>
      <c r="C24" s="6" t="s">
        <v>44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1</v>
      </c>
      <c r="U24" s="7">
        <v>1</v>
      </c>
      <c r="V24" s="7">
        <v>0</v>
      </c>
      <c r="W24" s="7">
        <v>0</v>
      </c>
      <c r="X24" s="7">
        <v>0</v>
      </c>
      <c r="Y24" s="7">
        <v>0</v>
      </c>
      <c r="Z24" s="7">
        <v>100</v>
      </c>
      <c r="AA24" s="7">
        <v>0</v>
      </c>
      <c r="AB24" s="7">
        <v>0</v>
      </c>
      <c r="AC24" s="7">
        <v>50</v>
      </c>
      <c r="AD24" s="7">
        <v>10</v>
      </c>
      <c r="AE24" s="7">
        <v>10</v>
      </c>
      <c r="AF24" s="7">
        <v>0</v>
      </c>
      <c r="AG24" s="7">
        <v>20</v>
      </c>
      <c r="AH24" s="7">
        <v>25</v>
      </c>
      <c r="AI24" s="7">
        <v>35</v>
      </c>
      <c r="AJ24" s="7">
        <v>30</v>
      </c>
      <c r="AK24" s="7">
        <v>30</v>
      </c>
      <c r="AL24" s="7">
        <v>30</v>
      </c>
      <c r="AM24" s="7">
        <v>12</v>
      </c>
      <c r="AN24" s="7">
        <v>10</v>
      </c>
      <c r="AO24" s="7">
        <v>20</v>
      </c>
      <c r="AP24" s="7">
        <v>20</v>
      </c>
      <c r="AQ24" s="7">
        <v>20</v>
      </c>
      <c r="AR24" s="7">
        <v>100</v>
      </c>
      <c r="AS24" s="7">
        <v>100</v>
      </c>
      <c r="AT24" s="7">
        <v>100</v>
      </c>
      <c r="AU24" s="7">
        <v>100</v>
      </c>
      <c r="AV24" s="7">
        <v>100</v>
      </c>
      <c r="AW24" s="7">
        <v>100</v>
      </c>
      <c r="AX24" s="7">
        <v>100</v>
      </c>
      <c r="AY24" s="7">
        <v>150</v>
      </c>
      <c r="AZ24" s="7">
        <v>150</v>
      </c>
      <c r="BA24" s="7">
        <v>200</v>
      </c>
      <c r="BB24" s="48">
        <v>250</v>
      </c>
      <c r="BC24" s="42">
        <v>0</v>
      </c>
      <c r="BD24" s="42"/>
    </row>
    <row r="25" spans="1:56" s="5" customFormat="1" ht="30" x14ac:dyDescent="0.25">
      <c r="A25" s="14"/>
      <c r="B25" s="2"/>
      <c r="C25" s="2" t="s">
        <v>43</v>
      </c>
      <c r="D25" s="4">
        <f>D22+D23-D24</f>
        <v>172</v>
      </c>
      <c r="E25" s="4">
        <f t="shared" ref="E25:BD25" si="0">E22+E23-E24</f>
        <v>185</v>
      </c>
      <c r="F25" s="4">
        <f t="shared" si="0"/>
        <v>265</v>
      </c>
      <c r="G25" s="4">
        <f t="shared" si="0"/>
        <v>348</v>
      </c>
      <c r="H25" s="4">
        <f t="shared" si="0"/>
        <v>452</v>
      </c>
      <c r="I25" s="4">
        <f t="shared" si="0"/>
        <v>441</v>
      </c>
      <c r="J25" s="4">
        <f t="shared" si="0"/>
        <v>534</v>
      </c>
      <c r="K25" s="4">
        <f t="shared" si="0"/>
        <v>545</v>
      </c>
      <c r="L25" s="4">
        <f t="shared" si="0"/>
        <v>574</v>
      </c>
      <c r="M25" s="4">
        <f t="shared" si="0"/>
        <v>607</v>
      </c>
      <c r="N25" s="4">
        <f t="shared" si="0"/>
        <v>638</v>
      </c>
      <c r="O25" s="4">
        <f t="shared" si="0"/>
        <v>666</v>
      </c>
      <c r="P25" s="4">
        <f t="shared" si="0"/>
        <v>740</v>
      </c>
      <c r="Q25" s="4">
        <f t="shared" si="0"/>
        <v>741</v>
      </c>
      <c r="R25" s="4">
        <f t="shared" si="0"/>
        <v>806</v>
      </c>
      <c r="S25" s="4">
        <f t="shared" si="0"/>
        <v>889</v>
      </c>
      <c r="T25" s="4">
        <f t="shared" si="0"/>
        <v>1075</v>
      </c>
      <c r="U25" s="4">
        <f t="shared" si="0"/>
        <v>1271</v>
      </c>
      <c r="V25" s="4">
        <f t="shared" si="0"/>
        <v>1324</v>
      </c>
      <c r="W25" s="4">
        <f t="shared" si="0"/>
        <v>1570</v>
      </c>
      <c r="X25" s="4">
        <f t="shared" si="0"/>
        <v>1826</v>
      </c>
      <c r="Y25" s="4">
        <f t="shared" si="0"/>
        <v>1840</v>
      </c>
      <c r="Z25" s="4">
        <f t="shared" si="0"/>
        <v>1595</v>
      </c>
      <c r="AA25" s="4">
        <f t="shared" si="0"/>
        <v>1401</v>
      </c>
      <c r="AB25" s="4">
        <f t="shared" si="0"/>
        <v>1488</v>
      </c>
      <c r="AC25" s="4">
        <f t="shared" si="0"/>
        <v>1447</v>
      </c>
      <c r="AD25" s="4">
        <f t="shared" si="0"/>
        <v>1450</v>
      </c>
      <c r="AE25" s="4">
        <f t="shared" si="0"/>
        <v>1383</v>
      </c>
      <c r="AF25" s="4">
        <f t="shared" si="0"/>
        <v>1300</v>
      </c>
      <c r="AG25" s="4">
        <f t="shared" si="0"/>
        <v>1296</v>
      </c>
      <c r="AH25" s="4">
        <f t="shared" si="0"/>
        <v>1343</v>
      </c>
      <c r="AI25" s="4">
        <f t="shared" si="0"/>
        <v>1421</v>
      </c>
      <c r="AJ25" s="4">
        <f t="shared" si="0"/>
        <v>1305</v>
      </c>
      <c r="AK25" s="4">
        <f t="shared" si="0"/>
        <v>1113</v>
      </c>
      <c r="AL25" s="4">
        <f t="shared" si="0"/>
        <v>1049</v>
      </c>
      <c r="AM25" s="4">
        <f t="shared" si="0"/>
        <v>1145</v>
      </c>
      <c r="AN25" s="4">
        <f t="shared" si="0"/>
        <v>1220</v>
      </c>
      <c r="AO25" s="4">
        <f t="shared" si="0"/>
        <v>1315</v>
      </c>
      <c r="AP25" s="4">
        <f t="shared" si="0"/>
        <v>1362</v>
      </c>
      <c r="AQ25" s="4">
        <f t="shared" si="0"/>
        <v>1500</v>
      </c>
      <c r="AR25" s="4">
        <f t="shared" si="0"/>
        <v>1319</v>
      </c>
      <c r="AS25" s="4">
        <f t="shared" si="0"/>
        <v>1425</v>
      </c>
      <c r="AT25" s="4">
        <f t="shared" si="0"/>
        <v>1698</v>
      </c>
      <c r="AU25" s="4">
        <f t="shared" si="0"/>
        <v>1904</v>
      </c>
      <c r="AV25" s="4">
        <f t="shared" si="0"/>
        <v>1964</v>
      </c>
      <c r="AW25" s="4">
        <f t="shared" si="0"/>
        <v>2087</v>
      </c>
      <c r="AX25" s="4">
        <f t="shared" si="0"/>
        <v>2646</v>
      </c>
      <c r="AY25" s="4">
        <f t="shared" si="0"/>
        <v>2747.0699999999997</v>
      </c>
      <c r="AZ25" s="4">
        <f t="shared" si="0"/>
        <v>2501.6800000000003</v>
      </c>
      <c r="BA25" s="4">
        <f t="shared" si="0"/>
        <v>2600</v>
      </c>
      <c r="BB25" s="44">
        <f t="shared" si="0"/>
        <v>2725</v>
      </c>
      <c r="BC25" s="44">
        <f t="shared" si="0"/>
        <v>2549.3710000000001</v>
      </c>
      <c r="BD25" s="44">
        <f t="shared" si="0"/>
        <v>1455</v>
      </c>
    </row>
    <row r="26" spans="1:56" s="5" customFormat="1" x14ac:dyDescent="0.25">
      <c r="A26" s="14"/>
      <c r="B26" s="6" t="s">
        <v>15</v>
      </c>
      <c r="C26" s="6" t="s">
        <v>6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5</v>
      </c>
      <c r="M26" s="7">
        <v>6</v>
      </c>
      <c r="N26" s="7">
        <v>6</v>
      </c>
      <c r="O26" s="7">
        <v>7</v>
      </c>
      <c r="P26" s="7">
        <v>6</v>
      </c>
      <c r="Q26" s="7">
        <v>4</v>
      </c>
      <c r="R26" s="7">
        <v>6</v>
      </c>
      <c r="S26" s="7">
        <v>18</v>
      </c>
      <c r="T26" s="7">
        <v>20</v>
      </c>
      <c r="U26" s="7">
        <v>21</v>
      </c>
      <c r="V26" s="7">
        <v>22</v>
      </c>
      <c r="W26" s="7">
        <v>23</v>
      </c>
      <c r="X26" s="7">
        <v>24</v>
      </c>
      <c r="Y26" s="7">
        <v>25</v>
      </c>
      <c r="Z26" s="7">
        <v>30</v>
      </c>
      <c r="AA26" s="7">
        <v>35</v>
      </c>
      <c r="AB26" s="7">
        <v>42</v>
      </c>
      <c r="AC26" s="7">
        <v>10</v>
      </c>
      <c r="AD26" s="7">
        <v>15</v>
      </c>
      <c r="AE26" s="7">
        <v>30</v>
      </c>
      <c r="AF26" s="7">
        <v>50</v>
      </c>
      <c r="AG26" s="7">
        <v>60</v>
      </c>
      <c r="AH26" s="7">
        <v>50</v>
      </c>
      <c r="AI26" s="7">
        <v>60</v>
      </c>
      <c r="AJ26" s="7">
        <v>40</v>
      </c>
      <c r="AK26" s="7">
        <v>30</v>
      </c>
      <c r="AL26" s="7">
        <v>30</v>
      </c>
      <c r="AM26" s="7">
        <v>50</v>
      </c>
      <c r="AN26" s="7">
        <v>35</v>
      </c>
      <c r="AO26" s="7">
        <v>20</v>
      </c>
      <c r="AP26" s="7">
        <v>40</v>
      </c>
      <c r="AQ26" s="7">
        <v>45</v>
      </c>
      <c r="AR26" s="7">
        <v>45</v>
      </c>
      <c r="AS26" s="7">
        <v>50</v>
      </c>
      <c r="AT26" s="7">
        <v>75</v>
      </c>
      <c r="AU26" s="7">
        <v>60</v>
      </c>
      <c r="AV26" s="7">
        <v>70</v>
      </c>
      <c r="AW26" s="7">
        <v>85</v>
      </c>
      <c r="AX26" s="7">
        <v>100</v>
      </c>
      <c r="AY26" s="7">
        <v>100</v>
      </c>
      <c r="AZ26" s="7">
        <v>100</v>
      </c>
      <c r="BA26" s="7">
        <v>100</v>
      </c>
      <c r="BB26" s="47">
        <v>100</v>
      </c>
      <c r="BC26" s="43">
        <f>165000/1000</f>
        <v>165</v>
      </c>
      <c r="BD26" s="43">
        <f>100000/1000</f>
        <v>100</v>
      </c>
    </row>
    <row r="27" spans="1:56" x14ac:dyDescent="0.25">
      <c r="A27" s="12"/>
      <c r="B27" s="2"/>
      <c r="C27" s="2" t="s">
        <v>7</v>
      </c>
      <c r="D27" s="4">
        <v>78</v>
      </c>
      <c r="E27" s="4">
        <v>101</v>
      </c>
      <c r="F27" s="4">
        <v>87</v>
      </c>
      <c r="G27" s="4">
        <v>74</v>
      </c>
      <c r="H27" s="4">
        <v>76</v>
      </c>
      <c r="I27" s="4">
        <v>140</v>
      </c>
      <c r="J27" s="4">
        <v>170</v>
      </c>
      <c r="K27" s="4">
        <v>130</v>
      </c>
      <c r="L27" s="4">
        <v>144</v>
      </c>
      <c r="M27" s="4">
        <v>244</v>
      </c>
      <c r="N27" s="4">
        <v>385</v>
      </c>
      <c r="O27" s="4">
        <v>350</v>
      </c>
      <c r="P27" s="4">
        <v>397</v>
      </c>
      <c r="Q27" s="4">
        <v>326</v>
      </c>
      <c r="R27" s="4">
        <v>342</v>
      </c>
      <c r="S27" s="4">
        <v>519</v>
      </c>
      <c r="T27" s="4">
        <v>815</v>
      </c>
      <c r="U27" s="3">
        <v>1020</v>
      </c>
      <c r="V27" s="3">
        <v>1300</v>
      </c>
      <c r="W27" s="3">
        <v>1350</v>
      </c>
      <c r="X27" s="3">
        <v>1400</v>
      </c>
      <c r="Y27" s="3">
        <v>1550</v>
      </c>
      <c r="Z27" s="3">
        <v>1500</v>
      </c>
      <c r="AA27" s="3">
        <v>1600</v>
      </c>
      <c r="AB27" s="3">
        <v>1750</v>
      </c>
      <c r="AC27" s="3">
        <v>1200</v>
      </c>
      <c r="AD27" s="3">
        <v>1000</v>
      </c>
      <c r="AE27" s="4">
        <v>200</v>
      </c>
      <c r="AF27" s="4">
        <v>250</v>
      </c>
      <c r="AG27" s="4">
        <v>300</v>
      </c>
      <c r="AH27" s="4">
        <v>480</v>
      </c>
      <c r="AI27" s="4">
        <v>450</v>
      </c>
      <c r="AJ27" s="4">
        <v>753</v>
      </c>
      <c r="AK27" s="4">
        <v>816</v>
      </c>
      <c r="AL27" s="4">
        <v>560</v>
      </c>
      <c r="AM27" s="4">
        <v>674</v>
      </c>
      <c r="AN27" s="4">
        <v>986</v>
      </c>
      <c r="AO27" s="3">
        <v>1145</v>
      </c>
      <c r="AP27" s="3">
        <v>1466</v>
      </c>
      <c r="AQ27" s="3">
        <v>1282</v>
      </c>
      <c r="AR27" s="3">
        <v>1913</v>
      </c>
      <c r="AS27" s="3">
        <v>2446</v>
      </c>
      <c r="AT27" s="3">
        <v>2304</v>
      </c>
      <c r="AU27" s="3">
        <v>2383</v>
      </c>
      <c r="AV27" s="3">
        <v>3014</v>
      </c>
      <c r="AW27" s="3">
        <v>3679</v>
      </c>
      <c r="AX27" s="3">
        <v>3265</v>
      </c>
      <c r="AY27" s="3">
        <v>2633</v>
      </c>
      <c r="AZ27" s="3">
        <v>3550</v>
      </c>
      <c r="BA27" s="3">
        <v>4079</v>
      </c>
      <c r="BB27" s="44">
        <v>3700</v>
      </c>
      <c r="BC27" s="42">
        <f>4039669/1000</f>
        <v>4039.6689999999999</v>
      </c>
      <c r="BD27" s="42"/>
    </row>
    <row r="28" spans="1:56" s="5" customFormat="1" x14ac:dyDescent="0.25">
      <c r="A28" s="14"/>
      <c r="B28" s="6"/>
      <c r="C28" s="6" t="s">
        <v>8</v>
      </c>
      <c r="D28" s="7">
        <v>0</v>
      </c>
      <c r="E28" s="7">
        <v>0</v>
      </c>
      <c r="F28" s="7">
        <v>0</v>
      </c>
      <c r="G28" s="7">
        <v>0</v>
      </c>
      <c r="H28" s="7">
        <v>23</v>
      </c>
      <c r="I28" s="7">
        <v>4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7">
        <v>0</v>
      </c>
      <c r="BA28" s="7">
        <v>0</v>
      </c>
      <c r="BB28" s="47">
        <v>0</v>
      </c>
      <c r="BC28" s="43">
        <f>272/1000</f>
        <v>0.27200000000000002</v>
      </c>
      <c r="BD28" s="43"/>
    </row>
    <row r="29" spans="1:56" x14ac:dyDescent="0.25">
      <c r="A29" s="12"/>
      <c r="B29" s="2"/>
      <c r="C29" s="2" t="s">
        <v>9</v>
      </c>
      <c r="D29" s="4">
        <v>78</v>
      </c>
      <c r="E29" s="4">
        <v>101</v>
      </c>
      <c r="F29" s="4">
        <v>87</v>
      </c>
      <c r="G29" s="4">
        <v>74</v>
      </c>
      <c r="H29" s="4">
        <v>53</v>
      </c>
      <c r="I29" s="4">
        <v>126</v>
      </c>
      <c r="J29" s="4">
        <v>160</v>
      </c>
      <c r="K29" s="4">
        <v>131</v>
      </c>
      <c r="L29" s="4">
        <v>145</v>
      </c>
      <c r="M29" s="4">
        <v>237</v>
      </c>
      <c r="N29" s="4">
        <v>400</v>
      </c>
      <c r="O29" s="4">
        <v>354</v>
      </c>
      <c r="P29" s="4">
        <v>413</v>
      </c>
      <c r="Q29" s="4">
        <v>335</v>
      </c>
      <c r="R29" s="4">
        <v>343</v>
      </c>
      <c r="S29" s="4">
        <v>517</v>
      </c>
      <c r="T29" s="4">
        <v>815</v>
      </c>
      <c r="U29" s="3">
        <v>1028</v>
      </c>
      <c r="V29" s="3">
        <v>1270</v>
      </c>
      <c r="W29" s="3">
        <v>1391</v>
      </c>
      <c r="X29" s="3">
        <v>1429</v>
      </c>
      <c r="Y29" s="3">
        <v>1570</v>
      </c>
      <c r="Z29" s="3">
        <v>1565</v>
      </c>
      <c r="AA29" s="3">
        <v>1595</v>
      </c>
      <c r="AB29" s="3">
        <v>1774</v>
      </c>
      <c r="AC29" s="3">
        <v>1235</v>
      </c>
      <c r="AD29" s="4">
        <v>920</v>
      </c>
      <c r="AE29" s="4">
        <v>410</v>
      </c>
      <c r="AF29" s="4">
        <v>300</v>
      </c>
      <c r="AG29" s="4">
        <v>360</v>
      </c>
      <c r="AH29" s="4">
        <v>510</v>
      </c>
      <c r="AI29" s="4">
        <v>510</v>
      </c>
      <c r="AJ29" s="4">
        <v>713</v>
      </c>
      <c r="AK29" s="4">
        <v>791</v>
      </c>
      <c r="AL29" s="4">
        <v>715</v>
      </c>
      <c r="AM29" s="4">
        <v>724</v>
      </c>
      <c r="AN29" s="3">
        <v>1021</v>
      </c>
      <c r="AO29" s="3">
        <v>1165</v>
      </c>
      <c r="AP29" s="3">
        <v>1356</v>
      </c>
      <c r="AQ29" s="3">
        <v>1327</v>
      </c>
      <c r="AR29" s="3">
        <v>1958</v>
      </c>
      <c r="AS29" s="3">
        <v>2496</v>
      </c>
      <c r="AT29" s="3">
        <v>2379</v>
      </c>
      <c r="AU29" s="3">
        <v>2443</v>
      </c>
      <c r="AV29" s="3">
        <v>3084</v>
      </c>
      <c r="AW29" s="3">
        <v>3764</v>
      </c>
      <c r="AX29" s="3">
        <v>3365</v>
      </c>
      <c r="AY29" s="3">
        <v>2833</v>
      </c>
      <c r="AZ29" s="3">
        <v>3550</v>
      </c>
      <c r="BA29" s="3">
        <v>4179</v>
      </c>
      <c r="BB29" s="44">
        <v>3800</v>
      </c>
      <c r="BC29" s="42">
        <f>BC26+BC27-BC28</f>
        <v>4204.3969999999999</v>
      </c>
      <c r="BD29" s="42"/>
    </row>
    <row r="34" spans="1:54" s="5" customFormat="1" x14ac:dyDescent="0.25">
      <c r="A34" s="32"/>
      <c r="B34" s="32"/>
      <c r="C34" s="32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6"/>
      <c r="AD34" s="36"/>
      <c r="AE34" s="33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</row>
    <row r="35" spans="1:54" x14ac:dyDescent="0.25">
      <c r="A35" s="34"/>
      <c r="B35" s="34"/>
      <c r="C35" s="34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</row>
    <row r="36" spans="1:54" s="5" customFormat="1" x14ac:dyDescent="0.25">
      <c r="A36" s="32"/>
      <c r="B36" s="32"/>
      <c r="C36" s="32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</row>
    <row r="37" spans="1:54" x14ac:dyDescent="0.25">
      <c r="A37" s="34"/>
      <c r="B37" s="34"/>
      <c r="C37" s="34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</row>
    <row r="38" spans="1:54" s="5" customFormat="1" x14ac:dyDescent="0.25">
      <c r="A38" s="32"/>
      <c r="B38" s="32"/>
      <c r="C38" s="32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/>
      <c r="AW38" s="33"/>
      <c r="AX38" s="33"/>
      <c r="AY38" s="33"/>
      <c r="AZ38" s="33"/>
      <c r="BA38" s="33"/>
      <c r="BB38" s="33"/>
    </row>
    <row r="39" spans="1:54" x14ac:dyDescent="0.25">
      <c r="A39" s="34"/>
      <c r="B39" s="34"/>
      <c r="C39" s="34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/>
      <c r="BB39" s="35"/>
    </row>
    <row r="40" spans="1:54" s="5" customFormat="1" x14ac:dyDescent="0.25">
      <c r="A40" s="32"/>
      <c r="B40" s="32"/>
      <c r="C40" s="32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6"/>
      <c r="AS40" s="33"/>
      <c r="AT40" s="33"/>
      <c r="AU40" s="33"/>
      <c r="AV40" s="33"/>
      <c r="AW40" s="33"/>
      <c r="AX40" s="33"/>
      <c r="AY40" s="33"/>
      <c r="AZ40" s="33"/>
      <c r="BA40" s="33"/>
      <c r="BB40" s="33"/>
    </row>
    <row r="41" spans="1:54" x14ac:dyDescent="0.25">
      <c r="A41" s="34"/>
      <c r="B41" s="34"/>
      <c r="C41" s="34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/>
      <c r="AK41" s="35"/>
      <c r="AL41" s="35"/>
      <c r="AM41" s="35"/>
      <c r="AN41" s="35"/>
      <c r="AO41" s="35"/>
      <c r="AP41" s="35"/>
      <c r="AQ41" s="35"/>
      <c r="AR41" s="35"/>
      <c r="AS41" s="35"/>
      <c r="AT41" s="35"/>
      <c r="AU41" s="35"/>
      <c r="AV41" s="35"/>
      <c r="AW41" s="35"/>
      <c r="AX41" s="35"/>
      <c r="AY41" s="35"/>
      <c r="AZ41" s="35"/>
      <c r="BA41" s="35"/>
      <c r="BB41" s="35"/>
    </row>
    <row r="42" spans="1:54" s="5" customFormat="1" x14ac:dyDescent="0.25">
      <c r="A42" s="32"/>
      <c r="B42" s="32"/>
      <c r="C42" s="32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/>
      <c r="AW42" s="33"/>
      <c r="AX42" s="33"/>
      <c r="AY42" s="33"/>
      <c r="AZ42" s="33"/>
      <c r="BA42" s="33"/>
      <c r="BB42" s="33"/>
    </row>
    <row r="43" spans="1:54" x14ac:dyDescent="0.25">
      <c r="A43" s="34"/>
      <c r="B43" s="34"/>
      <c r="C43" s="34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  <c r="AN43" s="35"/>
      <c r="AO43" s="35"/>
      <c r="AP43" s="35"/>
      <c r="AQ43" s="35"/>
      <c r="AR43" s="35"/>
      <c r="AS43" s="35"/>
      <c r="AT43" s="35"/>
      <c r="AU43" s="35"/>
      <c r="AV43" s="35"/>
      <c r="AW43" s="35"/>
      <c r="AX43" s="35"/>
      <c r="AY43" s="35"/>
      <c r="AZ43" s="35"/>
      <c r="BA43" s="35"/>
      <c r="BB43" s="35"/>
    </row>
    <row r="44" spans="1:54" s="5" customFormat="1" x14ac:dyDescent="0.25">
      <c r="A44" s="32"/>
      <c r="B44" s="32"/>
      <c r="C44" s="32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6"/>
      <c r="O44" s="36"/>
      <c r="P44" s="36"/>
      <c r="Q44" s="36"/>
      <c r="R44" s="33"/>
      <c r="S44" s="36"/>
      <c r="T44" s="33"/>
      <c r="U44" s="33"/>
      <c r="V44" s="36"/>
      <c r="W44" s="33"/>
      <c r="X44" s="36"/>
      <c r="Y44" s="36"/>
      <c r="Z44" s="33"/>
      <c r="AA44" s="36"/>
      <c r="AB44" s="36"/>
      <c r="AC44" s="36"/>
      <c r="AD44" s="36"/>
      <c r="AE44" s="36"/>
      <c r="AF44" s="36"/>
      <c r="AG44" s="33"/>
      <c r="AH44" s="33"/>
      <c r="AI44" s="36"/>
      <c r="AJ44" s="33"/>
      <c r="AK44" s="33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36"/>
      <c r="BB44" s="36"/>
    </row>
    <row r="45" spans="1:54" x14ac:dyDescent="0.25">
      <c r="A45" s="34"/>
      <c r="B45" s="34"/>
      <c r="C45" s="34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  <c r="AM45" s="35"/>
      <c r="AN45" s="35"/>
      <c r="AO45" s="35"/>
      <c r="AP45" s="35"/>
      <c r="AQ45" s="35"/>
      <c r="AR45" s="35"/>
      <c r="AS45" s="35"/>
      <c r="AT45" s="35"/>
      <c r="AU45" s="35"/>
      <c r="AV45" s="35"/>
      <c r="AW45" s="35"/>
      <c r="AX45" s="35"/>
      <c r="AY45" s="35"/>
      <c r="AZ45" s="35"/>
      <c r="BA45" s="35"/>
      <c r="BB45" s="35"/>
    </row>
    <row r="46" spans="1:54" s="5" customFormat="1" x14ac:dyDescent="0.25">
      <c r="A46" s="32"/>
      <c r="B46" s="32"/>
      <c r="C46" s="32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6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6"/>
      <c r="AB46" s="36"/>
      <c r="AC46" s="36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6"/>
      <c r="BA46" s="33"/>
      <c r="BB46" s="36"/>
    </row>
    <row r="47" spans="1:54" x14ac:dyDescent="0.25">
      <c r="A47" s="34"/>
      <c r="B47" s="34"/>
      <c r="C47" s="34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7"/>
      <c r="AF47" s="35"/>
      <c r="AG47" s="35"/>
      <c r="AH47" s="35"/>
      <c r="AI47" s="37"/>
      <c r="AJ47" s="35"/>
      <c r="AK47" s="35"/>
      <c r="AL47" s="37"/>
      <c r="AM47" s="37"/>
      <c r="AN47" s="37"/>
      <c r="AO47" s="35"/>
      <c r="AP47" s="37"/>
      <c r="AQ47" s="37"/>
      <c r="AR47" s="37"/>
      <c r="AS47" s="37"/>
      <c r="AT47" s="37"/>
      <c r="AU47" s="37"/>
      <c r="AV47" s="37"/>
      <c r="AW47" s="37"/>
      <c r="AX47" s="37"/>
      <c r="AY47" s="37"/>
      <c r="AZ47" s="37"/>
      <c r="BA47" s="37"/>
      <c r="BB47" s="37"/>
    </row>
    <row r="48" spans="1:54" s="5" customFormat="1" x14ac:dyDescent="0.25">
      <c r="A48" s="34"/>
      <c r="B48" s="34"/>
      <c r="C48" s="34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</row>
    <row r="49" spans="1:54" x14ac:dyDescent="0.25">
      <c r="A49" s="34"/>
      <c r="B49" s="32"/>
      <c r="C49" s="32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3"/>
      <c r="AT49" s="33"/>
      <c r="AU49" s="33"/>
      <c r="AV49" s="33"/>
      <c r="AW49" s="33"/>
      <c r="AX49" s="33"/>
      <c r="AY49" s="33"/>
      <c r="AZ49" s="33"/>
      <c r="BA49" s="33"/>
      <c r="BB49" s="33"/>
    </row>
    <row r="50" spans="1:54" s="5" customFormat="1" x14ac:dyDescent="0.25">
      <c r="A50" s="34"/>
      <c r="B50" s="34"/>
      <c r="C50" s="34"/>
      <c r="D50" s="35"/>
      <c r="E50" s="35"/>
      <c r="F50" s="35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</row>
    <row r="51" spans="1:54" x14ac:dyDescent="0.25">
      <c r="A51" s="34"/>
      <c r="B51" s="32"/>
      <c r="C51" s="32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  <c r="AM51" s="33"/>
      <c r="AN51" s="33"/>
      <c r="AO51" s="33"/>
      <c r="AP51" s="33"/>
      <c r="AQ51" s="33"/>
      <c r="AR51" s="33"/>
      <c r="AS51" s="36"/>
      <c r="AT51" s="36"/>
      <c r="AU51" s="36"/>
      <c r="AV51" s="36"/>
      <c r="AW51" s="36"/>
      <c r="AX51" s="36"/>
      <c r="AY51" s="36"/>
      <c r="AZ51" s="36"/>
      <c r="BA51" s="36"/>
      <c r="BB51" s="36"/>
    </row>
    <row r="52" spans="1:54" x14ac:dyDescent="0.25">
      <c r="A52" s="34"/>
      <c r="B52" s="34"/>
      <c r="C52" s="34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  <c r="AP52" s="37"/>
      <c r="AQ52" s="37"/>
      <c r="AR52" s="37"/>
      <c r="AS52" s="37"/>
      <c r="AT52" s="37"/>
      <c r="AU52" s="37"/>
      <c r="AV52" s="37"/>
      <c r="AW52" s="37"/>
      <c r="AX52" s="37"/>
      <c r="AY52" s="37"/>
      <c r="AZ52" s="37"/>
      <c r="BA52" s="37"/>
      <c r="BB52" s="37"/>
    </row>
    <row r="53" spans="1:54" s="5" customFormat="1" x14ac:dyDescent="0.25">
      <c r="A53" s="32"/>
      <c r="B53" s="32"/>
      <c r="C53" s="32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</row>
    <row r="54" spans="1:54" x14ac:dyDescent="0.25">
      <c r="A54" s="34"/>
      <c r="B54" s="34"/>
      <c r="C54" s="34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</row>
    <row r="55" spans="1:54" s="5" customFormat="1" x14ac:dyDescent="0.25">
      <c r="A55" s="32"/>
      <c r="B55" s="32"/>
      <c r="C55" s="32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  <c r="AJ55" s="36"/>
      <c r="AK55" s="36"/>
      <c r="AL55" s="36"/>
      <c r="AM55" s="36"/>
      <c r="AN55" s="36"/>
      <c r="AO55" s="36"/>
      <c r="AP55" s="36"/>
      <c r="AQ55" s="36"/>
      <c r="AR55" s="36"/>
      <c r="AS55" s="36"/>
      <c r="AT55" s="36"/>
      <c r="AU55" s="36"/>
      <c r="AV55" s="36"/>
      <c r="AW55" s="36"/>
      <c r="AX55" s="36"/>
      <c r="AY55" s="36"/>
      <c r="AZ55" s="36"/>
      <c r="BA55" s="36"/>
      <c r="BB55" s="36"/>
    </row>
    <row r="56" spans="1:54" x14ac:dyDescent="0.25">
      <c r="A56" s="34"/>
      <c r="B56" s="34"/>
      <c r="C56" s="34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  <c r="AS56" s="37"/>
      <c r="AT56" s="37"/>
      <c r="AU56" s="37"/>
      <c r="AV56" s="37"/>
      <c r="AW56" s="37"/>
      <c r="AX56" s="37"/>
      <c r="AY56" s="37"/>
      <c r="AZ56" s="37"/>
      <c r="BA56" s="37"/>
      <c r="BB56" s="37"/>
    </row>
    <row r="57" spans="1:54" s="5" customFormat="1" x14ac:dyDescent="0.25">
      <c r="A57" s="32"/>
      <c r="B57" s="32"/>
      <c r="C57" s="32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6"/>
      <c r="V57" s="36"/>
      <c r="W57" s="36"/>
      <c r="X57" s="33"/>
      <c r="Y57" s="33"/>
      <c r="Z57" s="33"/>
      <c r="AA57" s="33"/>
      <c r="AB57" s="36"/>
      <c r="AC57" s="36"/>
      <c r="AD57" s="33"/>
      <c r="AE57" s="33"/>
      <c r="AF57" s="33"/>
      <c r="AG57" s="33"/>
      <c r="AH57" s="33"/>
      <c r="AI57" s="33"/>
      <c r="AJ57" s="36"/>
      <c r="AK57" s="36"/>
      <c r="AL57" s="36"/>
      <c r="AM57" s="33"/>
      <c r="AN57" s="33"/>
      <c r="AO57" s="36"/>
      <c r="AP57" s="36"/>
      <c r="AQ57" s="36"/>
      <c r="AR57" s="33"/>
      <c r="AS57" s="33"/>
      <c r="AT57" s="33"/>
      <c r="AU57" s="33"/>
      <c r="AV57" s="33"/>
      <c r="AW57" s="36"/>
      <c r="AX57" s="36"/>
      <c r="AY57" s="33"/>
      <c r="AZ57" s="36"/>
      <c r="BA57" s="33"/>
      <c r="BB57" s="36"/>
    </row>
    <row r="58" spans="1:54" x14ac:dyDescent="0.25">
      <c r="A58" s="34"/>
      <c r="B58" s="34"/>
      <c r="C58" s="34"/>
      <c r="D58" s="35"/>
      <c r="E58" s="35"/>
      <c r="F58" s="35"/>
      <c r="G58" s="35"/>
      <c r="H58" s="35"/>
      <c r="I58" s="35"/>
      <c r="J58" s="35"/>
      <c r="K58" s="37"/>
      <c r="L58" s="35"/>
      <c r="M58" s="37"/>
      <c r="N58" s="35"/>
      <c r="O58" s="35"/>
      <c r="P58" s="35"/>
      <c r="Q58" s="37"/>
      <c r="R58" s="35"/>
      <c r="S58" s="37"/>
      <c r="T58" s="37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  <c r="AF58" s="35"/>
      <c r="AG58" s="35"/>
      <c r="AH58" s="35"/>
      <c r="AI58" s="35"/>
      <c r="AJ58" s="35"/>
      <c r="AK58" s="35"/>
      <c r="AL58" s="35"/>
      <c r="AM58" s="35"/>
      <c r="AN58" s="35"/>
      <c r="AO58" s="35"/>
      <c r="AP58" s="35"/>
      <c r="AQ58" s="35"/>
      <c r="AR58" s="37"/>
      <c r="AS58" s="37"/>
      <c r="AT58" s="37"/>
      <c r="AU58" s="37"/>
      <c r="AV58" s="35"/>
      <c r="AW58" s="37"/>
      <c r="AX58" s="37"/>
      <c r="AY58" s="37"/>
      <c r="AZ58" s="37"/>
      <c r="BA58" s="37"/>
      <c r="BB58" s="37"/>
    </row>
    <row r="59" spans="1:54" s="5" customFormat="1" x14ac:dyDescent="0.25">
      <c r="A59" s="32"/>
      <c r="B59" s="32"/>
      <c r="C59" s="32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36"/>
      <c r="AO59" s="36"/>
      <c r="AP59" s="36"/>
      <c r="AQ59" s="36"/>
      <c r="AR59" s="36"/>
      <c r="AS59" s="36"/>
      <c r="AT59" s="36"/>
      <c r="AU59" s="36"/>
      <c r="AV59" s="36"/>
      <c r="AW59" s="36"/>
      <c r="AX59" s="36"/>
      <c r="AY59" s="36"/>
      <c r="AZ59" s="36"/>
      <c r="BA59" s="36"/>
      <c r="BB59" s="36"/>
    </row>
    <row r="60" spans="1:54" x14ac:dyDescent="0.25">
      <c r="A60" s="34"/>
      <c r="B60" s="34"/>
      <c r="C60" s="34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7"/>
      <c r="AV60" s="37"/>
      <c r="AW60" s="37"/>
      <c r="AX60" s="37"/>
      <c r="AY60" s="37"/>
      <c r="AZ60" s="37"/>
      <c r="BA60" s="37"/>
      <c r="BB60" s="37"/>
    </row>
    <row r="61" spans="1:54" s="5" customFormat="1" x14ac:dyDescent="0.25">
      <c r="A61" s="32"/>
      <c r="B61" s="32"/>
      <c r="C61" s="32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  <c r="AG61" s="33"/>
      <c r="AH61" s="33"/>
      <c r="AI61" s="33"/>
      <c r="AJ61" s="36"/>
      <c r="AK61" s="36"/>
      <c r="AL61" s="36"/>
      <c r="AM61" s="36"/>
      <c r="AN61" s="36"/>
      <c r="AO61" s="36"/>
      <c r="AP61" s="36"/>
      <c r="AQ61" s="36"/>
      <c r="AR61" s="33"/>
      <c r="AS61" s="33"/>
      <c r="AT61" s="33"/>
      <c r="AU61" s="33"/>
      <c r="AV61" s="33"/>
      <c r="AW61" s="33"/>
      <c r="AX61" s="33"/>
      <c r="AY61" s="33"/>
      <c r="AZ61" s="33"/>
      <c r="BA61" s="33"/>
      <c r="BB61" s="33"/>
    </row>
    <row r="62" spans="1:54" x14ac:dyDescent="0.25">
      <c r="A62" s="34"/>
      <c r="B62" s="34"/>
      <c r="C62" s="34"/>
      <c r="D62" s="35"/>
      <c r="E62" s="35"/>
      <c r="F62" s="37"/>
      <c r="G62" s="37"/>
      <c r="H62" s="37"/>
      <c r="I62" s="35"/>
      <c r="J62" s="37"/>
      <c r="K62" s="35"/>
      <c r="L62" s="37"/>
      <c r="M62" s="37"/>
      <c r="N62" s="37"/>
      <c r="O62" s="37"/>
      <c r="P62" s="37"/>
      <c r="Q62" s="35"/>
      <c r="R62" s="35"/>
      <c r="S62" s="35"/>
      <c r="T62" s="35"/>
      <c r="U62" s="35"/>
      <c r="V62" s="35"/>
      <c r="W62" s="35"/>
      <c r="X62" s="35"/>
      <c r="Y62" s="35"/>
      <c r="Z62" s="37"/>
      <c r="AA62" s="35"/>
      <c r="AB62" s="35"/>
      <c r="AC62" s="35"/>
      <c r="AD62" s="35"/>
      <c r="AE62" s="35"/>
      <c r="AF62" s="35"/>
      <c r="AG62" s="35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5"/>
      <c r="AS62" s="35"/>
      <c r="AT62" s="35"/>
      <c r="AU62" s="35"/>
      <c r="AV62" s="37"/>
      <c r="AW62" s="37"/>
      <c r="AX62" s="37"/>
      <c r="AY62" s="37"/>
      <c r="AZ62" s="37"/>
      <c r="BA62" s="37"/>
      <c r="BB62" s="37"/>
    </row>
    <row r="63" spans="1:54" s="5" customFormat="1" x14ac:dyDescent="0.25">
      <c r="A63" s="32"/>
      <c r="B63" s="32"/>
      <c r="C63" s="32"/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  <c r="AJ63" s="36"/>
      <c r="AK63" s="36"/>
      <c r="AL63" s="36"/>
      <c r="AM63" s="36"/>
      <c r="AN63" s="36"/>
      <c r="AO63" s="36"/>
      <c r="AP63" s="36"/>
      <c r="AQ63" s="36"/>
      <c r="AR63" s="36"/>
      <c r="AS63" s="36"/>
      <c r="AT63" s="36"/>
      <c r="AU63" s="36"/>
      <c r="AV63" s="36"/>
      <c r="AW63" s="36"/>
      <c r="AX63" s="36"/>
      <c r="AY63" s="36"/>
      <c r="AZ63" s="36"/>
      <c r="BA63" s="36"/>
      <c r="BB63" s="36"/>
    </row>
    <row r="64" spans="1:54" x14ac:dyDescent="0.25">
      <c r="A64" s="34"/>
      <c r="B64" s="34"/>
      <c r="C64" s="34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7"/>
      <c r="AE64" s="37"/>
      <c r="AF64" s="37"/>
      <c r="AG64" s="37"/>
      <c r="AH64" s="37"/>
      <c r="AI64" s="37"/>
      <c r="AJ64" s="37"/>
      <c r="AK64" s="37"/>
      <c r="AL64" s="37"/>
      <c r="AM64" s="37"/>
      <c r="AN64" s="37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</row>
    <row r="65" spans="1:54" s="5" customFormat="1" x14ac:dyDescent="0.25">
      <c r="A65" s="32"/>
      <c r="B65" s="32"/>
      <c r="C65" s="32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  <c r="AG65" s="33"/>
      <c r="AH65" s="33"/>
      <c r="AI65" s="33"/>
      <c r="AJ65" s="33"/>
      <c r="AK65" s="33"/>
      <c r="AL65" s="36"/>
      <c r="AM65" s="36"/>
      <c r="AN65" s="33"/>
      <c r="AO65" s="36"/>
      <c r="AP65" s="33"/>
      <c r="AQ65" s="33"/>
      <c r="AR65" s="33"/>
      <c r="AS65" s="36"/>
      <c r="AT65" s="36"/>
      <c r="AU65" s="33"/>
      <c r="AV65" s="33"/>
      <c r="AW65" s="33"/>
      <c r="AX65" s="33"/>
      <c r="AY65" s="33"/>
      <c r="AZ65" s="33"/>
      <c r="BA65" s="33"/>
      <c r="BB65" s="33"/>
    </row>
    <row r="66" spans="1:54" x14ac:dyDescent="0.25">
      <c r="A66" s="34"/>
      <c r="B66" s="34"/>
      <c r="C66" s="34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5"/>
      <c r="AE66" s="37"/>
      <c r="AF66" s="37"/>
      <c r="AG66" s="37"/>
      <c r="AH66" s="37"/>
      <c r="AI66" s="37"/>
      <c r="AJ66" s="37"/>
      <c r="AK66" s="37"/>
      <c r="AL66" s="37"/>
      <c r="AM66" s="37"/>
      <c r="AN66" s="37"/>
      <c r="AO66" s="37"/>
      <c r="AP66" s="37"/>
      <c r="AQ66" s="37"/>
      <c r="AR66" s="37"/>
      <c r="AS66" s="37"/>
      <c r="AT66" s="37"/>
      <c r="AU66" s="37"/>
      <c r="AV66" s="37"/>
      <c r="AW66" s="37"/>
      <c r="AX66" s="37"/>
      <c r="AY66" s="37"/>
      <c r="AZ66" s="37"/>
      <c r="BA66" s="37"/>
      <c r="BB66" s="37"/>
    </row>
    <row r="67" spans="1:54" s="5" customFormat="1" x14ac:dyDescent="0.25">
      <c r="A67" s="32"/>
      <c r="B67" s="32"/>
      <c r="C67" s="32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6"/>
      <c r="AE67" s="36"/>
      <c r="AF67" s="36"/>
      <c r="AG67" s="36"/>
      <c r="AH67" s="36"/>
      <c r="AI67" s="36"/>
      <c r="AJ67" s="36"/>
      <c r="AK67" s="36"/>
      <c r="AL67" s="36"/>
      <c r="AM67" s="36"/>
      <c r="AN67" s="36"/>
      <c r="AO67" s="36"/>
      <c r="AP67" s="36"/>
      <c r="AQ67" s="36"/>
      <c r="AR67" s="36"/>
      <c r="AS67" s="36"/>
      <c r="AT67" s="36"/>
      <c r="AU67" s="36"/>
      <c r="AV67" s="36"/>
      <c r="AW67" s="36"/>
      <c r="AX67" s="36"/>
      <c r="AY67" s="36"/>
      <c r="AZ67" s="36"/>
      <c r="BA67" s="36"/>
      <c r="BB67" s="36"/>
    </row>
    <row r="68" spans="1:54" x14ac:dyDescent="0.25">
      <c r="A68" s="34"/>
      <c r="B68" s="34"/>
      <c r="C68" s="34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7"/>
      <c r="AF68" s="37"/>
      <c r="AG68" s="37"/>
      <c r="AH68" s="37"/>
      <c r="AI68" s="37"/>
      <c r="AJ68" s="37"/>
      <c r="AK68" s="37"/>
      <c r="AL68" s="37"/>
      <c r="AM68" s="37"/>
      <c r="AN68" s="37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37"/>
      <c r="BA68" s="37"/>
      <c r="BB68" s="37"/>
    </row>
    <row r="69" spans="1:54" s="5" customFormat="1" x14ac:dyDescent="0.25">
      <c r="A69" s="32"/>
      <c r="B69" s="32"/>
      <c r="C69" s="32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6"/>
      <c r="AD69" s="33"/>
      <c r="AE69" s="33"/>
      <c r="AF69" s="33"/>
      <c r="AG69" s="33"/>
      <c r="AH69" s="33"/>
      <c r="AI69" s="33"/>
      <c r="AJ69" s="33"/>
      <c r="AK69" s="33"/>
      <c r="AL69" s="33"/>
      <c r="AM69" s="33"/>
      <c r="AN69" s="33"/>
      <c r="AO69" s="36"/>
      <c r="AP69" s="33"/>
      <c r="AQ69" s="33"/>
      <c r="AR69" s="33"/>
      <c r="AS69" s="33"/>
      <c r="AT69" s="36"/>
      <c r="AU69" s="33"/>
      <c r="AV69" s="33"/>
      <c r="AW69" s="33"/>
      <c r="AX69" s="33"/>
      <c r="AY69" s="33"/>
      <c r="AZ69" s="33"/>
      <c r="BA69" s="33"/>
      <c r="BB69" s="33"/>
    </row>
    <row r="70" spans="1:54" x14ac:dyDescent="0.25">
      <c r="A70" s="34"/>
      <c r="B70" s="34"/>
      <c r="C70" s="34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5"/>
      <c r="AE70" s="35"/>
      <c r="AF70" s="35"/>
      <c r="AG70" s="35"/>
      <c r="AH70" s="35"/>
      <c r="AI70" s="35"/>
      <c r="AJ70" s="35"/>
      <c r="AK70" s="35"/>
      <c r="AL70" s="35"/>
      <c r="AM70" s="35"/>
      <c r="AN70" s="35"/>
      <c r="AO70" s="35"/>
      <c r="AP70" s="35"/>
      <c r="AQ70" s="35"/>
      <c r="AR70" s="35"/>
      <c r="AS70" s="35"/>
      <c r="AT70" s="35"/>
      <c r="AU70" s="35"/>
      <c r="AV70" s="35"/>
      <c r="AW70" s="35"/>
      <c r="AX70" s="35"/>
      <c r="AY70" s="35"/>
      <c r="AZ70" s="35"/>
      <c r="BA70" s="35"/>
      <c r="BB70" s="35"/>
    </row>
    <row r="71" spans="1:54" s="5" customFormat="1" x14ac:dyDescent="0.25">
      <c r="A71" s="32"/>
      <c r="B71" s="32"/>
      <c r="C71" s="32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  <c r="AC71" s="36"/>
      <c r="AD71" s="36"/>
      <c r="AE71" s="36"/>
      <c r="AF71" s="36"/>
      <c r="AG71" s="36"/>
      <c r="AH71" s="36"/>
      <c r="AI71" s="36"/>
      <c r="AJ71" s="36"/>
      <c r="AK71" s="36"/>
      <c r="AL71" s="36"/>
      <c r="AM71" s="36"/>
      <c r="AN71" s="36"/>
      <c r="AO71" s="36"/>
      <c r="AP71" s="36"/>
      <c r="AQ71" s="36"/>
      <c r="AR71" s="36"/>
      <c r="AS71" s="36"/>
      <c r="AT71" s="36"/>
      <c r="AU71" s="36"/>
      <c r="AV71" s="36"/>
      <c r="AW71" s="36"/>
      <c r="AX71" s="36"/>
      <c r="AY71" s="36"/>
      <c r="AZ71" s="36"/>
      <c r="BA71" s="36"/>
      <c r="BB71" s="36"/>
    </row>
    <row r="72" spans="1:54" x14ac:dyDescent="0.25">
      <c r="A72" s="34"/>
      <c r="B72" s="34"/>
      <c r="C72" s="34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35"/>
      <c r="AE72" s="35"/>
      <c r="AF72" s="35"/>
      <c r="AG72" s="35"/>
      <c r="AH72" s="35"/>
      <c r="AI72" s="35"/>
      <c r="AJ72" s="35"/>
      <c r="AK72" s="35"/>
      <c r="AL72" s="35"/>
      <c r="AM72" s="35"/>
      <c r="AN72" s="35"/>
      <c r="AO72" s="35"/>
      <c r="AP72" s="35"/>
      <c r="AQ72" s="35"/>
      <c r="AR72" s="35"/>
      <c r="AS72" s="35"/>
      <c r="AT72" s="35"/>
      <c r="AU72" s="37"/>
      <c r="AV72" s="37"/>
      <c r="AW72" s="37"/>
      <c r="AX72" s="37"/>
      <c r="AY72" s="37"/>
      <c r="AZ72" s="37"/>
      <c r="BA72" s="37"/>
      <c r="BB72" s="37"/>
    </row>
    <row r="73" spans="1:54" s="5" customFormat="1" x14ac:dyDescent="0.25">
      <c r="A73" s="32"/>
      <c r="B73" s="32"/>
      <c r="C73" s="32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  <c r="AN73" s="33"/>
      <c r="AO73" s="33"/>
      <c r="AP73" s="33"/>
      <c r="AQ73" s="33"/>
      <c r="AR73" s="33"/>
      <c r="AS73" s="33"/>
      <c r="AT73" s="33"/>
      <c r="AU73" s="33"/>
      <c r="AV73" s="33"/>
      <c r="AW73" s="33"/>
      <c r="AX73" s="33"/>
      <c r="AY73" s="33"/>
      <c r="AZ73" s="33"/>
      <c r="BA73" s="33"/>
      <c r="BB73" s="33"/>
    </row>
    <row r="74" spans="1:54" x14ac:dyDescent="0.25">
      <c r="A74" s="34"/>
      <c r="B74" s="34"/>
      <c r="C74" s="34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35"/>
      <c r="AE74" s="35"/>
      <c r="AF74" s="35"/>
      <c r="AG74" s="35"/>
      <c r="AH74" s="35"/>
      <c r="AI74" s="35"/>
      <c r="AJ74" s="35"/>
      <c r="AK74" s="35"/>
      <c r="AL74" s="35"/>
      <c r="AM74" s="35"/>
      <c r="AN74" s="35"/>
      <c r="AO74" s="35"/>
      <c r="AP74" s="35"/>
      <c r="AQ74" s="35"/>
      <c r="AR74" s="35"/>
      <c r="AS74" s="35"/>
      <c r="AT74" s="35"/>
      <c r="AU74" s="35"/>
      <c r="AV74" s="35"/>
      <c r="AW74" s="35"/>
      <c r="AX74" s="35"/>
      <c r="AY74" s="35"/>
      <c r="AZ74" s="35"/>
      <c r="BA74" s="35"/>
      <c r="BB74" s="35"/>
    </row>
    <row r="75" spans="1:54" s="5" customFormat="1" x14ac:dyDescent="0.25">
      <c r="A75" s="32"/>
      <c r="B75" s="32"/>
      <c r="C75" s="32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6"/>
      <c r="AR75" s="33"/>
      <c r="AS75" s="33"/>
      <c r="AT75" s="33"/>
      <c r="AU75" s="36"/>
      <c r="AV75" s="36"/>
      <c r="AW75" s="36"/>
      <c r="AX75" s="36"/>
      <c r="AY75" s="36"/>
      <c r="AZ75" s="36"/>
      <c r="BA75" s="36"/>
      <c r="BB75" s="36"/>
    </row>
    <row r="76" spans="1:54" s="5" customFormat="1" x14ac:dyDescent="0.25">
      <c r="A76" s="34"/>
      <c r="B76" s="34"/>
      <c r="C76" s="34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</row>
    <row r="77" spans="1:54" x14ac:dyDescent="0.25">
      <c r="A77" s="34"/>
      <c r="B77" s="32"/>
      <c r="C77" s="32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3"/>
      <c r="AY77" s="33"/>
      <c r="AZ77" s="33"/>
      <c r="BA77" s="33"/>
      <c r="BB77" s="33"/>
    </row>
    <row r="78" spans="1:54" s="5" customFormat="1" x14ac:dyDescent="0.25">
      <c r="A78" s="34"/>
      <c r="B78" s="34"/>
      <c r="C78" s="34"/>
      <c r="D78" s="35"/>
      <c r="E78" s="35"/>
      <c r="F78" s="35"/>
      <c r="G78" s="35"/>
      <c r="H78" s="35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  <c r="AP78" s="37"/>
      <c r="AQ78" s="37"/>
      <c r="AR78" s="37"/>
      <c r="AS78" s="37"/>
      <c r="AT78" s="37"/>
      <c r="AU78" s="37"/>
      <c r="AV78" s="37"/>
      <c r="AW78" s="37"/>
      <c r="AX78" s="37"/>
      <c r="AY78" s="37"/>
      <c r="AZ78" s="37"/>
      <c r="BA78" s="37"/>
      <c r="BB78" s="37"/>
    </row>
    <row r="79" spans="1:54" x14ac:dyDescent="0.25">
      <c r="A79" s="34"/>
      <c r="B79" s="32"/>
      <c r="C79" s="32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  <c r="AJ79" s="36"/>
      <c r="AK79" s="36"/>
      <c r="AL79" s="36"/>
      <c r="AM79" s="36"/>
      <c r="AN79" s="36"/>
      <c r="AO79" s="36"/>
      <c r="AP79" s="36"/>
      <c r="AQ79" s="36"/>
      <c r="AR79" s="36"/>
      <c r="AS79" s="36"/>
      <c r="AT79" s="36"/>
      <c r="AU79" s="36"/>
      <c r="AV79" s="36"/>
      <c r="AW79" s="36"/>
      <c r="AX79" s="36"/>
      <c r="AY79" s="36"/>
      <c r="AZ79" s="36"/>
      <c r="BA79" s="36"/>
      <c r="BB79" s="36"/>
    </row>
    <row r="80" spans="1:54" s="5" customFormat="1" x14ac:dyDescent="0.25">
      <c r="A80" s="32"/>
      <c r="B80" s="32"/>
      <c r="C80" s="32"/>
      <c r="D80" s="33"/>
      <c r="E80" s="33"/>
      <c r="F80" s="33"/>
      <c r="G80" s="33"/>
      <c r="H80" s="33"/>
      <c r="I80" s="33"/>
      <c r="J80" s="33"/>
      <c r="K80" s="33"/>
      <c r="L80" s="33"/>
      <c r="M80" s="36"/>
      <c r="N80" s="36"/>
      <c r="O80" s="36"/>
      <c r="P80" s="33"/>
      <c r="Q80" s="36"/>
      <c r="R80" s="36"/>
      <c r="S80" s="36"/>
      <c r="T80" s="36"/>
      <c r="U80" s="36"/>
      <c r="V80" s="36"/>
      <c r="W80" s="36"/>
      <c r="X80" s="36"/>
      <c r="Y80" s="36"/>
      <c r="Z80" s="36"/>
      <c r="AA80" s="36"/>
      <c r="AB80" s="36"/>
      <c r="AC80" s="36"/>
      <c r="AD80" s="36"/>
      <c r="AE80" s="36"/>
      <c r="AF80" s="36"/>
      <c r="AG80" s="36"/>
      <c r="AH80" s="36"/>
      <c r="AI80" s="36"/>
      <c r="AJ80" s="36"/>
      <c r="AK80" s="36"/>
      <c r="AL80" s="36"/>
      <c r="AM80" s="36"/>
      <c r="AN80" s="36"/>
      <c r="AO80" s="36"/>
      <c r="AP80" s="36"/>
      <c r="AQ80" s="36"/>
      <c r="AR80" s="36"/>
      <c r="AS80" s="36"/>
      <c r="AT80" s="36"/>
      <c r="AU80" s="36"/>
      <c r="AV80" s="36"/>
      <c r="AW80" s="36"/>
      <c r="AX80" s="36"/>
      <c r="AY80" s="36"/>
      <c r="AZ80" s="36"/>
      <c r="BA80" s="36"/>
      <c r="BB80" s="36"/>
    </row>
    <row r="81" spans="1:54" x14ac:dyDescent="0.25">
      <c r="A81" s="34"/>
      <c r="B81" s="34"/>
      <c r="C81" s="34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</row>
    <row r="82" spans="1:54" s="5" customFormat="1" x14ac:dyDescent="0.25">
      <c r="A82" s="32"/>
      <c r="B82" s="32"/>
      <c r="C82" s="32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33"/>
      <c r="AK82" s="33"/>
      <c r="AL82" s="33"/>
      <c r="AM82" s="33"/>
      <c r="AN82" s="33"/>
      <c r="AO82" s="33"/>
      <c r="AP82" s="33"/>
      <c r="AQ82" s="33"/>
      <c r="AR82" s="33"/>
      <c r="AS82" s="33"/>
      <c r="AT82" s="33"/>
      <c r="AU82" s="36"/>
      <c r="AV82" s="33"/>
      <c r="AW82" s="33"/>
      <c r="AX82" s="33"/>
      <c r="AY82" s="33"/>
      <c r="AZ82" s="33"/>
      <c r="BA82" s="36"/>
      <c r="BB82" s="36"/>
    </row>
    <row r="83" spans="1:54" x14ac:dyDescent="0.25">
      <c r="A83" s="34"/>
      <c r="B83" s="34"/>
      <c r="C83" s="34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  <c r="AK83" s="37"/>
      <c r="AL83" s="37"/>
      <c r="AM83" s="37"/>
      <c r="AN83" s="37"/>
      <c r="AO83" s="37"/>
      <c r="AP83" s="37"/>
      <c r="AQ83" s="37"/>
      <c r="AR83" s="37"/>
      <c r="AS83" s="37"/>
      <c r="AT83" s="37"/>
      <c r="AU83" s="37"/>
      <c r="AV83" s="37"/>
      <c r="AW83" s="37"/>
      <c r="AX83" s="37"/>
      <c r="AY83" s="37"/>
      <c r="AZ83" s="37"/>
      <c r="BA83" s="37"/>
      <c r="BB83" s="37"/>
    </row>
    <row r="84" spans="1:54" s="5" customFormat="1" x14ac:dyDescent="0.25">
      <c r="A84" s="32"/>
      <c r="B84" s="32"/>
      <c r="C84" s="32"/>
      <c r="D84" s="33"/>
      <c r="E84" s="33"/>
      <c r="F84" s="33"/>
      <c r="G84" s="33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  <c r="AB84" s="36"/>
      <c r="AC84" s="36"/>
      <c r="AD84" s="36"/>
      <c r="AE84" s="36"/>
      <c r="AF84" s="36"/>
      <c r="AG84" s="36"/>
      <c r="AH84" s="36"/>
      <c r="AI84" s="36"/>
      <c r="AJ84" s="36"/>
      <c r="AK84" s="36"/>
      <c r="AL84" s="36"/>
      <c r="AM84" s="36"/>
      <c r="AN84" s="36"/>
      <c r="AO84" s="36"/>
      <c r="AP84" s="36"/>
      <c r="AQ84" s="36"/>
      <c r="AR84" s="36"/>
      <c r="AS84" s="36"/>
      <c r="AT84" s="36"/>
      <c r="AU84" s="36"/>
      <c r="AV84" s="36"/>
      <c r="AW84" s="36"/>
      <c r="AX84" s="36"/>
      <c r="AY84" s="36"/>
      <c r="AZ84" s="36"/>
      <c r="BA84" s="36"/>
      <c r="BB84" s="36"/>
    </row>
    <row r="85" spans="1:54" x14ac:dyDescent="0.25">
      <c r="A85" s="34"/>
      <c r="B85" s="34"/>
      <c r="C85" s="34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7"/>
      <c r="R85" s="37"/>
      <c r="S85" s="35"/>
      <c r="T85" s="35"/>
      <c r="U85" s="35"/>
      <c r="V85" s="35"/>
      <c r="W85" s="35"/>
      <c r="X85" s="37"/>
      <c r="Y85" s="35"/>
      <c r="Z85" s="35"/>
      <c r="AA85" s="35"/>
      <c r="AB85" s="35"/>
      <c r="AC85" s="35"/>
      <c r="AD85" s="35"/>
      <c r="AE85" s="35"/>
      <c r="AF85" s="35"/>
      <c r="AG85" s="35"/>
      <c r="AH85" s="35"/>
      <c r="AI85" s="35"/>
      <c r="AJ85" s="37"/>
      <c r="AK85" s="35"/>
      <c r="AL85" s="37"/>
      <c r="AM85" s="35"/>
      <c r="AN85" s="35"/>
      <c r="AO85" s="37"/>
      <c r="AP85" s="35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</row>
    <row r="86" spans="1:54" s="5" customFormat="1" x14ac:dyDescent="0.25">
      <c r="A86" s="32"/>
      <c r="B86" s="32"/>
      <c r="C86" s="32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6"/>
      <c r="Y86" s="36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3"/>
      <c r="AY86" s="33"/>
      <c r="AZ86" s="33"/>
      <c r="BA86" s="33"/>
      <c r="BB86" s="36"/>
    </row>
    <row r="87" spans="1:54" x14ac:dyDescent="0.25">
      <c r="A87" s="34"/>
      <c r="B87" s="34"/>
      <c r="C87" s="34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  <c r="AK87" s="37"/>
      <c r="AL87" s="37"/>
      <c r="AM87" s="37"/>
      <c r="AN87" s="37"/>
      <c r="AO87" s="37"/>
      <c r="AP87" s="37"/>
      <c r="AQ87" s="37"/>
      <c r="AR87" s="37"/>
      <c r="AS87" s="37"/>
      <c r="AT87" s="37"/>
      <c r="AU87" s="37"/>
      <c r="AV87" s="37"/>
      <c r="AW87" s="37"/>
      <c r="AX87" s="37"/>
      <c r="AY87" s="37"/>
      <c r="AZ87" s="37"/>
      <c r="BA87" s="37"/>
      <c r="BB87" s="37"/>
    </row>
    <row r="88" spans="1:54" s="5" customFormat="1" x14ac:dyDescent="0.25">
      <c r="A88" s="32"/>
      <c r="B88" s="32"/>
      <c r="C88" s="32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  <c r="AL88" s="33"/>
      <c r="AM88" s="33"/>
      <c r="AN88" s="33"/>
      <c r="AO88" s="33"/>
      <c r="AP88" s="33"/>
      <c r="AQ88" s="33"/>
      <c r="AR88" s="33"/>
      <c r="AS88" s="33"/>
      <c r="AT88" s="33"/>
      <c r="AU88" s="33"/>
      <c r="AV88" s="33"/>
      <c r="AW88" s="33"/>
      <c r="AX88" s="33"/>
      <c r="AY88" s="33"/>
      <c r="AZ88" s="33"/>
      <c r="BA88" s="33"/>
      <c r="BB88" s="33"/>
    </row>
    <row r="89" spans="1:54" x14ac:dyDescent="0.25">
      <c r="A89" s="34"/>
      <c r="B89" s="34"/>
      <c r="C89" s="34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  <c r="AB89" s="35"/>
      <c r="AC89" s="35"/>
      <c r="AD89" s="35"/>
      <c r="AE89" s="35"/>
      <c r="AF89" s="35"/>
      <c r="AG89" s="35"/>
      <c r="AH89" s="35"/>
      <c r="AI89" s="35"/>
      <c r="AJ89" s="35"/>
      <c r="AK89" s="35"/>
      <c r="AL89" s="35"/>
      <c r="AM89" s="35"/>
      <c r="AN89" s="35"/>
      <c r="AO89" s="35"/>
      <c r="AP89" s="35"/>
      <c r="AQ89" s="35"/>
      <c r="AR89" s="35"/>
      <c r="AS89" s="35"/>
      <c r="AT89" s="35"/>
      <c r="AU89" s="35"/>
      <c r="AV89" s="35"/>
      <c r="AW89" s="35"/>
      <c r="AX89" s="35"/>
      <c r="AY89" s="35"/>
      <c r="AZ89" s="35"/>
      <c r="BA89" s="35"/>
      <c r="BB89" s="35"/>
    </row>
    <row r="90" spans="1:54" s="5" customFormat="1" x14ac:dyDescent="0.25">
      <c r="A90" s="32"/>
      <c r="B90" s="32"/>
      <c r="C90" s="32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3"/>
      <c r="AY90" s="33"/>
      <c r="AZ90" s="33"/>
      <c r="BA90" s="33"/>
      <c r="BB90" s="33"/>
    </row>
    <row r="91" spans="1:54" x14ac:dyDescent="0.25">
      <c r="A91" s="34"/>
      <c r="B91" s="34"/>
      <c r="C91" s="34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  <c r="AB91" s="35"/>
      <c r="AC91" s="37"/>
      <c r="AD91" s="35"/>
      <c r="AE91" s="37"/>
      <c r="AF91" s="37"/>
      <c r="AG91" s="37"/>
      <c r="AH91" s="37"/>
      <c r="AI91" s="37"/>
      <c r="AJ91" s="37"/>
      <c r="AK91" s="37"/>
      <c r="AL91" s="37"/>
      <c r="AM91" s="37"/>
      <c r="AN91" s="37"/>
      <c r="AO91" s="37"/>
      <c r="AP91" s="37"/>
      <c r="AQ91" s="37"/>
      <c r="AR91" s="37"/>
      <c r="AS91" s="37"/>
      <c r="AT91" s="37"/>
      <c r="AU91" s="37"/>
      <c r="AV91" s="37"/>
      <c r="AW91" s="37"/>
      <c r="AX91" s="37"/>
      <c r="AY91" s="37"/>
      <c r="AZ91" s="37"/>
      <c r="BA91" s="37"/>
      <c r="BB91" s="37"/>
    </row>
    <row r="92" spans="1:54" s="5" customFormat="1" x14ac:dyDescent="0.25">
      <c r="A92" s="32"/>
      <c r="B92" s="32"/>
      <c r="C92" s="32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3"/>
      <c r="AY92" s="33"/>
      <c r="AZ92" s="33"/>
      <c r="BA92" s="33"/>
      <c r="BB92" s="33"/>
    </row>
    <row r="93" spans="1:54" x14ac:dyDescent="0.25">
      <c r="A93" s="34"/>
      <c r="B93" s="34"/>
      <c r="C93" s="34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35"/>
      <c r="AI93" s="35"/>
      <c r="AJ93" s="35"/>
      <c r="AK93" s="35"/>
      <c r="AL93" s="35"/>
      <c r="AM93" s="35"/>
      <c r="AN93" s="35"/>
      <c r="AO93" s="35"/>
      <c r="AP93" s="35"/>
      <c r="AQ93" s="35"/>
      <c r="AR93" s="35"/>
      <c r="AS93" s="35"/>
      <c r="AT93" s="35"/>
      <c r="AU93" s="35"/>
      <c r="AV93" s="37"/>
      <c r="AW93" s="37"/>
      <c r="AX93" s="37"/>
      <c r="AY93" s="37"/>
      <c r="AZ93" s="37"/>
      <c r="BA93" s="37"/>
      <c r="BB93" s="37"/>
    </row>
    <row r="94" spans="1:54" s="5" customFormat="1" x14ac:dyDescent="0.25">
      <c r="A94" s="32"/>
      <c r="B94" s="32"/>
      <c r="C94" s="32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6"/>
      <c r="AA94" s="33"/>
      <c r="AB94" s="33"/>
      <c r="AC94" s="33"/>
      <c r="AD94" s="36"/>
      <c r="AE94" s="36"/>
      <c r="AF94" s="36"/>
      <c r="AG94" s="36"/>
      <c r="AH94" s="36"/>
      <c r="AI94" s="36"/>
      <c r="AJ94" s="36"/>
      <c r="AK94" s="36"/>
      <c r="AL94" s="36"/>
      <c r="AM94" s="36"/>
      <c r="AN94" s="36"/>
      <c r="AO94" s="36"/>
      <c r="AP94" s="36"/>
      <c r="AQ94" s="36"/>
      <c r="AR94" s="36"/>
      <c r="AS94" s="36"/>
      <c r="AT94" s="36"/>
      <c r="AU94" s="36"/>
      <c r="AV94" s="36"/>
      <c r="AW94" s="36"/>
      <c r="AX94" s="36"/>
      <c r="AY94" s="36"/>
      <c r="AZ94" s="36"/>
      <c r="BA94" s="36"/>
      <c r="BB94" s="36"/>
    </row>
    <row r="95" spans="1:54" x14ac:dyDescent="0.25">
      <c r="A95" s="34"/>
      <c r="B95" s="34"/>
      <c r="C95" s="34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  <c r="BB95" s="35"/>
    </row>
    <row r="96" spans="1:54" s="5" customFormat="1" x14ac:dyDescent="0.25">
      <c r="A96" s="32"/>
      <c r="B96" s="32"/>
      <c r="C96" s="32"/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3"/>
      <c r="AY96" s="33"/>
      <c r="AZ96" s="33"/>
      <c r="BA96" s="33"/>
      <c r="BB96" s="33"/>
    </row>
    <row r="97" spans="1:54" s="5" customFormat="1" x14ac:dyDescent="0.25">
      <c r="A97" s="34"/>
      <c r="B97" s="34"/>
      <c r="C97" s="34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AU97" s="35"/>
      <c r="AV97" s="35"/>
      <c r="AW97" s="35"/>
      <c r="AX97" s="35"/>
      <c r="AY97" s="35"/>
      <c r="AZ97" s="35"/>
      <c r="BA97" s="35"/>
      <c r="BB97" s="35"/>
    </row>
    <row r="98" spans="1:54" x14ac:dyDescent="0.25">
      <c r="A98" s="34"/>
      <c r="B98" s="32"/>
      <c r="C98" s="32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6"/>
      <c r="T98" s="36"/>
      <c r="U98" s="36"/>
      <c r="V98" s="36"/>
      <c r="W98" s="33"/>
      <c r="X98" s="33"/>
      <c r="Y98" s="33"/>
      <c r="Z98" s="36"/>
      <c r="AA98" s="33"/>
      <c r="AB98" s="36"/>
      <c r="AC98" s="36"/>
      <c r="AD98" s="36"/>
      <c r="AE98" s="33"/>
      <c r="AF98" s="33"/>
      <c r="AG98" s="33"/>
      <c r="AH98" s="36"/>
      <c r="AI98" s="33"/>
      <c r="AJ98" s="36"/>
      <c r="AK98" s="36"/>
      <c r="AL98" s="36"/>
      <c r="AM98" s="36"/>
      <c r="AN98" s="36"/>
      <c r="AO98" s="36"/>
      <c r="AP98" s="36"/>
      <c r="AQ98" s="36"/>
      <c r="AR98" s="36"/>
      <c r="AS98" s="36"/>
      <c r="AT98" s="36"/>
      <c r="AU98" s="36"/>
      <c r="AV98" s="36"/>
      <c r="AW98" s="36"/>
      <c r="AX98" s="36"/>
      <c r="AY98" s="36"/>
      <c r="AZ98" s="36"/>
      <c r="BA98" s="36"/>
      <c r="BB98" s="36"/>
    </row>
    <row r="99" spans="1:54" s="5" customFormat="1" x14ac:dyDescent="0.25">
      <c r="A99" s="34"/>
      <c r="B99" s="34"/>
      <c r="C99" s="34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</row>
    <row r="100" spans="1:54" x14ac:dyDescent="0.25">
      <c r="A100" s="34"/>
      <c r="B100" s="32"/>
      <c r="C100" s="32"/>
      <c r="D100" s="33"/>
      <c r="E100" s="33"/>
      <c r="F100" s="33"/>
      <c r="G100" s="33"/>
      <c r="H100" s="33"/>
      <c r="I100" s="33"/>
      <c r="J100" s="36"/>
      <c r="K100" s="33"/>
      <c r="L100" s="36"/>
      <c r="M100" s="36"/>
      <c r="N100" s="36"/>
      <c r="O100" s="36"/>
      <c r="P100" s="36"/>
      <c r="Q100" s="36"/>
      <c r="R100" s="33"/>
      <c r="S100" s="36"/>
      <c r="T100" s="36"/>
      <c r="U100" s="36"/>
      <c r="V100" s="36"/>
      <c r="W100" s="36"/>
      <c r="X100" s="36"/>
      <c r="Y100" s="33"/>
      <c r="Z100" s="36"/>
      <c r="AA100" s="36"/>
      <c r="AB100" s="36"/>
      <c r="AC100" s="36"/>
      <c r="AD100" s="36"/>
      <c r="AE100" s="36"/>
      <c r="AF100" s="33"/>
      <c r="AG100" s="33"/>
      <c r="AH100" s="36"/>
      <c r="AI100" s="36"/>
      <c r="AJ100" s="36"/>
      <c r="AK100" s="36"/>
      <c r="AL100" s="36"/>
      <c r="AM100" s="36"/>
      <c r="AN100" s="36"/>
      <c r="AO100" s="36"/>
      <c r="AP100" s="36"/>
      <c r="AQ100" s="36"/>
      <c r="AR100" s="36"/>
      <c r="AS100" s="36"/>
      <c r="AT100" s="36"/>
      <c r="AU100" s="36"/>
      <c r="AV100" s="36"/>
      <c r="AW100" s="36"/>
      <c r="AX100" s="36"/>
      <c r="AY100" s="36"/>
      <c r="AZ100" s="36"/>
      <c r="BA100" s="36"/>
      <c r="BB100" s="36"/>
    </row>
    <row r="101" spans="1:54" s="5" customFormat="1" x14ac:dyDescent="0.25">
      <c r="A101" s="32"/>
      <c r="B101" s="32"/>
      <c r="C101" s="32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  <c r="AA101" s="36"/>
      <c r="AB101" s="36"/>
      <c r="AC101" s="36"/>
      <c r="AD101" s="36"/>
      <c r="AE101" s="36"/>
      <c r="AF101" s="36"/>
      <c r="AG101" s="36"/>
      <c r="AH101" s="36"/>
      <c r="AI101" s="36"/>
      <c r="AJ101" s="36"/>
      <c r="AK101" s="36"/>
      <c r="AL101" s="36"/>
      <c r="AM101" s="36"/>
      <c r="AN101" s="36"/>
      <c r="AO101" s="36"/>
      <c r="AP101" s="36"/>
      <c r="AQ101" s="36"/>
      <c r="AR101" s="36"/>
      <c r="AS101" s="36"/>
      <c r="AT101" s="36"/>
      <c r="AU101" s="36"/>
      <c r="AV101" s="36"/>
      <c r="AW101" s="36"/>
      <c r="AX101" s="36"/>
      <c r="AY101" s="36"/>
      <c r="AZ101" s="36"/>
      <c r="BA101" s="36"/>
      <c r="BB101" s="36"/>
    </row>
    <row r="102" spans="1:54" x14ac:dyDescent="0.25">
      <c r="A102" s="34"/>
      <c r="B102" s="34"/>
      <c r="C102" s="34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</row>
    <row r="103" spans="1:54" s="5" customFormat="1" x14ac:dyDescent="0.25">
      <c r="A103" s="32"/>
      <c r="B103" s="32"/>
      <c r="C103" s="32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  <c r="AJ103" s="36"/>
      <c r="AK103" s="36"/>
      <c r="AL103" s="36"/>
      <c r="AM103" s="36"/>
      <c r="AN103" s="36"/>
      <c r="AO103" s="36"/>
      <c r="AP103" s="36"/>
      <c r="AQ103" s="36"/>
      <c r="AR103" s="36"/>
      <c r="AS103" s="36"/>
      <c r="AT103" s="36"/>
      <c r="AU103" s="36"/>
      <c r="AV103" s="36"/>
      <c r="AW103" s="36"/>
      <c r="AX103" s="36"/>
      <c r="AY103" s="36"/>
      <c r="AZ103" s="36"/>
      <c r="BA103" s="36"/>
      <c r="BB103" s="36"/>
    </row>
    <row r="104" spans="1:54" x14ac:dyDescent="0.25">
      <c r="A104" s="34"/>
      <c r="B104" s="34"/>
      <c r="C104" s="34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  <c r="AD104" s="37"/>
      <c r="AE104" s="37"/>
      <c r="AF104" s="37"/>
      <c r="AG104" s="37"/>
      <c r="AH104" s="37"/>
      <c r="AI104" s="37"/>
      <c r="AJ104" s="37"/>
      <c r="AK104" s="37"/>
      <c r="AL104" s="37"/>
      <c r="AM104" s="37"/>
      <c r="AN104" s="37"/>
      <c r="AO104" s="37"/>
      <c r="AP104" s="37"/>
      <c r="AQ104" s="37"/>
      <c r="AR104" s="37"/>
      <c r="AS104" s="37"/>
      <c r="AT104" s="37"/>
      <c r="AU104" s="37"/>
      <c r="AV104" s="37"/>
      <c r="AW104" s="37"/>
      <c r="AX104" s="37"/>
      <c r="AY104" s="37"/>
      <c r="AZ104" s="37"/>
      <c r="BA104" s="37"/>
      <c r="BB104" s="37"/>
    </row>
    <row r="105" spans="1:54" s="5" customFormat="1" x14ac:dyDescent="0.25">
      <c r="A105" s="32"/>
      <c r="B105" s="32"/>
      <c r="C105" s="32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  <c r="AA105" s="36"/>
      <c r="AB105" s="36"/>
      <c r="AC105" s="36"/>
      <c r="AD105" s="36"/>
      <c r="AE105" s="36"/>
      <c r="AF105" s="36"/>
      <c r="AG105" s="36"/>
      <c r="AH105" s="36"/>
      <c r="AI105" s="36"/>
      <c r="AJ105" s="36"/>
      <c r="AK105" s="36"/>
      <c r="AL105" s="36"/>
      <c r="AM105" s="36"/>
      <c r="AN105" s="36"/>
      <c r="AO105" s="36"/>
      <c r="AP105" s="36"/>
      <c r="AQ105" s="36"/>
      <c r="AR105" s="36"/>
      <c r="AS105" s="36"/>
      <c r="AT105" s="36"/>
      <c r="AU105" s="36"/>
      <c r="AV105" s="36"/>
      <c r="AW105" s="36"/>
      <c r="AX105" s="36"/>
      <c r="AY105" s="36"/>
      <c r="AZ105" s="36"/>
      <c r="BA105" s="36"/>
      <c r="BB105" s="36"/>
    </row>
    <row r="106" spans="1:54" x14ac:dyDescent="0.25">
      <c r="A106" s="34"/>
      <c r="B106" s="34"/>
      <c r="C106" s="34"/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7"/>
      <c r="R106" s="35"/>
      <c r="S106" s="35"/>
      <c r="T106" s="35"/>
      <c r="U106" s="35"/>
      <c r="V106" s="37"/>
      <c r="W106" s="37"/>
      <c r="X106" s="35"/>
      <c r="Y106" s="37"/>
      <c r="Z106" s="37"/>
      <c r="AA106" s="35"/>
      <c r="AB106" s="35"/>
      <c r="AC106" s="35"/>
      <c r="AD106" s="37"/>
      <c r="AE106" s="35"/>
      <c r="AF106" s="35"/>
      <c r="AG106" s="35"/>
      <c r="AH106" s="35"/>
      <c r="AI106" s="35"/>
      <c r="AJ106" s="35"/>
      <c r="AK106" s="35"/>
      <c r="AL106" s="37"/>
      <c r="AM106" s="37"/>
      <c r="AN106" s="35"/>
      <c r="AO106" s="35"/>
      <c r="AP106" s="35"/>
      <c r="AQ106" s="35"/>
      <c r="AR106" s="35"/>
      <c r="AS106" s="35"/>
      <c r="AT106" s="35"/>
      <c r="AU106" s="35"/>
      <c r="AV106" s="35"/>
      <c r="AW106" s="35"/>
      <c r="AX106" s="35"/>
      <c r="AY106" s="35"/>
      <c r="AZ106" s="35"/>
      <c r="BA106" s="37"/>
      <c r="BB106" s="37"/>
    </row>
    <row r="107" spans="1:54" s="5" customFormat="1" x14ac:dyDescent="0.25">
      <c r="A107" s="32"/>
      <c r="B107" s="32"/>
      <c r="C107" s="32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6"/>
      <c r="AC107" s="36"/>
      <c r="AD107" s="36"/>
      <c r="AE107" s="36"/>
      <c r="AF107" s="36"/>
      <c r="AG107" s="36"/>
      <c r="AH107" s="36"/>
      <c r="AI107" s="36"/>
      <c r="AJ107" s="36"/>
      <c r="AK107" s="36"/>
      <c r="AL107" s="36"/>
      <c r="AM107" s="33"/>
      <c r="AN107" s="36"/>
      <c r="AO107" s="36"/>
      <c r="AP107" s="36"/>
      <c r="AQ107" s="36"/>
      <c r="AR107" s="36"/>
      <c r="AS107" s="36"/>
      <c r="AT107" s="36"/>
      <c r="AU107" s="36"/>
      <c r="AV107" s="36"/>
      <c r="AW107" s="36"/>
      <c r="AX107" s="36"/>
      <c r="AY107" s="33"/>
      <c r="AZ107" s="33"/>
      <c r="BA107" s="33"/>
      <c r="BB107" s="33"/>
    </row>
    <row r="108" spans="1:54" x14ac:dyDescent="0.25">
      <c r="A108" s="34"/>
      <c r="B108" s="34"/>
      <c r="C108" s="34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  <c r="AF108" s="37"/>
      <c r="AG108" s="37"/>
      <c r="AH108" s="37"/>
      <c r="AI108" s="37"/>
      <c r="AJ108" s="37"/>
      <c r="AK108" s="37"/>
      <c r="AL108" s="37"/>
      <c r="AM108" s="37"/>
      <c r="AN108" s="37"/>
      <c r="AO108" s="37"/>
      <c r="AP108" s="37"/>
      <c r="AQ108" s="37"/>
      <c r="AR108" s="37"/>
      <c r="AS108" s="37"/>
      <c r="AT108" s="37"/>
      <c r="AU108" s="37"/>
      <c r="AV108" s="37"/>
      <c r="AW108" s="37"/>
      <c r="AX108" s="37"/>
      <c r="AY108" s="37"/>
      <c r="AZ108" s="37"/>
      <c r="BA108" s="37"/>
      <c r="BB108" s="37"/>
    </row>
    <row r="109" spans="1:54" s="5" customFormat="1" x14ac:dyDescent="0.25">
      <c r="A109" s="32"/>
      <c r="B109" s="32"/>
      <c r="C109" s="32"/>
      <c r="D109" s="36"/>
      <c r="E109" s="36"/>
      <c r="F109" s="36"/>
      <c r="G109" s="36"/>
      <c r="H109" s="36"/>
      <c r="I109" s="36"/>
      <c r="J109" s="36"/>
      <c r="K109" s="36"/>
      <c r="L109" s="36"/>
      <c r="M109" s="36"/>
      <c r="N109" s="36"/>
      <c r="O109" s="36"/>
      <c r="P109" s="36"/>
      <c r="Q109" s="36"/>
      <c r="R109" s="36"/>
      <c r="S109" s="36"/>
      <c r="T109" s="36"/>
      <c r="U109" s="36"/>
      <c r="V109" s="36"/>
      <c r="W109" s="36"/>
      <c r="X109" s="36"/>
      <c r="Y109" s="36"/>
      <c r="Z109" s="36"/>
      <c r="AA109" s="36"/>
      <c r="AB109" s="36"/>
      <c r="AC109" s="36"/>
      <c r="AD109" s="36"/>
      <c r="AE109" s="36"/>
      <c r="AF109" s="36"/>
      <c r="AG109" s="36"/>
      <c r="AH109" s="36"/>
      <c r="AI109" s="36"/>
      <c r="AJ109" s="36"/>
      <c r="AK109" s="36"/>
      <c r="AL109" s="36"/>
      <c r="AM109" s="36"/>
      <c r="AN109" s="36"/>
      <c r="AO109" s="36"/>
      <c r="AP109" s="36"/>
      <c r="AQ109" s="36"/>
      <c r="AR109" s="36"/>
      <c r="AS109" s="36"/>
      <c r="AT109" s="36"/>
      <c r="AU109" s="36"/>
      <c r="AV109" s="36"/>
      <c r="AW109" s="36"/>
      <c r="AX109" s="36"/>
      <c r="AY109" s="36"/>
      <c r="AZ109" s="36"/>
      <c r="BA109" s="36"/>
      <c r="BB109" s="36"/>
    </row>
    <row r="110" spans="1:54" x14ac:dyDescent="0.25">
      <c r="A110" s="34"/>
      <c r="B110" s="34"/>
      <c r="C110" s="34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7"/>
      <c r="Q110" s="37"/>
      <c r="R110" s="35"/>
      <c r="S110" s="35"/>
      <c r="T110" s="35"/>
      <c r="U110" s="37"/>
      <c r="V110" s="37"/>
      <c r="W110" s="37"/>
      <c r="X110" s="37"/>
      <c r="Y110" s="37"/>
      <c r="Z110" s="37"/>
      <c r="AA110" s="35"/>
      <c r="AB110" s="35"/>
      <c r="AC110" s="35"/>
      <c r="AD110" s="35"/>
      <c r="AE110" s="35"/>
      <c r="AF110" s="37"/>
      <c r="AG110" s="37"/>
      <c r="AH110" s="37"/>
      <c r="AI110" s="37"/>
      <c r="AJ110" s="35"/>
      <c r="AK110" s="35"/>
      <c r="AL110" s="37"/>
      <c r="AM110" s="37"/>
      <c r="AN110" s="37"/>
      <c r="AO110" s="37"/>
      <c r="AP110" s="35"/>
      <c r="AQ110" s="35"/>
      <c r="AR110" s="35"/>
      <c r="AS110" s="35"/>
      <c r="AT110" s="37"/>
      <c r="AU110" s="37"/>
      <c r="AV110" s="37"/>
      <c r="AW110" s="37"/>
      <c r="AX110" s="37"/>
      <c r="AY110" s="37"/>
      <c r="AZ110" s="37"/>
      <c r="BA110" s="37"/>
      <c r="BB110" s="37"/>
    </row>
    <row r="111" spans="1:54" s="5" customFormat="1" x14ac:dyDescent="0.25">
      <c r="A111" s="32"/>
      <c r="B111" s="32"/>
      <c r="C111" s="32"/>
      <c r="D111" s="33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6"/>
      <c r="AD111" s="36"/>
      <c r="AE111" s="36"/>
      <c r="AF111" s="36"/>
      <c r="AG111" s="33"/>
      <c r="AH111" s="33"/>
      <c r="AI111" s="33"/>
      <c r="AJ111" s="33"/>
      <c r="AK111" s="33"/>
      <c r="AL111" s="33"/>
      <c r="AM111" s="33"/>
      <c r="AN111" s="33"/>
      <c r="AO111" s="33"/>
      <c r="AP111" s="33"/>
      <c r="AQ111" s="36"/>
      <c r="AR111" s="33"/>
      <c r="AS111" s="33"/>
      <c r="AT111" s="33"/>
      <c r="AU111" s="33"/>
      <c r="AV111" s="33"/>
      <c r="AW111" s="33"/>
      <c r="AX111" s="33"/>
      <c r="AY111" s="33"/>
      <c r="AZ111" s="33"/>
      <c r="BA111" s="33"/>
      <c r="BB111" s="33"/>
    </row>
    <row r="112" spans="1:54" x14ac:dyDescent="0.25">
      <c r="A112" s="34"/>
      <c r="B112" s="34"/>
      <c r="C112" s="34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  <c r="AD112" s="37"/>
      <c r="AE112" s="37"/>
      <c r="AF112" s="37"/>
      <c r="AG112" s="37"/>
      <c r="AH112" s="37"/>
      <c r="AI112" s="37"/>
      <c r="AJ112" s="37"/>
      <c r="AK112" s="37"/>
      <c r="AL112" s="37"/>
      <c r="AM112" s="37"/>
      <c r="AN112" s="37"/>
      <c r="AO112" s="37"/>
      <c r="AP112" s="37"/>
      <c r="AQ112" s="37"/>
      <c r="AR112" s="37"/>
      <c r="AS112" s="37"/>
      <c r="AT112" s="37"/>
      <c r="AU112" s="37"/>
      <c r="AV112" s="37"/>
      <c r="AW112" s="37"/>
      <c r="AX112" s="37"/>
      <c r="AY112" s="37"/>
      <c r="AZ112" s="37"/>
      <c r="BA112" s="37"/>
      <c r="BB112" s="37"/>
    </row>
    <row r="113" spans="1:54" s="5" customFormat="1" x14ac:dyDescent="0.25">
      <c r="A113" s="32"/>
      <c r="B113" s="32"/>
      <c r="C113" s="32"/>
      <c r="D113" s="33"/>
      <c r="E113" s="33"/>
      <c r="F113" s="33"/>
      <c r="G113" s="33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  <c r="AE113" s="36"/>
      <c r="AF113" s="36"/>
      <c r="AG113" s="36"/>
      <c r="AH113" s="36"/>
      <c r="AI113" s="36"/>
      <c r="AJ113" s="36"/>
      <c r="AK113" s="36"/>
      <c r="AL113" s="36"/>
      <c r="AM113" s="36"/>
      <c r="AN113" s="36"/>
      <c r="AO113" s="36"/>
      <c r="AP113" s="36"/>
      <c r="AQ113" s="36"/>
      <c r="AR113" s="36"/>
      <c r="AS113" s="36"/>
      <c r="AT113" s="36"/>
      <c r="AU113" s="36"/>
      <c r="AV113" s="36"/>
      <c r="AW113" s="36"/>
      <c r="AX113" s="36"/>
      <c r="AY113" s="36"/>
      <c r="AZ113" s="36"/>
      <c r="BA113" s="36"/>
      <c r="BB113" s="36"/>
    </row>
    <row r="114" spans="1:54" x14ac:dyDescent="0.25">
      <c r="A114" s="34"/>
      <c r="B114" s="34"/>
      <c r="C114" s="34"/>
      <c r="D114" s="35"/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35"/>
      <c r="AE114" s="35"/>
      <c r="AF114" s="35"/>
      <c r="AG114" s="35"/>
      <c r="AH114" s="35"/>
      <c r="AI114" s="35"/>
      <c r="AJ114" s="35"/>
      <c r="AK114" s="35"/>
      <c r="AL114" s="35"/>
      <c r="AM114" s="35"/>
      <c r="AN114" s="37"/>
      <c r="AO114" s="37"/>
      <c r="AP114" s="37"/>
      <c r="AQ114" s="37"/>
      <c r="AR114" s="37"/>
      <c r="AS114" s="37"/>
      <c r="AT114" s="37"/>
      <c r="AU114" s="37"/>
      <c r="AV114" s="37"/>
      <c r="AW114" s="37"/>
      <c r="AX114" s="37"/>
      <c r="AY114" s="37"/>
      <c r="AZ114" s="37"/>
      <c r="BA114" s="37"/>
      <c r="BB114" s="37"/>
    </row>
    <row r="115" spans="1:54" s="5" customFormat="1" x14ac:dyDescent="0.25">
      <c r="A115" s="32"/>
      <c r="B115" s="32"/>
      <c r="C115" s="32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  <c r="AA115" s="33"/>
      <c r="AB115" s="36"/>
      <c r="AC115" s="36"/>
      <c r="AD115" s="36"/>
      <c r="AE115" s="36"/>
      <c r="AF115" s="36"/>
      <c r="AG115" s="36"/>
      <c r="AH115" s="36"/>
      <c r="AI115" s="36"/>
      <c r="AJ115" s="33"/>
      <c r="AK115" s="36"/>
      <c r="AL115" s="33"/>
      <c r="AM115" s="33"/>
      <c r="AN115" s="33"/>
      <c r="AO115" s="33"/>
      <c r="AP115" s="33"/>
      <c r="AQ115" s="33"/>
      <c r="AR115" s="33"/>
      <c r="AS115" s="33"/>
      <c r="AT115" s="33"/>
      <c r="AU115" s="33"/>
      <c r="AV115" s="33"/>
      <c r="AW115" s="33"/>
      <c r="AX115" s="33"/>
      <c r="AY115" s="33"/>
      <c r="AZ115" s="33"/>
      <c r="BA115" s="33"/>
      <c r="BB115" s="33"/>
    </row>
    <row r="116" spans="1:54" x14ac:dyDescent="0.25">
      <c r="A116" s="34"/>
      <c r="B116" s="34"/>
      <c r="C116" s="34"/>
      <c r="D116" s="35"/>
      <c r="E116" s="35"/>
      <c r="F116" s="35"/>
      <c r="G116" s="35"/>
      <c r="H116" s="37"/>
      <c r="I116" s="37"/>
      <c r="J116" s="37"/>
      <c r="K116" s="37"/>
      <c r="L116" s="37"/>
      <c r="M116" s="37"/>
      <c r="N116" s="37"/>
      <c r="O116" s="37"/>
      <c r="P116" s="37"/>
      <c r="Q116" s="37"/>
      <c r="R116" s="37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  <c r="AD116" s="37"/>
      <c r="AE116" s="37"/>
      <c r="AF116" s="37"/>
      <c r="AG116" s="37"/>
      <c r="AH116" s="37"/>
      <c r="AI116" s="37"/>
      <c r="AJ116" s="37"/>
      <c r="AK116" s="37"/>
      <c r="AL116" s="37"/>
      <c r="AM116" s="37"/>
      <c r="AN116" s="37"/>
      <c r="AO116" s="37"/>
      <c r="AP116" s="37"/>
      <c r="AQ116" s="37"/>
      <c r="AR116" s="37"/>
      <c r="AS116" s="37"/>
      <c r="AT116" s="37"/>
      <c r="AU116" s="37"/>
      <c r="AV116" s="37"/>
      <c r="AW116" s="37"/>
      <c r="AX116" s="37"/>
      <c r="AY116" s="37"/>
      <c r="AZ116" s="37"/>
      <c r="BA116" s="37"/>
      <c r="BB116" s="37"/>
    </row>
    <row r="117" spans="1:54" s="5" customFormat="1" x14ac:dyDescent="0.25">
      <c r="A117" s="32"/>
      <c r="B117" s="32"/>
      <c r="C117" s="32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6"/>
      <c r="W117" s="36"/>
      <c r="X117" s="36"/>
      <c r="Y117" s="36"/>
      <c r="Z117" s="36"/>
      <c r="AA117" s="36"/>
      <c r="AB117" s="36"/>
      <c r="AC117" s="36"/>
      <c r="AD117" s="36"/>
      <c r="AE117" s="36"/>
      <c r="AF117" s="36"/>
      <c r="AG117" s="36"/>
      <c r="AH117" s="36"/>
      <c r="AI117" s="36"/>
      <c r="AJ117" s="36"/>
      <c r="AK117" s="36"/>
      <c r="AL117" s="36"/>
      <c r="AM117" s="36"/>
      <c r="AN117" s="36"/>
      <c r="AO117" s="36"/>
      <c r="AP117" s="36"/>
      <c r="AQ117" s="36"/>
      <c r="AR117" s="36"/>
      <c r="AS117" s="36"/>
      <c r="AT117" s="36"/>
      <c r="AU117" s="36"/>
      <c r="AV117" s="36"/>
      <c r="AW117" s="36"/>
      <c r="AX117" s="36"/>
      <c r="AY117" s="36"/>
      <c r="AZ117" s="36"/>
      <c r="BA117" s="36"/>
      <c r="BB117" s="36"/>
    </row>
    <row r="118" spans="1:54" x14ac:dyDescent="0.25">
      <c r="A118" s="34"/>
      <c r="B118" s="34"/>
      <c r="C118" s="34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35"/>
      <c r="AE118" s="35"/>
      <c r="AF118" s="37"/>
      <c r="AG118" s="35"/>
      <c r="AH118" s="35"/>
      <c r="AI118" s="35"/>
      <c r="AJ118" s="35"/>
      <c r="AK118" s="35"/>
      <c r="AL118" s="37"/>
      <c r="AM118" s="35"/>
      <c r="AN118" s="35"/>
      <c r="AO118" s="35"/>
      <c r="AP118" s="35"/>
      <c r="AQ118" s="35"/>
      <c r="AR118" s="35"/>
      <c r="AS118" s="35"/>
      <c r="AT118" s="35"/>
      <c r="AU118" s="37"/>
      <c r="AV118" s="35"/>
      <c r="AW118" s="35"/>
      <c r="AX118" s="35"/>
      <c r="AY118" s="35"/>
      <c r="AZ118" s="35"/>
      <c r="BA118" s="35"/>
      <c r="BB118" s="35"/>
    </row>
    <row r="119" spans="1:54" s="5" customFormat="1" x14ac:dyDescent="0.25">
      <c r="A119" s="32"/>
      <c r="B119" s="32"/>
      <c r="C119" s="32"/>
      <c r="D119" s="33"/>
      <c r="E119" s="33"/>
      <c r="F119" s="33"/>
      <c r="G119" s="33"/>
      <c r="H119" s="33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3"/>
      <c r="T119" s="36"/>
      <c r="U119" s="36"/>
      <c r="V119" s="36"/>
      <c r="W119" s="36"/>
      <c r="X119" s="33"/>
      <c r="Y119" s="33"/>
      <c r="Z119" s="33"/>
      <c r="AA119" s="36"/>
      <c r="AB119" s="36"/>
      <c r="AC119" s="33"/>
      <c r="AD119" s="36"/>
      <c r="AE119" s="33"/>
      <c r="AF119" s="33"/>
      <c r="AG119" s="33"/>
      <c r="AH119" s="33"/>
      <c r="AI119" s="33"/>
      <c r="AJ119" s="36"/>
      <c r="AK119" s="36"/>
      <c r="AL119" s="33"/>
      <c r="AM119" s="33"/>
      <c r="AN119" s="33"/>
      <c r="AO119" s="36"/>
      <c r="AP119" s="36"/>
      <c r="AQ119" s="36"/>
      <c r="AR119" s="36"/>
      <c r="AS119" s="36"/>
      <c r="AT119" s="36"/>
      <c r="AU119" s="33"/>
      <c r="AV119" s="33"/>
      <c r="AW119" s="36"/>
      <c r="AX119" s="36"/>
      <c r="AY119" s="33"/>
      <c r="AZ119" s="33"/>
      <c r="BA119" s="33"/>
      <c r="BB119" s="33"/>
    </row>
    <row r="120" spans="1:54" x14ac:dyDescent="0.25">
      <c r="A120" s="34"/>
      <c r="B120" s="34"/>
      <c r="C120" s="34"/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  <c r="Q120" s="37"/>
      <c r="R120" s="37"/>
      <c r="S120" s="37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  <c r="AD120" s="37"/>
      <c r="AE120" s="37"/>
      <c r="AF120" s="37"/>
      <c r="AG120" s="37"/>
      <c r="AH120" s="37"/>
      <c r="AI120" s="37"/>
      <c r="AJ120" s="37"/>
      <c r="AK120" s="37"/>
      <c r="AL120" s="37"/>
      <c r="AM120" s="37"/>
      <c r="AN120" s="37"/>
      <c r="AO120" s="37"/>
      <c r="AP120" s="37"/>
      <c r="AQ120" s="37"/>
      <c r="AR120" s="37"/>
      <c r="AS120" s="37"/>
      <c r="AT120" s="37"/>
      <c r="AU120" s="37"/>
      <c r="AV120" s="37"/>
      <c r="AW120" s="37"/>
      <c r="AX120" s="37"/>
      <c r="AY120" s="37"/>
      <c r="AZ120" s="37"/>
      <c r="BA120" s="37"/>
      <c r="BB120" s="37"/>
    </row>
    <row r="121" spans="1:54" s="5" customFormat="1" x14ac:dyDescent="0.25">
      <c r="A121" s="32"/>
      <c r="B121" s="32"/>
      <c r="C121" s="32"/>
      <c r="D121" s="36"/>
      <c r="E121" s="36"/>
      <c r="F121" s="36"/>
      <c r="G121" s="36"/>
      <c r="H121" s="36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36"/>
      <c r="W121" s="36"/>
      <c r="X121" s="36"/>
      <c r="Y121" s="36"/>
      <c r="Z121" s="36"/>
      <c r="AA121" s="36"/>
      <c r="AB121" s="36"/>
      <c r="AC121" s="36"/>
      <c r="AD121" s="36"/>
      <c r="AE121" s="36"/>
      <c r="AF121" s="36"/>
      <c r="AG121" s="36"/>
      <c r="AH121" s="36"/>
      <c r="AI121" s="36"/>
      <c r="AJ121" s="36"/>
      <c r="AK121" s="36"/>
      <c r="AL121" s="36"/>
      <c r="AM121" s="36"/>
      <c r="AN121" s="36"/>
      <c r="AO121" s="36"/>
      <c r="AP121" s="36"/>
      <c r="AQ121" s="36"/>
      <c r="AR121" s="36"/>
      <c r="AS121" s="36"/>
      <c r="AT121" s="36"/>
      <c r="AU121" s="36"/>
      <c r="AV121" s="36"/>
      <c r="AW121" s="36"/>
      <c r="AX121" s="36"/>
      <c r="AY121" s="36"/>
      <c r="AZ121" s="36"/>
      <c r="BA121" s="36"/>
      <c r="BB121" s="36"/>
    </row>
    <row r="122" spans="1:54" x14ac:dyDescent="0.25">
      <c r="A122" s="34"/>
      <c r="B122" s="34"/>
      <c r="C122" s="34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  <c r="AS122" s="35"/>
      <c r="AT122" s="35"/>
      <c r="AU122" s="35"/>
      <c r="AV122" s="35"/>
      <c r="AW122" s="35"/>
      <c r="AX122" s="35"/>
      <c r="AY122" s="35"/>
      <c r="AZ122" s="35"/>
      <c r="BA122" s="35"/>
      <c r="BB122" s="35"/>
    </row>
    <row r="123" spans="1:54" s="5" customFormat="1" x14ac:dyDescent="0.25">
      <c r="A123" s="32"/>
      <c r="B123" s="32"/>
      <c r="C123" s="32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  <c r="AF123" s="36"/>
      <c r="AG123" s="33"/>
      <c r="AH123" s="33"/>
      <c r="AI123" s="33"/>
      <c r="AJ123" s="33"/>
      <c r="AK123" s="33"/>
      <c r="AL123" s="33"/>
      <c r="AM123" s="33"/>
      <c r="AN123" s="33"/>
      <c r="AO123" s="33"/>
      <c r="AP123" s="33"/>
      <c r="AQ123" s="33"/>
      <c r="AR123" s="33"/>
      <c r="AS123" s="33"/>
      <c r="AT123" s="33"/>
      <c r="AU123" s="33"/>
      <c r="AV123" s="33"/>
      <c r="AW123" s="33"/>
      <c r="AX123" s="33"/>
      <c r="AY123" s="33"/>
      <c r="AZ123" s="33"/>
      <c r="BA123" s="33"/>
      <c r="BB123" s="33"/>
    </row>
    <row r="124" spans="1:54" x14ac:dyDescent="0.25">
      <c r="A124" s="34"/>
      <c r="B124" s="34"/>
      <c r="C124" s="34"/>
      <c r="D124" s="37"/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37"/>
      <c r="S124" s="37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  <c r="AD124" s="37"/>
      <c r="AE124" s="37"/>
      <c r="AF124" s="37"/>
      <c r="AG124" s="37"/>
      <c r="AH124" s="37"/>
      <c r="AI124" s="37"/>
      <c r="AJ124" s="37"/>
      <c r="AK124" s="37"/>
      <c r="AL124" s="37"/>
      <c r="AM124" s="37"/>
      <c r="AN124" s="37"/>
      <c r="AO124" s="37"/>
      <c r="AP124" s="37"/>
      <c r="AQ124" s="37"/>
      <c r="AR124" s="37"/>
      <c r="AS124" s="37"/>
      <c r="AT124" s="37"/>
      <c r="AU124" s="37"/>
      <c r="AV124" s="37"/>
      <c r="AW124" s="37"/>
      <c r="AX124" s="37"/>
      <c r="AY124" s="37"/>
      <c r="AZ124" s="37"/>
      <c r="BA124" s="37"/>
      <c r="BB124" s="37"/>
    </row>
    <row r="125" spans="1:54" s="5" customFormat="1" x14ac:dyDescent="0.25">
      <c r="A125" s="34"/>
      <c r="B125" s="34"/>
      <c r="C125" s="34"/>
      <c r="D125" s="35"/>
      <c r="E125" s="35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7"/>
      <c r="AF125" s="37"/>
      <c r="AG125" s="37"/>
      <c r="AH125" s="37"/>
      <c r="AI125" s="37"/>
      <c r="AJ125" s="37"/>
      <c r="AK125" s="37"/>
      <c r="AL125" s="37"/>
      <c r="AM125" s="37"/>
      <c r="AN125" s="37"/>
      <c r="AO125" s="37"/>
      <c r="AP125" s="37"/>
      <c r="AQ125" s="37"/>
      <c r="AR125" s="37"/>
      <c r="AS125" s="37"/>
      <c r="AT125" s="37"/>
      <c r="AU125" s="37"/>
      <c r="AV125" s="37"/>
      <c r="AW125" s="37"/>
      <c r="AX125" s="37"/>
      <c r="AY125" s="37"/>
      <c r="AZ125" s="37"/>
      <c r="BA125" s="37"/>
      <c r="BB125" s="37"/>
    </row>
    <row r="126" spans="1:54" x14ac:dyDescent="0.25">
      <c r="A126" s="34"/>
      <c r="B126" s="32"/>
      <c r="C126" s="32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36"/>
      <c r="AJ126" s="33"/>
      <c r="AK126" s="36"/>
      <c r="AL126" s="36"/>
      <c r="AM126" s="36"/>
      <c r="AN126" s="36"/>
      <c r="AO126" s="33"/>
      <c r="AP126" s="33"/>
      <c r="AQ126" s="33"/>
      <c r="AR126" s="36"/>
      <c r="AS126" s="36"/>
      <c r="AT126" s="33"/>
      <c r="AU126" s="36"/>
      <c r="AV126" s="36"/>
      <c r="AW126" s="36"/>
      <c r="AX126" s="36"/>
      <c r="AY126" s="33"/>
      <c r="AZ126" s="36"/>
      <c r="BA126" s="36"/>
      <c r="BB126" s="36"/>
    </row>
    <row r="127" spans="1:54" s="5" customFormat="1" x14ac:dyDescent="0.25">
      <c r="A127" s="34"/>
      <c r="B127" s="34"/>
      <c r="C127" s="34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35"/>
      <c r="AE127" s="35"/>
      <c r="AF127" s="35"/>
      <c r="AG127" s="35"/>
      <c r="AH127" s="35"/>
      <c r="AI127" s="37"/>
      <c r="AJ127" s="37"/>
      <c r="AK127" s="37"/>
      <c r="AL127" s="35"/>
      <c r="AM127" s="35"/>
      <c r="AN127" s="35"/>
      <c r="AO127" s="35"/>
      <c r="AP127" s="35"/>
      <c r="AQ127" s="35"/>
      <c r="AR127" s="35"/>
      <c r="AS127" s="35"/>
      <c r="AT127" s="35"/>
      <c r="AU127" s="35"/>
      <c r="AV127" s="35"/>
      <c r="AW127" s="35"/>
      <c r="AX127" s="35"/>
      <c r="AY127" s="35"/>
      <c r="AZ127" s="35"/>
      <c r="BA127" s="35"/>
      <c r="BB127" s="35"/>
    </row>
    <row r="128" spans="1:54" x14ac:dyDescent="0.25">
      <c r="A128" s="34"/>
      <c r="B128" s="32"/>
      <c r="C128" s="32"/>
      <c r="D128" s="36"/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  <c r="AJ128" s="36"/>
      <c r="AK128" s="36"/>
      <c r="AL128" s="36"/>
      <c r="AM128" s="36"/>
      <c r="AN128" s="36"/>
      <c r="AO128" s="36"/>
      <c r="AP128" s="36"/>
      <c r="AQ128" s="36"/>
      <c r="AR128" s="36"/>
      <c r="AS128" s="36"/>
      <c r="AT128" s="36"/>
      <c r="AU128" s="36"/>
      <c r="AV128" s="36"/>
      <c r="AW128" s="36"/>
      <c r="AX128" s="36"/>
      <c r="AY128" s="36"/>
      <c r="AZ128" s="36"/>
      <c r="BA128" s="36"/>
      <c r="BB128" s="36"/>
    </row>
    <row r="129" spans="1:54" x14ac:dyDescent="0.25">
      <c r="A129" s="34"/>
      <c r="B129" s="34"/>
      <c r="C129" s="34"/>
      <c r="D129" s="37"/>
      <c r="E129" s="37"/>
      <c r="F129" s="37"/>
      <c r="G129" s="37"/>
      <c r="H129" s="37"/>
      <c r="I129" s="37"/>
      <c r="J129" s="37"/>
      <c r="K129" s="37"/>
      <c r="L129" s="37"/>
      <c r="M129" s="37"/>
      <c r="N129" s="37"/>
      <c r="O129" s="37"/>
      <c r="P129" s="37"/>
      <c r="Q129" s="37"/>
      <c r="R129" s="37"/>
      <c r="S129" s="37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  <c r="AD129" s="37"/>
      <c r="AE129" s="37"/>
      <c r="AF129" s="37"/>
      <c r="AG129" s="37"/>
      <c r="AH129" s="37"/>
      <c r="AI129" s="37"/>
      <c r="AJ129" s="37"/>
      <c r="AK129" s="37"/>
      <c r="AL129" s="37"/>
      <c r="AM129" s="37"/>
      <c r="AN129" s="37"/>
      <c r="AO129" s="37"/>
      <c r="AP129" s="37"/>
      <c r="AQ129" s="37"/>
      <c r="AR129" s="37"/>
      <c r="AS129" s="37"/>
      <c r="AT129" s="37"/>
      <c r="AU129" s="37"/>
      <c r="AV129" s="37"/>
      <c r="AW129" s="37"/>
      <c r="AX129" s="37"/>
      <c r="AY129" s="37"/>
      <c r="AZ129" s="37"/>
      <c r="BA129" s="37"/>
      <c r="BB129" s="37"/>
    </row>
    <row r="130" spans="1:54" s="5" customFormat="1" x14ac:dyDescent="0.25">
      <c r="A130" s="32"/>
      <c r="B130" s="32"/>
      <c r="C130" s="32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  <c r="AJ130" s="36"/>
      <c r="AK130" s="36"/>
      <c r="AL130" s="36"/>
      <c r="AM130" s="36"/>
      <c r="AN130" s="36"/>
      <c r="AO130" s="36"/>
      <c r="AP130" s="33"/>
      <c r="AQ130" s="36"/>
      <c r="AR130" s="33"/>
      <c r="AS130" s="36"/>
      <c r="AT130" s="33"/>
      <c r="AU130" s="36"/>
      <c r="AV130" s="36"/>
      <c r="AW130" s="36"/>
      <c r="AX130" s="33"/>
      <c r="AY130" s="33"/>
      <c r="AZ130" s="33"/>
      <c r="BA130" s="36"/>
      <c r="BB130" s="36"/>
    </row>
    <row r="131" spans="1:54" x14ac:dyDescent="0.25">
      <c r="A131" s="34"/>
      <c r="B131" s="34"/>
      <c r="C131" s="34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35"/>
      <c r="AE131" s="35"/>
      <c r="AF131" s="35"/>
      <c r="AG131" s="35"/>
      <c r="AH131" s="35"/>
      <c r="AI131" s="35"/>
      <c r="AJ131" s="35"/>
      <c r="AK131" s="35"/>
      <c r="AL131" s="35"/>
      <c r="AM131" s="35"/>
      <c r="AN131" s="35"/>
      <c r="AO131" s="37"/>
      <c r="AP131" s="35"/>
      <c r="AQ131" s="35"/>
      <c r="AR131" s="35"/>
      <c r="AS131" s="37"/>
      <c r="AT131" s="37"/>
      <c r="AU131" s="37"/>
      <c r="AV131" s="37"/>
      <c r="AW131" s="37"/>
      <c r="AX131" s="37"/>
      <c r="AY131" s="37"/>
      <c r="AZ131" s="35"/>
      <c r="BA131" s="35"/>
      <c r="BB131" s="37"/>
    </row>
    <row r="132" spans="1:54" s="5" customFormat="1" x14ac:dyDescent="0.25">
      <c r="A132" s="32"/>
      <c r="B132" s="32"/>
      <c r="C132" s="32"/>
      <c r="D132" s="3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  <c r="AE132" s="36"/>
      <c r="AF132" s="36"/>
      <c r="AG132" s="36"/>
      <c r="AH132" s="36"/>
      <c r="AI132" s="36"/>
      <c r="AJ132" s="36"/>
      <c r="AK132" s="36"/>
      <c r="AL132" s="36"/>
      <c r="AM132" s="36"/>
      <c r="AN132" s="36"/>
      <c r="AO132" s="36"/>
      <c r="AP132" s="36"/>
      <c r="AQ132" s="36"/>
      <c r="AR132" s="36"/>
      <c r="AS132" s="36"/>
      <c r="AT132" s="36"/>
      <c r="AU132" s="36"/>
      <c r="AV132" s="36"/>
      <c r="AW132" s="36"/>
      <c r="AX132" s="36"/>
      <c r="AY132" s="36"/>
      <c r="AZ132" s="36"/>
      <c r="BA132" s="36"/>
      <c r="BB132" s="36"/>
    </row>
    <row r="133" spans="1:54" x14ac:dyDescent="0.25">
      <c r="A133" s="34"/>
      <c r="B133" s="34"/>
      <c r="C133" s="34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37"/>
      <c r="R133" s="37"/>
      <c r="S133" s="37"/>
      <c r="T133" s="37"/>
      <c r="U133" s="37"/>
      <c r="V133" s="37"/>
      <c r="W133" s="37"/>
      <c r="X133" s="37"/>
      <c r="Y133" s="37"/>
      <c r="Z133" s="37"/>
      <c r="AA133" s="37"/>
      <c r="AB133" s="37"/>
      <c r="AC133" s="37"/>
      <c r="AD133" s="37"/>
      <c r="AE133" s="37"/>
      <c r="AF133" s="37"/>
      <c r="AG133" s="37"/>
      <c r="AH133" s="37"/>
      <c r="AI133" s="37"/>
      <c r="AJ133" s="37"/>
      <c r="AK133" s="37"/>
      <c r="AL133" s="37"/>
      <c r="AM133" s="37"/>
      <c r="AN133" s="37"/>
      <c r="AO133" s="37"/>
      <c r="AP133" s="37"/>
      <c r="AQ133" s="37"/>
      <c r="AR133" s="37"/>
      <c r="AS133" s="37"/>
      <c r="AT133" s="37"/>
      <c r="AU133" s="37"/>
      <c r="AV133" s="37"/>
      <c r="AW133" s="37"/>
      <c r="AX133" s="37"/>
      <c r="AY133" s="37"/>
      <c r="AZ133" s="37"/>
      <c r="BA133" s="37"/>
      <c r="BB133" s="37"/>
    </row>
    <row r="134" spans="1:54" s="5" customFormat="1" x14ac:dyDescent="0.25">
      <c r="A134" s="32"/>
      <c r="B134" s="32"/>
      <c r="C134" s="32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6"/>
      <c r="Z134" s="36"/>
      <c r="AA134" s="36"/>
      <c r="AB134" s="36"/>
      <c r="AC134" s="36"/>
      <c r="AD134" s="36"/>
      <c r="AE134" s="36"/>
      <c r="AF134" s="36"/>
      <c r="AG134" s="36"/>
      <c r="AH134" s="36"/>
      <c r="AI134" s="36"/>
      <c r="AJ134" s="36"/>
      <c r="AK134" s="36"/>
      <c r="AL134" s="36"/>
      <c r="AM134" s="36"/>
      <c r="AN134" s="36"/>
      <c r="AO134" s="36"/>
      <c r="AP134" s="36"/>
      <c r="AQ134" s="36"/>
      <c r="AR134" s="36"/>
      <c r="AS134" s="36"/>
      <c r="AT134" s="36"/>
      <c r="AU134" s="36"/>
      <c r="AV134" s="36"/>
      <c r="AW134" s="36"/>
      <c r="AX134" s="36"/>
      <c r="AY134" s="36"/>
      <c r="AZ134" s="36"/>
      <c r="BA134" s="36"/>
      <c r="BB134" s="36"/>
    </row>
    <row r="135" spans="1:54" x14ac:dyDescent="0.25">
      <c r="A135" s="34"/>
      <c r="B135" s="34"/>
      <c r="C135" s="34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  <c r="AE135" s="35"/>
      <c r="AF135" s="35"/>
      <c r="AG135" s="35"/>
      <c r="AH135" s="35"/>
      <c r="AI135" s="35"/>
      <c r="AJ135" s="35"/>
      <c r="AK135" s="35"/>
      <c r="AL135" s="35"/>
      <c r="AM135" s="35"/>
      <c r="AN135" s="35"/>
      <c r="AO135" s="35"/>
      <c r="AP135" s="35"/>
      <c r="AQ135" s="35"/>
      <c r="AR135" s="35"/>
      <c r="AS135" s="35"/>
      <c r="AT135" s="35"/>
      <c r="AU135" s="35"/>
      <c r="AV135" s="35"/>
      <c r="AW135" s="35"/>
      <c r="AX135" s="35"/>
      <c r="AY135" s="35"/>
      <c r="AZ135" s="35"/>
      <c r="BA135" s="35"/>
      <c r="BB135" s="35"/>
    </row>
    <row r="136" spans="1:54" s="5" customFormat="1" x14ac:dyDescent="0.25">
      <c r="A136" s="32"/>
      <c r="B136" s="32"/>
      <c r="C136" s="32"/>
      <c r="D136" s="3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6"/>
      <c r="W136" s="36"/>
      <c r="X136" s="36"/>
      <c r="Y136" s="36"/>
      <c r="Z136" s="36"/>
      <c r="AA136" s="36"/>
      <c r="AB136" s="36"/>
      <c r="AC136" s="36"/>
      <c r="AD136" s="36"/>
      <c r="AE136" s="36"/>
      <c r="AF136" s="36"/>
      <c r="AG136" s="36"/>
      <c r="AH136" s="36"/>
      <c r="AI136" s="36"/>
      <c r="AJ136" s="36"/>
      <c r="AK136" s="36"/>
      <c r="AL136" s="36"/>
      <c r="AM136" s="36"/>
      <c r="AN136" s="36"/>
      <c r="AO136" s="36"/>
      <c r="AP136" s="36"/>
      <c r="AQ136" s="36"/>
      <c r="AR136" s="36"/>
      <c r="AS136" s="36"/>
      <c r="AT136" s="36"/>
      <c r="AU136" s="36"/>
      <c r="AV136" s="36"/>
      <c r="AW136" s="36"/>
      <c r="AX136" s="36"/>
      <c r="AY136" s="36"/>
      <c r="AZ136" s="36"/>
      <c r="BA136" s="36"/>
      <c r="BB136" s="36"/>
    </row>
    <row r="137" spans="1:54" x14ac:dyDescent="0.25">
      <c r="A137" s="34"/>
      <c r="B137" s="34"/>
      <c r="C137" s="34"/>
      <c r="D137" s="37"/>
      <c r="E137" s="37"/>
      <c r="F137" s="37"/>
      <c r="G137" s="37"/>
      <c r="H137" s="37"/>
      <c r="I137" s="37"/>
      <c r="J137" s="37"/>
      <c r="K137" s="37"/>
      <c r="L137" s="37"/>
      <c r="M137" s="37"/>
      <c r="N137" s="37"/>
      <c r="O137" s="37"/>
      <c r="P137" s="37"/>
      <c r="Q137" s="37"/>
      <c r="R137" s="37"/>
      <c r="S137" s="37"/>
      <c r="T137" s="37"/>
      <c r="U137" s="37"/>
      <c r="V137" s="37"/>
      <c r="W137" s="37"/>
      <c r="X137" s="37"/>
      <c r="Y137" s="37"/>
      <c r="Z137" s="37"/>
      <c r="AA137" s="37"/>
      <c r="AB137" s="37"/>
      <c r="AC137" s="37"/>
      <c r="AD137" s="37"/>
      <c r="AE137" s="37"/>
      <c r="AF137" s="37"/>
      <c r="AG137" s="37"/>
      <c r="AH137" s="37"/>
      <c r="AI137" s="37"/>
      <c r="AJ137" s="37"/>
      <c r="AK137" s="37"/>
      <c r="AL137" s="37"/>
      <c r="AM137" s="37"/>
      <c r="AN137" s="37"/>
      <c r="AO137" s="37"/>
      <c r="AP137" s="37"/>
      <c r="AQ137" s="37"/>
      <c r="AR137" s="35"/>
      <c r="AS137" s="37"/>
      <c r="AT137" s="37"/>
      <c r="AU137" s="35"/>
      <c r="AV137" s="37"/>
      <c r="AW137" s="35"/>
      <c r="AX137" s="35"/>
      <c r="AY137" s="35"/>
      <c r="AZ137" s="35"/>
      <c r="BA137" s="35"/>
      <c r="BB137" s="35"/>
    </row>
    <row r="138" spans="1:54" s="5" customFormat="1" x14ac:dyDescent="0.25">
      <c r="A138" s="32"/>
      <c r="B138" s="32"/>
      <c r="C138" s="32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F138" s="33"/>
      <c r="AG138" s="33"/>
      <c r="AH138" s="33"/>
      <c r="AI138" s="33"/>
      <c r="AJ138" s="33"/>
      <c r="AK138" s="33"/>
      <c r="AL138" s="33"/>
      <c r="AM138" s="33"/>
      <c r="AN138" s="33"/>
      <c r="AO138" s="33"/>
      <c r="AP138" s="33"/>
      <c r="AQ138" s="33"/>
      <c r="AR138" s="33"/>
      <c r="AS138" s="33"/>
      <c r="AT138" s="33"/>
      <c r="AU138" s="33"/>
      <c r="AV138" s="33"/>
      <c r="AW138" s="33"/>
      <c r="AX138" s="33"/>
      <c r="AY138" s="33"/>
      <c r="AZ138" s="33"/>
      <c r="BA138" s="33"/>
      <c r="BB138" s="33"/>
    </row>
    <row r="139" spans="1:54" x14ac:dyDescent="0.25">
      <c r="A139" s="34"/>
      <c r="B139" s="34"/>
      <c r="C139" s="34"/>
      <c r="D139" s="37"/>
      <c r="E139" s="37"/>
      <c r="F139" s="37"/>
      <c r="G139" s="37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  <c r="AE139" s="35"/>
      <c r="AF139" s="35"/>
      <c r="AG139" s="35"/>
      <c r="AH139" s="35"/>
      <c r="AI139" s="35"/>
      <c r="AJ139" s="35"/>
      <c r="AK139" s="35"/>
      <c r="AL139" s="35"/>
      <c r="AM139" s="35"/>
      <c r="AN139" s="35"/>
      <c r="AO139" s="35"/>
      <c r="AP139" s="35"/>
      <c r="AQ139" s="35"/>
      <c r="AR139" s="35"/>
      <c r="AS139" s="35"/>
      <c r="AT139" s="35"/>
      <c r="AU139" s="35"/>
      <c r="AV139" s="35"/>
      <c r="AW139" s="35"/>
      <c r="AX139" s="35"/>
      <c r="AY139" s="35"/>
      <c r="AZ139" s="35"/>
      <c r="BA139" s="35"/>
      <c r="BB139" s="35"/>
    </row>
    <row r="140" spans="1:54" s="5" customFormat="1" x14ac:dyDescent="0.25">
      <c r="A140" s="32"/>
      <c r="B140" s="32"/>
      <c r="C140" s="32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6"/>
      <c r="R140" s="36"/>
      <c r="S140" s="36"/>
      <c r="T140" s="36"/>
      <c r="U140" s="36"/>
      <c r="V140" s="36"/>
      <c r="W140" s="36"/>
      <c r="X140" s="36"/>
      <c r="Y140" s="36"/>
      <c r="Z140" s="36"/>
      <c r="AA140" s="36"/>
      <c r="AB140" s="36"/>
      <c r="AC140" s="36"/>
      <c r="AD140" s="36"/>
      <c r="AE140" s="36"/>
      <c r="AF140" s="36"/>
      <c r="AG140" s="36"/>
      <c r="AH140" s="36"/>
      <c r="AI140" s="36"/>
      <c r="AJ140" s="36"/>
      <c r="AK140" s="36"/>
      <c r="AL140" s="36"/>
      <c r="AM140" s="36"/>
      <c r="AN140" s="33"/>
      <c r="AO140" s="36"/>
      <c r="AP140" s="33"/>
      <c r="AQ140" s="33"/>
      <c r="AR140" s="33"/>
      <c r="AS140" s="33"/>
      <c r="AT140" s="33"/>
      <c r="AU140" s="33"/>
      <c r="AV140" s="33"/>
      <c r="AW140" s="36"/>
      <c r="AX140" s="36"/>
      <c r="AY140" s="33"/>
      <c r="AZ140" s="33"/>
      <c r="BA140" s="33"/>
      <c r="BB140" s="33"/>
    </row>
    <row r="141" spans="1:54" x14ac:dyDescent="0.25">
      <c r="A141" s="34"/>
      <c r="B141" s="34"/>
      <c r="C141" s="34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  <c r="AE141" s="35"/>
      <c r="AF141" s="35"/>
      <c r="AG141" s="35"/>
      <c r="AH141" s="35"/>
      <c r="AI141" s="35"/>
      <c r="AJ141" s="35"/>
      <c r="AK141" s="35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</row>
    <row r="142" spans="1:54" s="5" customFormat="1" x14ac:dyDescent="0.25">
      <c r="A142" s="32"/>
      <c r="B142" s="32"/>
      <c r="C142" s="32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3"/>
      <c r="AI142" s="33"/>
      <c r="AJ142" s="33"/>
      <c r="AK142" s="3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6"/>
      <c r="AY142" s="36"/>
      <c r="AZ142" s="36"/>
      <c r="BA142" s="36"/>
      <c r="BB142" s="36"/>
    </row>
    <row r="143" spans="1:54" x14ac:dyDescent="0.25">
      <c r="A143" s="34"/>
      <c r="B143" s="34"/>
      <c r="C143" s="34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7"/>
      <c r="AY143" s="37"/>
      <c r="AZ143" s="37"/>
      <c r="BA143" s="37"/>
      <c r="BB143" s="37"/>
    </row>
    <row r="144" spans="1:54" s="5" customFormat="1" x14ac:dyDescent="0.25">
      <c r="A144" s="32"/>
      <c r="B144" s="32"/>
      <c r="C144" s="32"/>
      <c r="D144" s="33"/>
      <c r="E144" s="33"/>
      <c r="F144" s="36"/>
      <c r="G144" s="36"/>
      <c r="H144" s="36"/>
      <c r="I144" s="36"/>
      <c r="J144" s="36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6"/>
      <c r="W144" s="36"/>
      <c r="X144" s="36"/>
      <c r="Y144" s="36"/>
      <c r="Z144" s="36"/>
      <c r="AA144" s="36"/>
      <c r="AB144" s="36"/>
      <c r="AC144" s="36"/>
      <c r="AD144" s="36"/>
      <c r="AE144" s="36"/>
      <c r="AF144" s="36"/>
      <c r="AG144" s="36"/>
      <c r="AH144" s="36"/>
      <c r="AI144" s="36"/>
      <c r="AJ144" s="36"/>
      <c r="AK144" s="36"/>
      <c r="AL144" s="36"/>
      <c r="AM144" s="36"/>
      <c r="AN144" s="36"/>
      <c r="AO144" s="36"/>
      <c r="AP144" s="36"/>
      <c r="AQ144" s="36"/>
      <c r="AR144" s="36"/>
      <c r="AS144" s="36"/>
      <c r="AT144" s="36"/>
      <c r="AU144" s="36"/>
      <c r="AV144" s="36"/>
      <c r="AW144" s="36"/>
      <c r="AX144" s="36"/>
      <c r="AY144" s="36"/>
      <c r="AZ144" s="36"/>
      <c r="BA144" s="36"/>
      <c r="BB144" s="36"/>
    </row>
    <row r="145" spans="1:54" x14ac:dyDescent="0.25">
      <c r="A145" s="34"/>
      <c r="B145" s="34"/>
      <c r="C145" s="34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</row>
    <row r="146" spans="1:54" s="5" customFormat="1" x14ac:dyDescent="0.25">
      <c r="A146" s="32"/>
      <c r="B146" s="32"/>
      <c r="C146" s="32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6"/>
      <c r="AW146" s="33"/>
      <c r="AX146" s="36"/>
      <c r="AY146" s="33"/>
      <c r="AZ146" s="33"/>
      <c r="BA146" s="33"/>
      <c r="BB146" s="33"/>
    </row>
    <row r="147" spans="1:54" x14ac:dyDescent="0.25">
      <c r="A147" s="34"/>
      <c r="B147" s="34"/>
      <c r="C147" s="34"/>
      <c r="D147" s="35"/>
      <c r="E147" s="35"/>
      <c r="F147" s="35"/>
      <c r="G147" s="35"/>
      <c r="H147" s="37"/>
      <c r="I147" s="35"/>
      <c r="J147" s="35"/>
      <c r="K147" s="35"/>
      <c r="L147" s="35"/>
      <c r="M147" s="37"/>
      <c r="N147" s="37"/>
      <c r="O147" s="37"/>
      <c r="P147" s="37"/>
      <c r="Q147" s="37"/>
      <c r="R147" s="37"/>
      <c r="S147" s="37"/>
      <c r="T147" s="37"/>
      <c r="U147" s="37"/>
      <c r="V147" s="37"/>
      <c r="W147" s="37"/>
      <c r="X147" s="37"/>
      <c r="Y147" s="37"/>
      <c r="Z147" s="37"/>
      <c r="AA147" s="37"/>
      <c r="AB147" s="37"/>
      <c r="AC147" s="37"/>
      <c r="AD147" s="37"/>
      <c r="AE147" s="37"/>
      <c r="AF147" s="37"/>
      <c r="AG147" s="37"/>
      <c r="AH147" s="37"/>
      <c r="AI147" s="37"/>
      <c r="AJ147" s="37"/>
      <c r="AK147" s="37"/>
      <c r="AL147" s="37"/>
      <c r="AM147" s="37"/>
      <c r="AN147" s="37"/>
      <c r="AO147" s="37"/>
      <c r="AP147" s="37"/>
      <c r="AQ147" s="37"/>
      <c r="AR147" s="37"/>
      <c r="AS147" s="37"/>
      <c r="AT147" s="37"/>
      <c r="AU147" s="37"/>
      <c r="AV147" s="37"/>
      <c r="AW147" s="37"/>
      <c r="AX147" s="37"/>
      <c r="AY147" s="37"/>
      <c r="AZ147" s="37"/>
      <c r="BA147" s="37"/>
      <c r="BB147" s="37"/>
    </row>
    <row r="148" spans="1:54" s="5" customFormat="1" x14ac:dyDescent="0.25">
      <c r="A148" s="32"/>
      <c r="B148" s="32"/>
      <c r="C148" s="32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</row>
    <row r="149" spans="1:54" x14ac:dyDescent="0.25">
      <c r="A149" s="34"/>
      <c r="B149" s="34"/>
      <c r="C149" s="34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</row>
    <row r="150" spans="1:54" s="5" customFormat="1" x14ac:dyDescent="0.25">
      <c r="A150" s="32"/>
      <c r="B150" s="32"/>
      <c r="C150" s="32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</row>
    <row r="151" spans="1:54" x14ac:dyDescent="0.25">
      <c r="A151" s="34"/>
      <c r="B151" s="34"/>
      <c r="C151" s="34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</row>
    <row r="152" spans="1:54" s="5" customFormat="1" x14ac:dyDescent="0.25">
      <c r="A152" s="34"/>
      <c r="B152" s="34"/>
      <c r="C152" s="34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7"/>
      <c r="AK152" s="37"/>
      <c r="AL152" s="37"/>
      <c r="AM152" s="37"/>
      <c r="AN152" s="37"/>
      <c r="AO152" s="37"/>
      <c r="AP152" s="37"/>
      <c r="AQ152" s="37"/>
      <c r="AR152" s="37"/>
      <c r="AS152" s="37"/>
      <c r="AT152" s="37"/>
      <c r="AU152" s="37"/>
      <c r="AV152" s="37"/>
      <c r="AW152" s="37"/>
      <c r="AX152" s="37"/>
      <c r="AY152" s="37"/>
      <c r="AZ152" s="37"/>
      <c r="BA152" s="37"/>
      <c r="BB152" s="37"/>
    </row>
    <row r="153" spans="1:54" x14ac:dyDescent="0.25">
      <c r="A153" s="34"/>
      <c r="B153" s="32"/>
      <c r="C153" s="32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  <c r="AM153" s="33"/>
      <c r="AN153" s="36"/>
      <c r="AO153" s="33"/>
      <c r="AP153" s="33"/>
      <c r="AQ153" s="33"/>
      <c r="AR153" s="33"/>
      <c r="AS153" s="36"/>
      <c r="AT153" s="36"/>
      <c r="AU153" s="33"/>
      <c r="AV153" s="33"/>
      <c r="AW153" s="36"/>
      <c r="AX153" s="33"/>
      <c r="AY153" s="36"/>
      <c r="AZ153" s="36"/>
      <c r="BA153" s="33"/>
      <c r="BB153" s="36"/>
    </row>
    <row r="154" spans="1:54" s="5" customFormat="1" x14ac:dyDescent="0.25">
      <c r="A154" s="34"/>
      <c r="B154" s="34"/>
      <c r="C154" s="34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  <c r="AM154" s="35"/>
      <c r="AN154" s="35"/>
      <c r="AO154" s="35"/>
      <c r="AP154" s="35"/>
      <c r="AQ154" s="35"/>
      <c r="AR154" s="35"/>
      <c r="AS154" s="35"/>
      <c r="AT154" s="35"/>
      <c r="AU154" s="35"/>
      <c r="AV154" s="35"/>
      <c r="AW154" s="35"/>
      <c r="AX154" s="35"/>
      <c r="AY154" s="35"/>
      <c r="AZ154" s="35"/>
      <c r="BA154" s="35"/>
      <c r="BB154" s="35"/>
    </row>
    <row r="155" spans="1:54" x14ac:dyDescent="0.25">
      <c r="A155" s="34"/>
      <c r="B155" s="32"/>
      <c r="C155" s="32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6"/>
      <c r="W155" s="36"/>
      <c r="X155" s="36"/>
      <c r="Y155" s="36"/>
      <c r="Z155" s="36"/>
      <c r="AA155" s="36"/>
      <c r="AB155" s="36"/>
      <c r="AC155" s="36"/>
      <c r="AD155" s="36"/>
      <c r="AE155" s="36"/>
      <c r="AF155" s="36"/>
      <c r="AG155" s="36"/>
      <c r="AH155" s="36"/>
      <c r="AI155" s="36"/>
      <c r="AJ155" s="36"/>
      <c r="AK155" s="36"/>
      <c r="AL155" s="36"/>
      <c r="AM155" s="36"/>
      <c r="AN155" s="36"/>
      <c r="AO155" s="36"/>
      <c r="AP155" s="36"/>
      <c r="AQ155" s="36"/>
      <c r="AR155" s="36"/>
      <c r="AS155" s="36"/>
      <c r="AT155" s="36"/>
      <c r="AU155" s="36"/>
      <c r="AV155" s="36"/>
      <c r="AW155" s="36"/>
      <c r="AX155" s="36"/>
      <c r="AY155" s="36"/>
      <c r="AZ155" s="36"/>
      <c r="BA155" s="36"/>
      <c r="BB155" s="36"/>
    </row>
    <row r="156" spans="1:54" x14ac:dyDescent="0.25">
      <c r="A156" s="34"/>
      <c r="B156" s="34"/>
      <c r="C156" s="34"/>
      <c r="D156" s="37"/>
      <c r="E156" s="37"/>
      <c r="F156" s="37"/>
      <c r="G156" s="37"/>
      <c r="H156" s="37"/>
      <c r="I156" s="37"/>
      <c r="J156" s="37"/>
      <c r="K156" s="37"/>
      <c r="L156" s="37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  <c r="AD156" s="37"/>
      <c r="AE156" s="37"/>
      <c r="AF156" s="37"/>
      <c r="AG156" s="37"/>
      <c r="AH156" s="37"/>
      <c r="AI156" s="37"/>
      <c r="AJ156" s="37"/>
      <c r="AK156" s="37"/>
      <c r="AL156" s="37"/>
      <c r="AM156" s="37"/>
      <c r="AN156" s="37"/>
      <c r="AO156" s="37"/>
      <c r="AP156" s="37"/>
      <c r="AQ156" s="37"/>
      <c r="AR156" s="37"/>
      <c r="AS156" s="37"/>
      <c r="AT156" s="37"/>
      <c r="AU156" s="37"/>
      <c r="AV156" s="37"/>
      <c r="AW156" s="37"/>
      <c r="AX156" s="37"/>
      <c r="AY156" s="37"/>
      <c r="AZ156" s="37"/>
      <c r="BA156" s="37"/>
      <c r="BB156" s="37"/>
    </row>
    <row r="157" spans="1:54" s="5" customFormat="1" x14ac:dyDescent="0.25">
      <c r="A157" s="32"/>
      <c r="B157" s="32"/>
      <c r="C157" s="32"/>
      <c r="D157" s="33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6"/>
      <c r="V157" s="36"/>
      <c r="W157" s="36"/>
      <c r="X157" s="36"/>
      <c r="Y157" s="36"/>
      <c r="Z157" s="36"/>
      <c r="AA157" s="36"/>
      <c r="AB157" s="36"/>
      <c r="AC157" s="36"/>
      <c r="AD157" s="36"/>
      <c r="AE157" s="36"/>
      <c r="AF157" s="36"/>
      <c r="AG157" s="36"/>
      <c r="AH157" s="36"/>
      <c r="AI157" s="36"/>
      <c r="AJ157" s="36"/>
      <c r="AK157" s="36"/>
      <c r="AL157" s="36"/>
      <c r="AM157" s="36"/>
      <c r="AN157" s="36"/>
      <c r="AO157" s="36"/>
      <c r="AP157" s="36"/>
      <c r="AQ157" s="36"/>
      <c r="AR157" s="36"/>
      <c r="AS157" s="36"/>
      <c r="AT157" s="36"/>
      <c r="AU157" s="36"/>
      <c r="AV157" s="36"/>
      <c r="AW157" s="36"/>
      <c r="AX157" s="36"/>
      <c r="AY157" s="36"/>
      <c r="AZ157" s="36"/>
      <c r="BA157" s="36"/>
      <c r="BB157" s="36"/>
    </row>
    <row r="158" spans="1:54" x14ac:dyDescent="0.25">
      <c r="A158" s="34"/>
      <c r="B158" s="34"/>
      <c r="C158" s="34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35"/>
      <c r="AE158" s="35"/>
      <c r="AF158" s="35"/>
      <c r="AG158" s="35"/>
      <c r="AH158" s="35"/>
      <c r="AI158" s="35"/>
      <c r="AJ158" s="35"/>
      <c r="AK158" s="35"/>
      <c r="AL158" s="35"/>
      <c r="AM158" s="35"/>
      <c r="AN158" s="35"/>
      <c r="AO158" s="35"/>
      <c r="AP158" s="35"/>
      <c r="AQ158" s="35"/>
      <c r="AR158" s="35"/>
      <c r="AS158" s="35"/>
      <c r="AT158" s="35"/>
      <c r="AU158" s="35"/>
      <c r="AV158" s="35"/>
      <c r="AW158" s="35"/>
      <c r="AX158" s="35"/>
      <c r="AY158" s="35"/>
      <c r="AZ158" s="35"/>
      <c r="BA158" s="35"/>
      <c r="BB158" s="35"/>
    </row>
    <row r="159" spans="1:54" s="5" customFormat="1" x14ac:dyDescent="0.25">
      <c r="A159" s="32"/>
      <c r="B159" s="32"/>
      <c r="C159" s="32"/>
      <c r="D159" s="36"/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6"/>
      <c r="W159" s="36"/>
      <c r="X159" s="36"/>
      <c r="Y159" s="36"/>
      <c r="Z159" s="36"/>
      <c r="AA159" s="36"/>
      <c r="AB159" s="36"/>
      <c r="AC159" s="36"/>
      <c r="AD159" s="36"/>
      <c r="AE159" s="36"/>
      <c r="AF159" s="36"/>
      <c r="AG159" s="36"/>
      <c r="AH159" s="36"/>
      <c r="AI159" s="36"/>
      <c r="AJ159" s="36"/>
      <c r="AK159" s="36"/>
      <c r="AL159" s="36"/>
      <c r="AM159" s="36"/>
      <c r="AN159" s="36"/>
      <c r="AO159" s="36"/>
      <c r="AP159" s="36"/>
      <c r="AQ159" s="36"/>
      <c r="AR159" s="36"/>
      <c r="AS159" s="36"/>
      <c r="AT159" s="36"/>
      <c r="AU159" s="36"/>
      <c r="AV159" s="36"/>
      <c r="AW159" s="36"/>
      <c r="AX159" s="36"/>
      <c r="AY159" s="36"/>
      <c r="AZ159" s="36"/>
      <c r="BA159" s="36"/>
      <c r="BB159" s="36"/>
    </row>
    <row r="160" spans="1:54" x14ac:dyDescent="0.25">
      <c r="A160" s="34"/>
      <c r="B160" s="34"/>
      <c r="C160" s="34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  <c r="AM160" s="35"/>
      <c r="AN160" s="35"/>
      <c r="AO160" s="35"/>
      <c r="AP160" s="35"/>
      <c r="AQ160" s="37"/>
      <c r="AR160" s="37"/>
      <c r="AS160" s="37"/>
      <c r="AT160" s="37"/>
      <c r="AU160" s="37"/>
      <c r="AV160" s="37"/>
      <c r="AW160" s="37"/>
      <c r="AX160" s="37"/>
      <c r="AY160" s="37"/>
      <c r="AZ160" s="37"/>
      <c r="BA160" s="37"/>
      <c r="BB160" s="37"/>
    </row>
    <row r="161" spans="1:54" s="5" customFormat="1" x14ac:dyDescent="0.25">
      <c r="A161" s="32"/>
      <c r="B161" s="32"/>
      <c r="C161" s="32"/>
      <c r="D161" s="33"/>
      <c r="E161" s="33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  <c r="AM161" s="33"/>
      <c r="AN161" s="33"/>
      <c r="AO161" s="33"/>
      <c r="AP161" s="33"/>
      <c r="AQ161" s="36"/>
      <c r="AR161" s="36"/>
      <c r="AS161" s="36"/>
      <c r="AT161" s="36"/>
      <c r="AU161" s="36"/>
      <c r="AV161" s="36"/>
      <c r="AW161" s="36"/>
      <c r="AX161" s="36"/>
      <c r="AY161" s="36"/>
      <c r="AZ161" s="36"/>
      <c r="BA161" s="36"/>
      <c r="BB161" s="36"/>
    </row>
    <row r="162" spans="1:54" x14ac:dyDescent="0.25">
      <c r="A162" s="34"/>
      <c r="B162" s="34"/>
      <c r="C162" s="34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  <c r="AM162" s="35"/>
      <c r="AN162" s="35"/>
      <c r="AO162" s="35"/>
      <c r="AP162" s="35"/>
      <c r="AQ162" s="37"/>
      <c r="AR162" s="35"/>
      <c r="AS162" s="37"/>
      <c r="AT162" s="35"/>
      <c r="AU162" s="35"/>
      <c r="AV162" s="35"/>
      <c r="AW162" s="35"/>
      <c r="AX162" s="35"/>
      <c r="AY162" s="35"/>
      <c r="AZ162" s="37"/>
      <c r="BA162" s="37"/>
      <c r="BB162" s="37"/>
    </row>
    <row r="163" spans="1:54" s="5" customFormat="1" x14ac:dyDescent="0.25">
      <c r="A163" s="32"/>
      <c r="B163" s="32"/>
      <c r="C163" s="32"/>
      <c r="D163" s="33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  <c r="AM163" s="33"/>
      <c r="AN163" s="33"/>
      <c r="AO163" s="33"/>
      <c r="AP163" s="33"/>
      <c r="AQ163" s="36"/>
      <c r="AR163" s="36"/>
      <c r="AS163" s="36"/>
      <c r="AT163" s="36"/>
      <c r="AU163" s="36"/>
      <c r="AV163" s="36"/>
      <c r="AW163" s="36"/>
      <c r="AX163" s="36"/>
      <c r="AY163" s="36"/>
      <c r="AZ163" s="36"/>
      <c r="BA163" s="36"/>
      <c r="BB163" s="36"/>
    </row>
    <row r="164" spans="1:54" x14ac:dyDescent="0.25">
      <c r="A164" s="34"/>
      <c r="B164" s="34"/>
      <c r="C164" s="34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  <c r="AM164" s="35"/>
      <c r="AN164" s="35"/>
      <c r="AO164" s="35"/>
      <c r="AP164" s="35"/>
      <c r="AQ164" s="37"/>
      <c r="AR164" s="37"/>
      <c r="AS164" s="37"/>
      <c r="AT164" s="35"/>
      <c r="AU164" s="35"/>
      <c r="AV164" s="37"/>
      <c r="AW164" s="37"/>
      <c r="AX164" s="37"/>
      <c r="AY164" s="35"/>
      <c r="AZ164" s="35"/>
      <c r="BA164" s="35"/>
      <c r="BB164" s="37"/>
    </row>
    <row r="165" spans="1:54" s="5" customFormat="1" x14ac:dyDescent="0.25">
      <c r="A165" s="32"/>
      <c r="B165" s="32"/>
      <c r="C165" s="32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  <c r="AM165" s="33"/>
      <c r="AN165" s="33"/>
      <c r="AO165" s="33"/>
      <c r="AP165" s="33"/>
      <c r="AQ165" s="36"/>
      <c r="AR165" s="36"/>
      <c r="AS165" s="36"/>
      <c r="AT165" s="36"/>
      <c r="AU165" s="36"/>
      <c r="AV165" s="36"/>
      <c r="AW165" s="36"/>
      <c r="AX165" s="36"/>
      <c r="AY165" s="36"/>
      <c r="AZ165" s="36"/>
      <c r="BA165" s="36"/>
      <c r="BB165" s="36"/>
    </row>
    <row r="166" spans="1:54" x14ac:dyDescent="0.25">
      <c r="A166" s="34"/>
      <c r="B166" s="34"/>
      <c r="C166" s="34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  <c r="AM166" s="35"/>
      <c r="AN166" s="35"/>
      <c r="AO166" s="35"/>
      <c r="AP166" s="35"/>
      <c r="AQ166" s="35"/>
      <c r="AR166" s="35"/>
      <c r="AS166" s="35"/>
      <c r="AT166" s="35"/>
      <c r="AU166" s="35"/>
      <c r="AV166" s="35"/>
      <c r="AW166" s="35"/>
      <c r="AX166" s="35"/>
      <c r="AY166" s="35"/>
      <c r="AZ166" s="35"/>
      <c r="BA166" s="35"/>
      <c r="BB166" s="35"/>
    </row>
    <row r="167" spans="1:54" s="5" customFormat="1" x14ac:dyDescent="0.25">
      <c r="A167" s="32"/>
      <c r="B167" s="32"/>
      <c r="C167" s="32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  <c r="AM167" s="33"/>
      <c r="AN167" s="33"/>
      <c r="AO167" s="33"/>
      <c r="AP167" s="33"/>
      <c r="AQ167" s="36"/>
      <c r="AR167" s="36"/>
      <c r="AS167" s="36"/>
      <c r="AT167" s="36"/>
      <c r="AU167" s="36"/>
      <c r="AV167" s="36"/>
      <c r="AW167" s="36"/>
      <c r="AX167" s="36"/>
      <c r="AY167" s="36"/>
      <c r="AZ167" s="36"/>
      <c r="BA167" s="36"/>
      <c r="BB167" s="36"/>
    </row>
    <row r="168" spans="1:54" x14ac:dyDescent="0.25">
      <c r="A168" s="34"/>
      <c r="B168" s="34"/>
      <c r="C168" s="34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  <c r="AM168" s="35"/>
      <c r="AN168" s="35"/>
      <c r="AO168" s="35"/>
      <c r="AP168" s="35"/>
      <c r="AQ168" s="37"/>
      <c r="AR168" s="37"/>
      <c r="AS168" s="37"/>
      <c r="AT168" s="37"/>
      <c r="AU168" s="37"/>
      <c r="AV168" s="37"/>
      <c r="AW168" s="37"/>
      <c r="AX168" s="37"/>
      <c r="AY168" s="37"/>
      <c r="AZ168" s="37"/>
      <c r="BA168" s="37"/>
      <c r="BB168" s="37"/>
    </row>
    <row r="169" spans="1:54" s="5" customFormat="1" x14ac:dyDescent="0.25">
      <c r="A169" s="32"/>
      <c r="B169" s="32"/>
      <c r="C169" s="32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  <c r="AM169" s="33"/>
      <c r="AN169" s="33"/>
      <c r="AO169" s="33"/>
      <c r="AP169" s="33"/>
      <c r="AQ169" s="36"/>
      <c r="AR169" s="36"/>
      <c r="AS169" s="36"/>
      <c r="AT169" s="36"/>
      <c r="AU169" s="36"/>
      <c r="AV169" s="36"/>
      <c r="AW169" s="36"/>
      <c r="AX169" s="36"/>
      <c r="AY169" s="36"/>
      <c r="AZ169" s="36"/>
      <c r="BA169" s="36"/>
      <c r="BB169" s="36"/>
    </row>
    <row r="170" spans="1:54" x14ac:dyDescent="0.25">
      <c r="A170" s="34"/>
      <c r="B170" s="34"/>
      <c r="C170" s="34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  <c r="AM170" s="35"/>
      <c r="AN170" s="35"/>
      <c r="AO170" s="35"/>
      <c r="AP170" s="35"/>
      <c r="AQ170" s="35"/>
      <c r="AR170" s="35"/>
      <c r="AS170" s="35"/>
      <c r="AT170" s="35"/>
      <c r="AU170" s="35"/>
      <c r="AV170" s="35"/>
      <c r="AW170" s="35"/>
      <c r="AX170" s="35"/>
      <c r="AY170" s="35"/>
      <c r="AZ170" s="35"/>
      <c r="BA170" s="35"/>
      <c r="BB170" s="35"/>
    </row>
    <row r="171" spans="1:54" s="5" customFormat="1" x14ac:dyDescent="0.25">
      <c r="A171" s="32"/>
      <c r="B171" s="32"/>
      <c r="C171" s="32"/>
      <c r="D171" s="33"/>
      <c r="E171" s="33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  <c r="AM171" s="33"/>
      <c r="AN171" s="33"/>
      <c r="AO171" s="33"/>
      <c r="AP171" s="33"/>
      <c r="AQ171" s="36"/>
      <c r="AR171" s="36"/>
      <c r="AS171" s="36"/>
      <c r="AT171" s="36"/>
      <c r="AU171" s="36"/>
      <c r="AV171" s="36"/>
      <c r="AW171" s="36"/>
      <c r="AX171" s="36"/>
      <c r="AY171" s="36"/>
      <c r="AZ171" s="36"/>
      <c r="BA171" s="36"/>
      <c r="BB171" s="36"/>
    </row>
    <row r="172" spans="1:54" x14ac:dyDescent="0.25">
      <c r="A172" s="34"/>
      <c r="B172" s="34"/>
      <c r="C172" s="34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  <c r="AM172" s="35"/>
      <c r="AN172" s="35"/>
      <c r="AO172" s="35"/>
      <c r="AP172" s="35"/>
      <c r="AQ172" s="35"/>
      <c r="AR172" s="35"/>
      <c r="AS172" s="35"/>
      <c r="AT172" s="35"/>
      <c r="AU172" s="35"/>
      <c r="AV172" s="35"/>
      <c r="AW172" s="35"/>
      <c r="AX172" s="35"/>
      <c r="AY172" s="35"/>
      <c r="AZ172" s="35"/>
      <c r="BA172" s="35"/>
      <c r="BB172" s="35"/>
    </row>
    <row r="173" spans="1:54" s="5" customFormat="1" x14ac:dyDescent="0.25">
      <c r="A173" s="32"/>
      <c r="B173" s="32"/>
      <c r="C173" s="32"/>
      <c r="D173" s="33"/>
      <c r="E173" s="33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  <c r="AM173" s="33"/>
      <c r="AN173" s="33"/>
      <c r="AO173" s="33"/>
      <c r="AP173" s="33"/>
      <c r="AQ173" s="33"/>
      <c r="AR173" s="33"/>
      <c r="AS173" s="33"/>
      <c r="AT173" s="33"/>
      <c r="AU173" s="36"/>
      <c r="AV173" s="33"/>
      <c r="AW173" s="33"/>
      <c r="AX173" s="33"/>
      <c r="AY173" s="36"/>
      <c r="AZ173" s="33"/>
      <c r="BA173" s="33"/>
      <c r="BB173" s="33"/>
    </row>
    <row r="174" spans="1:54" x14ac:dyDescent="0.25">
      <c r="A174" s="34"/>
      <c r="B174" s="34"/>
      <c r="C174" s="34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35"/>
      <c r="AE174" s="35"/>
      <c r="AF174" s="35"/>
      <c r="AG174" s="35"/>
      <c r="AH174" s="35"/>
      <c r="AI174" s="35"/>
      <c r="AJ174" s="35"/>
      <c r="AK174" s="35"/>
      <c r="AL174" s="35"/>
      <c r="AM174" s="35"/>
      <c r="AN174" s="35"/>
      <c r="AO174" s="35"/>
      <c r="AP174" s="35"/>
      <c r="AQ174" s="35"/>
      <c r="AR174" s="35"/>
      <c r="AS174" s="35"/>
      <c r="AT174" s="35"/>
      <c r="AU174" s="35"/>
      <c r="AV174" s="35"/>
      <c r="AW174" s="35"/>
      <c r="AX174" s="35"/>
      <c r="AY174" s="35"/>
      <c r="AZ174" s="35"/>
      <c r="BA174" s="35"/>
      <c r="BB174" s="35"/>
    </row>
    <row r="175" spans="1:54" s="5" customFormat="1" x14ac:dyDescent="0.25">
      <c r="A175" s="32"/>
      <c r="B175" s="32"/>
      <c r="C175" s="32"/>
      <c r="D175" s="33"/>
      <c r="E175" s="33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F175" s="33"/>
      <c r="AG175" s="33"/>
      <c r="AH175" s="33"/>
      <c r="AI175" s="33"/>
      <c r="AJ175" s="33"/>
      <c r="AK175" s="33"/>
      <c r="AL175" s="33"/>
      <c r="AM175" s="33"/>
      <c r="AN175" s="33"/>
      <c r="AO175" s="33"/>
      <c r="AP175" s="33"/>
      <c r="AQ175" s="33"/>
      <c r="AR175" s="33"/>
      <c r="AS175" s="33"/>
      <c r="AT175" s="33"/>
      <c r="AU175" s="36"/>
      <c r="AV175" s="33"/>
      <c r="AW175" s="33"/>
      <c r="AX175" s="36"/>
      <c r="AY175" s="36"/>
      <c r="AZ175" s="33"/>
      <c r="BA175" s="33"/>
      <c r="BB175" s="36"/>
    </row>
    <row r="176" spans="1:54" x14ac:dyDescent="0.25">
      <c r="A176" s="34"/>
      <c r="B176" s="34"/>
      <c r="C176" s="34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  <c r="AB176" s="35"/>
      <c r="AC176" s="35"/>
      <c r="AD176" s="35"/>
      <c r="AE176" s="35"/>
      <c r="AF176" s="35"/>
      <c r="AG176" s="35"/>
      <c r="AH176" s="35"/>
      <c r="AI176" s="35"/>
      <c r="AJ176" s="35"/>
      <c r="AK176" s="35"/>
      <c r="AL176" s="35"/>
      <c r="AM176" s="35"/>
      <c r="AN176" s="35"/>
      <c r="AO176" s="35"/>
      <c r="AP176" s="35"/>
      <c r="AQ176" s="35"/>
      <c r="AR176" s="35"/>
      <c r="AS176" s="35"/>
      <c r="AT176" s="35"/>
      <c r="AU176" s="35"/>
      <c r="AV176" s="35"/>
      <c r="AW176" s="35"/>
      <c r="AX176" s="37"/>
      <c r="AY176" s="37"/>
      <c r="AZ176" s="37"/>
      <c r="BA176" s="37"/>
      <c r="BB176" s="37"/>
    </row>
    <row r="177" spans="1:54" s="5" customFormat="1" x14ac:dyDescent="0.25">
      <c r="A177" s="34"/>
      <c r="B177" s="32"/>
      <c r="C177" s="32"/>
      <c r="D177" s="33"/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F177" s="33"/>
      <c r="AG177" s="33"/>
      <c r="AH177" s="33"/>
      <c r="AI177" s="33"/>
      <c r="AJ177" s="33"/>
      <c r="AK177" s="33"/>
      <c r="AL177" s="33"/>
      <c r="AM177" s="33"/>
      <c r="AN177" s="33"/>
      <c r="AO177" s="33"/>
      <c r="AP177" s="33"/>
      <c r="AQ177" s="33"/>
      <c r="AR177" s="33"/>
      <c r="AS177" s="33"/>
      <c r="AT177" s="33"/>
      <c r="AU177" s="33"/>
      <c r="AV177" s="33"/>
      <c r="AW177" s="33"/>
      <c r="AX177" s="36"/>
      <c r="AY177" s="36"/>
      <c r="AZ177" s="36"/>
      <c r="BA177" s="36"/>
      <c r="BB177" s="36"/>
    </row>
    <row r="178" spans="1:54" x14ac:dyDescent="0.25">
      <c r="A178" s="34"/>
      <c r="B178" s="34"/>
      <c r="C178" s="34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35"/>
      <c r="AE178" s="35"/>
      <c r="AF178" s="35"/>
      <c r="AG178" s="35"/>
      <c r="AH178" s="35"/>
      <c r="AI178" s="35"/>
      <c r="AJ178" s="35"/>
      <c r="AK178" s="35"/>
      <c r="AL178" s="35"/>
      <c r="AM178" s="35"/>
      <c r="AN178" s="35"/>
      <c r="AO178" s="35"/>
      <c r="AP178" s="35"/>
      <c r="AQ178" s="35"/>
      <c r="AR178" s="35"/>
      <c r="AS178" s="35"/>
      <c r="AT178" s="35"/>
      <c r="AU178" s="35"/>
      <c r="AV178" s="35"/>
      <c r="AW178" s="35"/>
      <c r="AX178" s="37"/>
      <c r="AY178" s="37"/>
      <c r="AZ178" s="37"/>
      <c r="BA178" s="37"/>
      <c r="BB178" s="37"/>
    </row>
    <row r="179" spans="1:54" s="5" customFormat="1" x14ac:dyDescent="0.25">
      <c r="A179" s="34"/>
      <c r="B179" s="32"/>
      <c r="C179" s="32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F179" s="33"/>
      <c r="AG179" s="33"/>
      <c r="AH179" s="33"/>
      <c r="AI179" s="33"/>
      <c r="AJ179" s="33"/>
      <c r="AK179" s="33"/>
      <c r="AL179" s="33"/>
      <c r="AM179" s="33"/>
      <c r="AN179" s="33"/>
      <c r="AO179" s="33"/>
      <c r="AP179" s="33"/>
      <c r="AQ179" s="33"/>
      <c r="AR179" s="33"/>
      <c r="AS179" s="33"/>
      <c r="AT179" s="33"/>
      <c r="AU179" s="33"/>
      <c r="AV179" s="33"/>
      <c r="AW179" s="33"/>
      <c r="AX179" s="36"/>
      <c r="AY179" s="36"/>
      <c r="AZ179" s="36"/>
      <c r="BA179" s="36"/>
      <c r="BB179" s="36"/>
    </row>
    <row r="180" spans="1:54" s="5" customFormat="1" x14ac:dyDescent="0.25">
      <c r="A180" s="32"/>
      <c r="B180" s="32"/>
      <c r="C180" s="32"/>
      <c r="D180" s="33"/>
      <c r="E180" s="33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  <c r="AA180" s="33"/>
      <c r="AB180" s="33"/>
      <c r="AC180" s="33"/>
      <c r="AD180" s="33"/>
      <c r="AE180" s="33"/>
      <c r="AF180" s="33"/>
      <c r="AG180" s="33"/>
      <c r="AH180" s="33"/>
      <c r="AI180" s="33"/>
      <c r="AJ180" s="33"/>
      <c r="AK180" s="33"/>
      <c r="AL180" s="33"/>
      <c r="AM180" s="33"/>
      <c r="AN180" s="33"/>
      <c r="AO180" s="33"/>
      <c r="AP180" s="33"/>
      <c r="AQ180" s="36"/>
      <c r="AR180" s="36"/>
      <c r="AS180" s="36"/>
      <c r="AT180" s="36"/>
      <c r="AU180" s="36"/>
      <c r="AV180" s="36"/>
      <c r="AW180" s="36"/>
      <c r="AX180" s="36"/>
      <c r="AY180" s="36"/>
      <c r="AZ180" s="36"/>
      <c r="BA180" s="36"/>
      <c r="BB180" s="36"/>
    </row>
    <row r="181" spans="1:54" x14ac:dyDescent="0.25">
      <c r="A181" s="34"/>
      <c r="B181" s="34"/>
      <c r="C181" s="34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  <c r="AB181" s="35"/>
      <c r="AC181" s="35"/>
      <c r="AD181" s="35"/>
      <c r="AE181" s="35"/>
      <c r="AF181" s="35"/>
      <c r="AG181" s="35"/>
      <c r="AH181" s="35"/>
      <c r="AI181" s="35"/>
      <c r="AJ181" s="35"/>
      <c r="AK181" s="35"/>
      <c r="AL181" s="35"/>
      <c r="AM181" s="35"/>
      <c r="AN181" s="35"/>
      <c r="AO181" s="35"/>
      <c r="AP181" s="35"/>
      <c r="AQ181" s="37"/>
      <c r="AR181" s="37"/>
      <c r="AS181" s="37"/>
      <c r="AT181" s="37"/>
      <c r="AU181" s="37"/>
      <c r="AV181" s="37"/>
      <c r="AW181" s="37"/>
      <c r="AX181" s="37"/>
      <c r="AY181" s="37"/>
      <c r="AZ181" s="37"/>
      <c r="BA181" s="37"/>
      <c r="BB181" s="37"/>
    </row>
    <row r="182" spans="1:54" s="5" customFormat="1" x14ac:dyDescent="0.25">
      <c r="A182" s="32"/>
      <c r="B182" s="32"/>
      <c r="C182" s="32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F182" s="33"/>
      <c r="AG182" s="33"/>
      <c r="AH182" s="33"/>
      <c r="AI182" s="33"/>
      <c r="AJ182" s="33"/>
      <c r="AK182" s="33"/>
      <c r="AL182" s="33"/>
      <c r="AM182" s="33"/>
      <c r="AN182" s="33"/>
      <c r="AO182" s="33"/>
      <c r="AP182" s="33"/>
      <c r="AQ182" s="36"/>
      <c r="AR182" s="36"/>
      <c r="AS182" s="36"/>
      <c r="AT182" s="36"/>
      <c r="AU182" s="36"/>
      <c r="AV182" s="36"/>
      <c r="AW182" s="36"/>
      <c r="AX182" s="36"/>
      <c r="AY182" s="36"/>
      <c r="AZ182" s="36"/>
      <c r="BA182" s="36"/>
      <c r="BB182" s="36"/>
    </row>
    <row r="183" spans="1:54" x14ac:dyDescent="0.25">
      <c r="A183" s="34"/>
      <c r="B183" s="34"/>
      <c r="C183" s="34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35"/>
      <c r="AE183" s="35"/>
      <c r="AF183" s="35"/>
      <c r="AG183" s="35"/>
      <c r="AH183" s="35"/>
      <c r="AI183" s="35"/>
      <c r="AJ183" s="35"/>
      <c r="AK183" s="35"/>
      <c r="AL183" s="35"/>
      <c r="AM183" s="35"/>
      <c r="AN183" s="35"/>
      <c r="AO183" s="35"/>
      <c r="AP183" s="35"/>
      <c r="AQ183" s="37"/>
      <c r="AR183" s="37"/>
      <c r="AS183" s="37"/>
      <c r="AT183" s="37"/>
      <c r="AU183" s="37"/>
      <c r="AV183" s="37"/>
      <c r="AW183" s="37"/>
      <c r="AX183" s="37"/>
      <c r="AY183" s="37"/>
      <c r="AZ183" s="37"/>
      <c r="BA183" s="37"/>
      <c r="BB183" s="37"/>
    </row>
    <row r="184" spans="1:54" s="5" customFormat="1" x14ac:dyDescent="0.25">
      <c r="A184" s="32"/>
      <c r="B184" s="32"/>
      <c r="C184" s="32"/>
      <c r="D184" s="36"/>
      <c r="E184" s="36"/>
      <c r="F184" s="36"/>
      <c r="G184" s="36"/>
      <c r="H184" s="36"/>
      <c r="I184" s="36"/>
      <c r="J184" s="36"/>
      <c r="K184" s="36"/>
      <c r="L184" s="36"/>
      <c r="M184" s="36"/>
      <c r="N184" s="36"/>
      <c r="O184" s="36"/>
      <c r="P184" s="36"/>
      <c r="Q184" s="36"/>
      <c r="R184" s="36"/>
      <c r="S184" s="36"/>
      <c r="T184" s="36"/>
      <c r="U184" s="36"/>
      <c r="V184" s="36"/>
      <c r="W184" s="36"/>
      <c r="X184" s="36"/>
      <c r="Y184" s="36"/>
      <c r="Z184" s="36"/>
      <c r="AA184" s="36"/>
      <c r="AB184" s="36"/>
      <c r="AC184" s="36"/>
      <c r="AD184" s="36"/>
      <c r="AE184" s="36"/>
      <c r="AF184" s="36"/>
      <c r="AG184" s="36"/>
      <c r="AH184" s="36"/>
      <c r="AI184" s="36"/>
      <c r="AJ184" s="36"/>
      <c r="AK184" s="36"/>
      <c r="AL184" s="36"/>
      <c r="AM184" s="36"/>
      <c r="AN184" s="36"/>
      <c r="AO184" s="36"/>
      <c r="AP184" s="36"/>
      <c r="AQ184" s="36"/>
      <c r="AR184" s="36"/>
      <c r="AS184" s="36"/>
      <c r="AT184" s="36"/>
      <c r="AU184" s="36"/>
      <c r="AV184" s="36"/>
      <c r="AW184" s="36"/>
      <c r="AX184" s="36"/>
      <c r="AY184" s="36"/>
      <c r="AZ184" s="36"/>
      <c r="BA184" s="36"/>
      <c r="BB184" s="36"/>
    </row>
    <row r="185" spans="1:54" x14ac:dyDescent="0.25">
      <c r="A185" s="34"/>
      <c r="B185" s="34"/>
      <c r="C185" s="34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35"/>
      <c r="AE185" s="35"/>
      <c r="AF185" s="35"/>
      <c r="AG185" s="35"/>
      <c r="AH185" s="35"/>
      <c r="AI185" s="35"/>
      <c r="AJ185" s="35"/>
      <c r="AK185" s="35"/>
      <c r="AL185" s="35"/>
      <c r="AM185" s="35"/>
      <c r="AN185" s="35"/>
      <c r="AO185" s="35"/>
      <c r="AP185" s="35"/>
      <c r="AQ185" s="35"/>
      <c r="AR185" s="35"/>
      <c r="AS185" s="35"/>
      <c r="AT185" s="35"/>
      <c r="AU185" s="35"/>
      <c r="AV185" s="35"/>
      <c r="AW185" s="35"/>
      <c r="AX185" s="35"/>
      <c r="AY185" s="35"/>
      <c r="AZ185" s="35"/>
      <c r="BA185" s="35"/>
      <c r="BB185" s="35"/>
    </row>
    <row r="186" spans="1:54" s="5" customFormat="1" x14ac:dyDescent="0.25">
      <c r="A186" s="32"/>
      <c r="B186" s="32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F186" s="33"/>
      <c r="AG186" s="33"/>
      <c r="AH186" s="33"/>
      <c r="AI186" s="33"/>
      <c r="AJ186" s="33"/>
      <c r="AK186" s="33"/>
      <c r="AL186" s="33"/>
      <c r="AM186" s="33"/>
      <c r="AN186" s="33"/>
      <c r="AO186" s="33"/>
      <c r="AP186" s="33"/>
      <c r="AQ186" s="33"/>
      <c r="AR186" s="33"/>
      <c r="AS186" s="33"/>
      <c r="AT186" s="33"/>
      <c r="AU186" s="36"/>
      <c r="AV186" s="33"/>
      <c r="AW186" s="33"/>
      <c r="AX186" s="36"/>
      <c r="AY186" s="36"/>
      <c r="AZ186" s="36"/>
      <c r="BA186" s="36"/>
      <c r="BB186" s="36"/>
    </row>
    <row r="187" spans="1:54" x14ac:dyDescent="0.25">
      <c r="A187" s="34"/>
      <c r="B187" s="34"/>
      <c r="C187" s="34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37"/>
      <c r="AA187" s="37"/>
      <c r="AB187" s="37"/>
      <c r="AC187" s="37"/>
      <c r="AD187" s="37"/>
      <c r="AE187" s="37"/>
      <c r="AF187" s="37"/>
      <c r="AG187" s="37"/>
      <c r="AH187" s="37"/>
      <c r="AI187" s="37"/>
      <c r="AJ187" s="37"/>
      <c r="AK187" s="37"/>
      <c r="AL187" s="37"/>
      <c r="AM187" s="37"/>
      <c r="AN187" s="37"/>
      <c r="AO187" s="37"/>
      <c r="AP187" s="37"/>
      <c r="AQ187" s="37"/>
      <c r="AR187" s="37"/>
      <c r="AS187" s="37"/>
      <c r="AT187" s="37"/>
      <c r="AU187" s="37"/>
      <c r="AV187" s="37"/>
      <c r="AW187" s="37"/>
      <c r="AX187" s="37"/>
      <c r="AY187" s="37"/>
      <c r="AZ187" s="37"/>
      <c r="BA187" s="37"/>
      <c r="BB187" s="37"/>
    </row>
    <row r="188" spans="1:54" s="5" customFormat="1" x14ac:dyDescent="0.25">
      <c r="A188" s="32"/>
      <c r="B188" s="32"/>
      <c r="C188" s="32"/>
      <c r="D188" s="36"/>
      <c r="E188" s="36"/>
      <c r="F188" s="36"/>
      <c r="G188" s="36"/>
      <c r="H188" s="36"/>
      <c r="I188" s="36"/>
      <c r="J188" s="36"/>
      <c r="K188" s="36"/>
      <c r="L188" s="36"/>
      <c r="M188" s="36"/>
      <c r="N188" s="36"/>
      <c r="O188" s="36"/>
      <c r="P188" s="36"/>
      <c r="Q188" s="36"/>
      <c r="R188" s="36"/>
      <c r="S188" s="36"/>
      <c r="T188" s="36"/>
      <c r="U188" s="36"/>
      <c r="V188" s="36"/>
      <c r="W188" s="36"/>
      <c r="X188" s="36"/>
      <c r="Y188" s="36"/>
      <c r="Z188" s="36"/>
      <c r="AA188" s="36"/>
      <c r="AB188" s="36"/>
      <c r="AC188" s="36"/>
      <c r="AD188" s="36"/>
      <c r="AE188" s="36"/>
      <c r="AF188" s="36"/>
      <c r="AG188" s="36"/>
      <c r="AH188" s="36"/>
      <c r="AI188" s="36"/>
      <c r="AJ188" s="36"/>
      <c r="AK188" s="36"/>
      <c r="AL188" s="36"/>
      <c r="AM188" s="36"/>
      <c r="AN188" s="36"/>
      <c r="AO188" s="36"/>
      <c r="AP188" s="36"/>
      <c r="AQ188" s="36"/>
      <c r="AR188" s="36"/>
      <c r="AS188" s="36"/>
      <c r="AT188" s="36"/>
      <c r="AU188" s="36"/>
      <c r="AV188" s="36"/>
      <c r="AW188" s="36"/>
      <c r="AX188" s="36"/>
      <c r="AY188" s="36"/>
      <c r="AZ188" s="36"/>
      <c r="BA188" s="36"/>
      <c r="BB188" s="36"/>
    </row>
    <row r="189" spans="1:54" x14ac:dyDescent="0.25">
      <c r="A189" s="34"/>
      <c r="B189" s="34"/>
      <c r="C189" s="34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35"/>
      <c r="AE189" s="35"/>
      <c r="AF189" s="35"/>
      <c r="AG189" s="35"/>
      <c r="AH189" s="35"/>
      <c r="AI189" s="35"/>
      <c r="AJ189" s="35"/>
      <c r="AK189" s="35"/>
      <c r="AL189" s="35"/>
      <c r="AM189" s="35"/>
      <c r="AN189" s="35"/>
      <c r="AO189" s="35"/>
      <c r="AP189" s="35"/>
      <c r="AQ189" s="37"/>
      <c r="AR189" s="37"/>
      <c r="AS189" s="37"/>
      <c r="AT189" s="37"/>
      <c r="AU189" s="35"/>
      <c r="AV189" s="37"/>
      <c r="AW189" s="35"/>
      <c r="AX189" s="35"/>
      <c r="AY189" s="35"/>
      <c r="AZ189" s="35"/>
      <c r="BA189" s="35"/>
      <c r="BB189" s="35"/>
    </row>
  </sheetData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89"/>
  <sheetViews>
    <sheetView zoomScaleNormal="100" workbookViewId="0">
      <pane xSplit="6" ySplit="15" topLeftCell="AY172" activePane="bottomRight" state="frozen"/>
      <selection pane="topRight" activeCell="G1" sqref="G1"/>
      <selection pane="bottomLeft" activeCell="A16" sqref="A16"/>
      <selection pane="bottomRight" activeCell="BB5" sqref="BB5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s="5" customFormat="1" x14ac:dyDescent="0.25">
      <c r="A2" s="14" t="s">
        <v>28</v>
      </c>
      <c r="B2" s="6" t="s">
        <v>5</v>
      </c>
      <c r="C2" s="6" t="s">
        <v>6</v>
      </c>
      <c r="D2" s="7">
        <v>439</v>
      </c>
      <c r="E2" s="7">
        <v>488</v>
      </c>
      <c r="F2" s="7">
        <v>489</v>
      </c>
      <c r="G2" s="7">
        <v>526</v>
      </c>
      <c r="H2" s="7">
        <v>528</v>
      </c>
      <c r="I2" s="7">
        <v>540</v>
      </c>
      <c r="J2" s="7">
        <v>587</v>
      </c>
      <c r="K2" s="7">
        <v>792</v>
      </c>
      <c r="L2" s="7">
        <v>626</v>
      </c>
      <c r="M2" s="7">
        <v>668</v>
      </c>
      <c r="N2" s="7">
        <v>717</v>
      </c>
      <c r="O2" s="7">
        <v>705</v>
      </c>
      <c r="P2" s="7">
        <v>715</v>
      </c>
      <c r="Q2" s="7">
        <v>767</v>
      </c>
      <c r="R2" s="7">
        <v>747</v>
      </c>
      <c r="S2" s="7">
        <v>803</v>
      </c>
      <c r="T2" s="7">
        <v>764</v>
      </c>
      <c r="U2" s="7">
        <v>821</v>
      </c>
      <c r="V2" s="7">
        <v>798</v>
      </c>
      <c r="W2" s="7">
        <v>875</v>
      </c>
      <c r="X2" s="7">
        <v>946</v>
      </c>
      <c r="Y2" s="7">
        <v>930</v>
      </c>
      <c r="Z2" s="8">
        <v>1005</v>
      </c>
      <c r="AA2" s="8">
        <v>1013</v>
      </c>
      <c r="AB2" s="8">
        <v>1028</v>
      </c>
      <c r="AC2" s="8">
        <v>1009</v>
      </c>
      <c r="AD2" s="8">
        <v>1111</v>
      </c>
      <c r="AE2" s="8">
        <v>1127</v>
      </c>
      <c r="AF2" s="8">
        <v>1204</v>
      </c>
      <c r="AG2" s="8">
        <v>1179</v>
      </c>
      <c r="AH2" s="8">
        <v>1185</v>
      </c>
      <c r="AI2" s="8">
        <v>1100</v>
      </c>
      <c r="AJ2" s="8">
        <v>1100</v>
      </c>
      <c r="AK2" s="8">
        <v>1213</v>
      </c>
      <c r="AL2" s="8">
        <v>1318</v>
      </c>
      <c r="AM2" s="8">
        <v>1504</v>
      </c>
      <c r="AN2" s="8">
        <v>1491</v>
      </c>
      <c r="AO2" s="8">
        <v>1517</v>
      </c>
      <c r="AP2" s="8">
        <v>1665</v>
      </c>
      <c r="AQ2" s="8">
        <v>1652</v>
      </c>
      <c r="AR2" s="8">
        <v>1643</v>
      </c>
      <c r="AS2" s="8">
        <v>1664</v>
      </c>
      <c r="AT2" s="8">
        <v>1737</v>
      </c>
      <c r="AU2" s="8">
        <v>1897</v>
      </c>
      <c r="AV2" s="8">
        <v>2797</v>
      </c>
      <c r="AW2" s="8">
        <v>3109</v>
      </c>
      <c r="AX2" s="8">
        <v>2971</v>
      </c>
      <c r="AY2" s="8">
        <v>2975</v>
      </c>
      <c r="AZ2" s="8">
        <v>3000</v>
      </c>
      <c r="BA2" s="8">
        <v>3000</v>
      </c>
      <c r="BB2" s="47">
        <f>4338380/1000</f>
        <v>4338.38</v>
      </c>
      <c r="BC2" s="43">
        <f>4220100/1000</f>
        <v>4220.1000000000004</v>
      </c>
      <c r="BD2" s="43">
        <f>4944210/1000</f>
        <v>4944.21</v>
      </c>
    </row>
    <row r="3" spans="1:56" x14ac:dyDescent="0.25">
      <c r="A3" s="12"/>
      <c r="B3" s="2"/>
      <c r="C3" s="2" t="s">
        <v>7</v>
      </c>
      <c r="D3" s="4">
        <v>1</v>
      </c>
      <c r="E3" s="4">
        <v>1</v>
      </c>
      <c r="F3" s="4">
        <v>31</v>
      </c>
      <c r="G3" s="4">
        <v>3</v>
      </c>
      <c r="H3" s="4">
        <v>0</v>
      </c>
      <c r="I3" s="4">
        <v>0</v>
      </c>
      <c r="J3" s="4">
        <v>136</v>
      </c>
      <c r="K3" s="4">
        <v>269</v>
      </c>
      <c r="L3" s="4">
        <v>7</v>
      </c>
      <c r="M3" s="4">
        <v>2</v>
      </c>
      <c r="N3" s="4">
        <v>3</v>
      </c>
      <c r="O3" s="4">
        <v>2</v>
      </c>
      <c r="P3" s="4">
        <v>4</v>
      </c>
      <c r="Q3" s="4">
        <v>0</v>
      </c>
      <c r="R3" s="4">
        <v>0</v>
      </c>
      <c r="S3" s="4">
        <v>0</v>
      </c>
      <c r="T3" s="4">
        <v>0</v>
      </c>
      <c r="U3" s="4">
        <v>0</v>
      </c>
      <c r="V3" s="4">
        <v>0</v>
      </c>
      <c r="W3" s="4">
        <v>0</v>
      </c>
      <c r="X3" s="4">
        <v>0</v>
      </c>
      <c r="Y3" s="4">
        <v>0</v>
      </c>
      <c r="Z3" s="4">
        <v>0</v>
      </c>
      <c r="AA3" s="4">
        <v>0</v>
      </c>
      <c r="AB3" s="4">
        <v>0</v>
      </c>
      <c r="AC3" s="4">
        <v>0</v>
      </c>
      <c r="AD3" s="4">
        <v>0</v>
      </c>
      <c r="AE3" s="4">
        <v>0</v>
      </c>
      <c r="AF3" s="4">
        <v>0</v>
      </c>
      <c r="AG3" s="4">
        <v>0</v>
      </c>
      <c r="AH3" s="4">
        <v>0</v>
      </c>
      <c r="AI3" s="4">
        <v>0</v>
      </c>
      <c r="AJ3" s="4">
        <v>0</v>
      </c>
      <c r="AK3" s="4">
        <v>0</v>
      </c>
      <c r="AL3" s="4">
        <v>0</v>
      </c>
      <c r="AM3" s="4">
        <v>0</v>
      </c>
      <c r="AN3" s="4">
        <v>0</v>
      </c>
      <c r="AO3" s="4">
        <v>0</v>
      </c>
      <c r="AP3" s="4">
        <v>0</v>
      </c>
      <c r="AQ3" s="4">
        <v>0</v>
      </c>
      <c r="AR3" s="4">
        <v>1</v>
      </c>
      <c r="AS3" s="4">
        <v>1</v>
      </c>
      <c r="AT3" s="4">
        <v>3</v>
      </c>
      <c r="AU3" s="4">
        <v>19</v>
      </c>
      <c r="AV3" s="4">
        <v>21</v>
      </c>
      <c r="AW3" s="4">
        <v>11</v>
      </c>
      <c r="AX3" s="4">
        <v>6</v>
      </c>
      <c r="AY3" s="4">
        <v>131</v>
      </c>
      <c r="AZ3" s="4">
        <v>26</v>
      </c>
      <c r="BA3" s="4">
        <v>10</v>
      </c>
      <c r="BB3" s="44">
        <f>13096/1000</f>
        <v>13.096</v>
      </c>
      <c r="BC3" s="42"/>
      <c r="BD3" s="42"/>
    </row>
    <row r="4" spans="1:56" s="5" customFormat="1" x14ac:dyDescent="0.25">
      <c r="A4" s="14"/>
      <c r="B4" s="6"/>
      <c r="C4" s="6" t="s">
        <v>8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7">
        <v>0</v>
      </c>
      <c r="R4" s="7">
        <v>0</v>
      </c>
      <c r="S4" s="7">
        <v>20</v>
      </c>
      <c r="T4" s="7">
        <v>0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0</v>
      </c>
      <c r="AC4" s="7">
        <v>0</v>
      </c>
      <c r="AD4" s="7">
        <v>0</v>
      </c>
      <c r="AE4" s="7">
        <v>0</v>
      </c>
      <c r="AF4" s="7">
        <v>0</v>
      </c>
      <c r="AG4" s="7">
        <v>0</v>
      </c>
      <c r="AH4" s="7">
        <v>0</v>
      </c>
      <c r="AI4" s="7">
        <v>0</v>
      </c>
      <c r="AJ4" s="7">
        <v>0</v>
      </c>
      <c r="AK4" s="7">
        <v>0</v>
      </c>
      <c r="AL4" s="7">
        <v>0</v>
      </c>
      <c r="AM4" s="7">
        <v>0</v>
      </c>
      <c r="AN4" s="7">
        <v>0</v>
      </c>
      <c r="AO4" s="7">
        <v>0</v>
      </c>
      <c r="AP4" s="7">
        <v>0</v>
      </c>
      <c r="AQ4" s="7">
        <v>0</v>
      </c>
      <c r="AR4" s="7">
        <v>0</v>
      </c>
      <c r="AS4" s="7">
        <v>0</v>
      </c>
      <c r="AT4" s="7">
        <v>0</v>
      </c>
      <c r="AU4" s="7">
        <v>0</v>
      </c>
      <c r="AV4" s="7">
        <v>0</v>
      </c>
      <c r="AW4" s="7">
        <v>0</v>
      </c>
      <c r="AX4" s="7">
        <v>0</v>
      </c>
      <c r="AY4" s="7">
        <v>0</v>
      </c>
      <c r="AZ4" s="7">
        <v>20</v>
      </c>
      <c r="BA4" s="7">
        <v>200</v>
      </c>
      <c r="BB4" s="47">
        <f>249406/1000</f>
        <v>249.40600000000001</v>
      </c>
      <c r="BC4" s="43"/>
      <c r="BD4" s="43"/>
    </row>
    <row r="5" spans="1:56" x14ac:dyDescent="0.25">
      <c r="A5" s="12"/>
      <c r="B5" s="2"/>
      <c r="C5" s="2" t="s">
        <v>9</v>
      </c>
      <c r="D5" s="4">
        <v>440</v>
      </c>
      <c r="E5" s="4">
        <v>489</v>
      </c>
      <c r="F5" s="4">
        <v>515</v>
      </c>
      <c r="G5" s="4">
        <v>529</v>
      </c>
      <c r="H5" s="4">
        <v>528</v>
      </c>
      <c r="I5" s="4">
        <v>540</v>
      </c>
      <c r="J5" s="4">
        <v>723</v>
      </c>
      <c r="K5" s="3">
        <v>1056</v>
      </c>
      <c r="L5" s="4">
        <v>638</v>
      </c>
      <c r="M5" s="4">
        <v>667</v>
      </c>
      <c r="N5" s="4">
        <v>670</v>
      </c>
      <c r="O5" s="4">
        <v>704</v>
      </c>
      <c r="P5" s="4">
        <v>722</v>
      </c>
      <c r="Q5" s="4">
        <v>760</v>
      </c>
      <c r="R5" s="4">
        <v>765</v>
      </c>
      <c r="S5" s="4">
        <v>835</v>
      </c>
      <c r="T5" s="4">
        <v>764</v>
      </c>
      <c r="U5" s="4">
        <v>821</v>
      </c>
      <c r="V5" s="4">
        <v>798</v>
      </c>
      <c r="W5" s="4">
        <v>875</v>
      </c>
      <c r="X5" s="4">
        <v>946</v>
      </c>
      <c r="Y5" s="4">
        <v>930</v>
      </c>
      <c r="Z5" s="3">
        <v>1005</v>
      </c>
      <c r="AA5" s="3">
        <v>1013</v>
      </c>
      <c r="AB5" s="3">
        <v>1028</v>
      </c>
      <c r="AC5" s="3">
        <v>1009</v>
      </c>
      <c r="AD5" s="3">
        <v>1111</v>
      </c>
      <c r="AE5" s="3">
        <v>1127</v>
      </c>
      <c r="AF5" s="3">
        <v>1204</v>
      </c>
      <c r="AG5" s="3">
        <v>1179</v>
      </c>
      <c r="AH5" s="3">
        <v>1185</v>
      </c>
      <c r="AI5" s="3">
        <v>1100</v>
      </c>
      <c r="AJ5" s="3">
        <v>1100</v>
      </c>
      <c r="AK5" s="3">
        <v>1213</v>
      </c>
      <c r="AL5" s="3">
        <v>1318</v>
      </c>
      <c r="AM5" s="3">
        <v>1300</v>
      </c>
      <c r="AN5" s="3">
        <v>1300</v>
      </c>
      <c r="AO5" s="3">
        <v>1500</v>
      </c>
      <c r="AP5" s="3">
        <v>1750</v>
      </c>
      <c r="AQ5" s="3">
        <v>1750</v>
      </c>
      <c r="AR5" s="3">
        <v>1500</v>
      </c>
      <c r="AS5" s="3">
        <v>1750</v>
      </c>
      <c r="AT5" s="3">
        <v>1750</v>
      </c>
      <c r="AU5" s="3">
        <v>1750</v>
      </c>
      <c r="AV5" s="3">
        <v>2700</v>
      </c>
      <c r="AW5" s="3">
        <v>3000</v>
      </c>
      <c r="AX5" s="3">
        <v>3000</v>
      </c>
      <c r="AY5" s="3">
        <v>3200</v>
      </c>
      <c r="AZ5" s="3">
        <v>3000</v>
      </c>
      <c r="BA5" s="3">
        <v>3000</v>
      </c>
      <c r="BB5" s="44">
        <f>BB2+BB3-BB4</f>
        <v>4102.07</v>
      </c>
      <c r="BC5" s="42"/>
      <c r="BD5" s="42"/>
    </row>
    <row r="6" spans="1:56" s="5" customFormat="1" x14ac:dyDescent="0.25">
      <c r="A6" s="14"/>
      <c r="B6" s="6" t="s">
        <v>10</v>
      </c>
      <c r="C6" s="6" t="s">
        <v>6</v>
      </c>
      <c r="D6" s="8">
        <v>1398</v>
      </c>
      <c r="E6" s="8">
        <v>1505</v>
      </c>
      <c r="F6" s="8">
        <v>1690</v>
      </c>
      <c r="G6" s="8">
        <v>1940</v>
      </c>
      <c r="H6" s="8">
        <v>1747</v>
      </c>
      <c r="I6" s="8">
        <v>1915</v>
      </c>
      <c r="J6" s="8">
        <v>2139</v>
      </c>
      <c r="K6" s="8">
        <v>2389</v>
      </c>
      <c r="L6" s="8">
        <v>2429</v>
      </c>
      <c r="M6" s="8">
        <v>2473</v>
      </c>
      <c r="N6" s="8">
        <v>2500</v>
      </c>
      <c r="O6" s="8">
        <v>3249</v>
      </c>
      <c r="P6" s="8">
        <v>3100</v>
      </c>
      <c r="Q6" s="8">
        <v>2909</v>
      </c>
      <c r="R6" s="8">
        <v>2802</v>
      </c>
      <c r="S6" s="8">
        <v>2269</v>
      </c>
      <c r="T6" s="8">
        <v>1921</v>
      </c>
      <c r="U6" s="8">
        <v>2539</v>
      </c>
      <c r="V6" s="8">
        <v>2132</v>
      </c>
      <c r="W6" s="8">
        <v>3417</v>
      </c>
      <c r="X6" s="8">
        <v>3280</v>
      </c>
      <c r="Y6" s="8">
        <v>3434</v>
      </c>
      <c r="Z6" s="8">
        <v>3782</v>
      </c>
      <c r="AA6" s="8">
        <v>2271</v>
      </c>
      <c r="AB6" s="8">
        <v>4630</v>
      </c>
      <c r="AC6" s="8">
        <v>5587</v>
      </c>
      <c r="AD6" s="8">
        <v>6062</v>
      </c>
      <c r="AE6" s="8">
        <v>6744</v>
      </c>
      <c r="AF6" s="8">
        <v>6551</v>
      </c>
      <c r="AG6" s="8">
        <v>6687</v>
      </c>
      <c r="AH6" s="8">
        <v>7522</v>
      </c>
      <c r="AI6" s="8">
        <v>10000</v>
      </c>
      <c r="AJ6" s="8">
        <v>7073</v>
      </c>
      <c r="AK6" s="8">
        <v>6282</v>
      </c>
      <c r="AL6" s="8">
        <v>6250</v>
      </c>
      <c r="AM6" s="8">
        <v>8272</v>
      </c>
      <c r="AN6" s="8">
        <v>7319</v>
      </c>
      <c r="AO6" s="8">
        <v>7175</v>
      </c>
      <c r="AP6" s="8">
        <v>6863</v>
      </c>
      <c r="AQ6" s="8">
        <v>8776</v>
      </c>
      <c r="AR6" s="8">
        <v>8379</v>
      </c>
      <c r="AS6" s="8">
        <v>8286</v>
      </c>
      <c r="AT6" s="8">
        <v>7972</v>
      </c>
      <c r="AU6" s="8">
        <v>7845</v>
      </c>
      <c r="AV6" s="8">
        <v>11138</v>
      </c>
      <c r="AW6" s="8">
        <v>9850</v>
      </c>
      <c r="AX6" s="8">
        <v>9600</v>
      </c>
      <c r="AY6" s="8">
        <v>8600</v>
      </c>
      <c r="AZ6" s="8">
        <v>8700</v>
      </c>
      <c r="BA6" s="8">
        <v>9600</v>
      </c>
      <c r="BB6" s="47">
        <v>8700</v>
      </c>
      <c r="BC6" s="43">
        <f>2312000/1000</f>
        <v>2312</v>
      </c>
      <c r="BD6" s="43">
        <f>2215000/1000</f>
        <v>2215</v>
      </c>
    </row>
    <row r="7" spans="1:56" x14ac:dyDescent="0.25">
      <c r="A7" s="12"/>
      <c r="B7" s="2"/>
      <c r="C7" s="2" t="s">
        <v>7</v>
      </c>
      <c r="D7" s="4">
        <v>4</v>
      </c>
      <c r="E7" s="4">
        <v>42</v>
      </c>
      <c r="F7" s="4">
        <v>9</v>
      </c>
      <c r="G7" s="4">
        <v>4</v>
      </c>
      <c r="H7" s="4">
        <v>9</v>
      </c>
      <c r="I7" s="4">
        <v>7</v>
      </c>
      <c r="J7" s="4">
        <v>10</v>
      </c>
      <c r="K7" s="4">
        <v>4</v>
      </c>
      <c r="L7" s="4">
        <v>4</v>
      </c>
      <c r="M7" s="4">
        <v>0</v>
      </c>
      <c r="N7" s="4">
        <v>6</v>
      </c>
      <c r="O7" s="4">
        <v>7</v>
      </c>
      <c r="P7" s="4">
        <v>4</v>
      </c>
      <c r="Q7" s="4">
        <v>2</v>
      </c>
      <c r="R7" s="4">
        <v>1</v>
      </c>
      <c r="S7" s="4">
        <v>0</v>
      </c>
      <c r="T7" s="4">
        <v>2</v>
      </c>
      <c r="U7" s="4">
        <v>1</v>
      </c>
      <c r="V7" s="4">
        <v>4</v>
      </c>
      <c r="W7" s="4">
        <v>4</v>
      </c>
      <c r="X7" s="4">
        <v>5</v>
      </c>
      <c r="Y7" s="4">
        <v>5</v>
      </c>
      <c r="Z7" s="4">
        <v>4</v>
      </c>
      <c r="AA7" s="4">
        <v>240</v>
      </c>
      <c r="AB7" s="4">
        <v>9</v>
      </c>
      <c r="AC7" s="4">
        <v>6</v>
      </c>
      <c r="AD7" s="4">
        <v>3</v>
      </c>
      <c r="AE7" s="4">
        <v>4</v>
      </c>
      <c r="AF7" s="4">
        <v>5</v>
      </c>
      <c r="AG7" s="4">
        <v>17</v>
      </c>
      <c r="AH7" s="4">
        <v>2</v>
      </c>
      <c r="AI7" s="4">
        <v>20</v>
      </c>
      <c r="AJ7" s="4">
        <v>24</v>
      </c>
      <c r="AK7" s="4">
        <v>350</v>
      </c>
      <c r="AL7" s="4">
        <v>696</v>
      </c>
      <c r="AM7" s="4">
        <v>122</v>
      </c>
      <c r="AN7" s="4">
        <v>279</v>
      </c>
      <c r="AO7" s="4">
        <v>120</v>
      </c>
      <c r="AP7" s="4">
        <v>925</v>
      </c>
      <c r="AQ7" s="4">
        <v>475</v>
      </c>
      <c r="AR7" s="4">
        <v>470</v>
      </c>
      <c r="AS7" s="4">
        <v>865</v>
      </c>
      <c r="AT7" s="4">
        <v>872</v>
      </c>
      <c r="AU7" s="3">
        <v>1805</v>
      </c>
      <c r="AV7" s="3">
        <v>1756</v>
      </c>
      <c r="AW7" s="3">
        <v>1615</v>
      </c>
      <c r="AX7" s="3">
        <v>2305</v>
      </c>
      <c r="AY7" s="3">
        <v>3907</v>
      </c>
      <c r="AZ7" s="3">
        <v>1917</v>
      </c>
      <c r="BA7" s="3">
        <v>1800</v>
      </c>
      <c r="BB7" s="44">
        <v>1300</v>
      </c>
      <c r="BC7" s="42">
        <f>248665/1000</f>
        <v>248.66499999999999</v>
      </c>
      <c r="BD7" s="42"/>
    </row>
    <row r="8" spans="1:56" s="5" customFormat="1" x14ac:dyDescent="0.25">
      <c r="A8" s="14"/>
      <c r="B8" s="6"/>
      <c r="C8" s="6" t="s">
        <v>8</v>
      </c>
      <c r="D8" s="7">
        <v>244</v>
      </c>
      <c r="E8" s="7">
        <v>299</v>
      </c>
      <c r="F8" s="7">
        <v>683</v>
      </c>
      <c r="G8" s="7">
        <v>689</v>
      </c>
      <c r="H8" s="7">
        <v>485</v>
      </c>
      <c r="I8" s="7">
        <v>492</v>
      </c>
      <c r="J8" s="7">
        <v>558</v>
      </c>
      <c r="K8" s="7">
        <v>887</v>
      </c>
      <c r="L8" s="7">
        <v>606</v>
      </c>
      <c r="M8" s="7">
        <v>393</v>
      </c>
      <c r="N8" s="7">
        <v>473</v>
      </c>
      <c r="O8" s="8">
        <v>1151</v>
      </c>
      <c r="P8" s="7">
        <v>822</v>
      </c>
      <c r="Q8" s="7">
        <v>196</v>
      </c>
      <c r="R8" s="8">
        <v>1060</v>
      </c>
      <c r="S8" s="7">
        <v>418</v>
      </c>
      <c r="T8" s="7">
        <v>65</v>
      </c>
      <c r="U8" s="7">
        <v>471</v>
      </c>
      <c r="V8" s="7">
        <v>246</v>
      </c>
      <c r="W8" s="8">
        <v>1177</v>
      </c>
      <c r="X8" s="8">
        <v>1489</v>
      </c>
      <c r="Y8" s="8">
        <v>1096</v>
      </c>
      <c r="Z8" s="8">
        <v>1272</v>
      </c>
      <c r="AA8" s="7">
        <v>377</v>
      </c>
      <c r="AB8" s="8">
        <v>1260</v>
      </c>
      <c r="AC8" s="8">
        <v>3146</v>
      </c>
      <c r="AD8" s="8">
        <v>2870</v>
      </c>
      <c r="AE8" s="8">
        <v>2358</v>
      </c>
      <c r="AF8" s="8">
        <v>3780</v>
      </c>
      <c r="AG8" s="8">
        <v>1371</v>
      </c>
      <c r="AH8" s="8">
        <v>1357</v>
      </c>
      <c r="AI8" s="8">
        <v>2059</v>
      </c>
      <c r="AJ8" s="8">
        <v>1175</v>
      </c>
      <c r="AK8" s="7">
        <v>318</v>
      </c>
      <c r="AL8" s="7">
        <v>148</v>
      </c>
      <c r="AM8" s="8">
        <v>1433</v>
      </c>
      <c r="AN8" s="7">
        <v>119</v>
      </c>
      <c r="AO8" s="7">
        <v>380</v>
      </c>
      <c r="AP8" s="7">
        <v>10</v>
      </c>
      <c r="AQ8" s="7">
        <v>415</v>
      </c>
      <c r="AR8" s="7">
        <v>582</v>
      </c>
      <c r="AS8" s="7">
        <v>180</v>
      </c>
      <c r="AT8" s="7">
        <v>231</v>
      </c>
      <c r="AU8" s="7">
        <v>170</v>
      </c>
      <c r="AV8" s="7">
        <v>558</v>
      </c>
      <c r="AW8" s="7">
        <v>288</v>
      </c>
      <c r="AX8" s="7">
        <v>217</v>
      </c>
      <c r="AY8" s="7">
        <v>269</v>
      </c>
      <c r="AZ8" s="7">
        <v>357</v>
      </c>
      <c r="BA8" s="7">
        <v>730</v>
      </c>
      <c r="BB8" s="47">
        <v>400</v>
      </c>
      <c r="BC8" s="43">
        <f>142378/1000</f>
        <v>142.37799999999999</v>
      </c>
      <c r="BD8" s="43"/>
    </row>
    <row r="9" spans="1:56" x14ac:dyDescent="0.25">
      <c r="A9" s="12"/>
      <c r="B9" s="2"/>
      <c r="C9" s="2" t="s">
        <v>9</v>
      </c>
      <c r="D9" s="3">
        <v>1118</v>
      </c>
      <c r="E9" s="3">
        <v>1128</v>
      </c>
      <c r="F9" s="3">
        <v>1176</v>
      </c>
      <c r="G9" s="3">
        <v>1255</v>
      </c>
      <c r="H9" s="3">
        <v>1301</v>
      </c>
      <c r="I9" s="3">
        <v>1305</v>
      </c>
      <c r="J9" s="3">
        <v>1545</v>
      </c>
      <c r="K9" s="3">
        <v>1548</v>
      </c>
      <c r="L9" s="3">
        <v>1826</v>
      </c>
      <c r="M9" s="3">
        <v>1981</v>
      </c>
      <c r="N9" s="3">
        <v>2030</v>
      </c>
      <c r="O9" s="3">
        <v>1986</v>
      </c>
      <c r="P9" s="3">
        <v>2382</v>
      </c>
      <c r="Q9" s="3">
        <v>2377</v>
      </c>
      <c r="R9" s="3">
        <v>1912</v>
      </c>
      <c r="S9" s="3">
        <v>2146</v>
      </c>
      <c r="T9" s="3">
        <v>1846</v>
      </c>
      <c r="U9" s="3">
        <v>1997</v>
      </c>
      <c r="V9" s="3">
        <v>1890</v>
      </c>
      <c r="W9" s="3">
        <v>2000</v>
      </c>
      <c r="X9" s="3">
        <v>2028</v>
      </c>
      <c r="Y9" s="3">
        <v>2329</v>
      </c>
      <c r="Z9" s="3">
        <v>2437</v>
      </c>
      <c r="AA9" s="3">
        <v>2174</v>
      </c>
      <c r="AB9" s="3">
        <v>2671</v>
      </c>
      <c r="AC9" s="3">
        <v>2524</v>
      </c>
      <c r="AD9" s="3">
        <v>3173</v>
      </c>
      <c r="AE9" s="3">
        <v>3810</v>
      </c>
      <c r="AF9" s="3">
        <v>3726</v>
      </c>
      <c r="AG9" s="3">
        <v>4880</v>
      </c>
      <c r="AH9" s="3">
        <v>5748</v>
      </c>
      <c r="AI9" s="3">
        <v>6582</v>
      </c>
      <c r="AJ9" s="3">
        <v>6734</v>
      </c>
      <c r="AK9" s="3">
        <v>6784</v>
      </c>
      <c r="AL9" s="3">
        <v>6800</v>
      </c>
      <c r="AM9" s="3">
        <v>7223</v>
      </c>
      <c r="AN9" s="3">
        <v>7023</v>
      </c>
      <c r="AO9" s="3">
        <v>7212</v>
      </c>
      <c r="AP9" s="3">
        <v>7025</v>
      </c>
      <c r="AQ9" s="3">
        <v>7675</v>
      </c>
      <c r="AR9" s="3">
        <v>8125</v>
      </c>
      <c r="AS9" s="3">
        <v>8525</v>
      </c>
      <c r="AT9" s="3">
        <v>9425</v>
      </c>
      <c r="AU9" s="3">
        <v>9625</v>
      </c>
      <c r="AV9" s="3">
        <v>10525</v>
      </c>
      <c r="AW9" s="3">
        <v>11525</v>
      </c>
      <c r="AX9" s="3">
        <v>12025</v>
      </c>
      <c r="AY9" s="3">
        <v>12025</v>
      </c>
      <c r="AZ9" s="3">
        <v>11275</v>
      </c>
      <c r="BA9" s="3">
        <v>10925</v>
      </c>
      <c r="BB9" s="44">
        <v>10525</v>
      </c>
      <c r="BC9" s="42">
        <f>BC6+BC7-BC8</f>
        <v>2418.2869999999998</v>
      </c>
      <c r="BD9" s="42"/>
    </row>
    <row r="10" spans="1:56" s="5" customFormat="1" x14ac:dyDescent="0.25">
      <c r="A10" s="14"/>
      <c r="B10" s="6" t="s">
        <v>11</v>
      </c>
      <c r="C10" s="6" t="s">
        <v>6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2</v>
      </c>
      <c r="Z10" s="7">
        <v>3</v>
      </c>
      <c r="AA10" s="7">
        <v>1</v>
      </c>
      <c r="AB10" s="7">
        <v>2</v>
      </c>
      <c r="AC10" s="7">
        <v>5</v>
      </c>
      <c r="AD10" s="7">
        <v>5</v>
      </c>
      <c r="AE10" s="7">
        <v>1</v>
      </c>
      <c r="AF10" s="7">
        <v>1</v>
      </c>
      <c r="AG10" s="7">
        <v>1</v>
      </c>
      <c r="AH10" s="7">
        <v>1</v>
      </c>
      <c r="AI10" s="7">
        <v>6</v>
      </c>
      <c r="AJ10" s="7">
        <v>10</v>
      </c>
      <c r="AK10" s="7">
        <v>14</v>
      </c>
      <c r="AL10" s="7">
        <v>14</v>
      </c>
      <c r="AM10" s="7">
        <v>7</v>
      </c>
      <c r="AN10" s="7">
        <v>3</v>
      </c>
      <c r="AO10" s="7">
        <v>7</v>
      </c>
      <c r="AP10" s="7">
        <v>8</v>
      </c>
      <c r="AQ10" s="7">
        <v>1</v>
      </c>
      <c r="AR10" s="7">
        <v>2</v>
      </c>
      <c r="AS10" s="7">
        <v>1</v>
      </c>
      <c r="AT10" s="7">
        <v>2</v>
      </c>
      <c r="AU10" s="7">
        <v>1</v>
      </c>
      <c r="AV10" s="7">
        <v>1</v>
      </c>
      <c r="AW10" s="7">
        <v>2</v>
      </c>
      <c r="AX10" s="7">
        <v>2</v>
      </c>
      <c r="AY10" s="7">
        <v>2</v>
      </c>
      <c r="AZ10" s="7">
        <v>2</v>
      </c>
      <c r="BA10" s="7">
        <v>2</v>
      </c>
      <c r="BB10" s="47">
        <v>2</v>
      </c>
      <c r="BC10" s="43">
        <f>89/1000</f>
        <v>8.8999999999999996E-2</v>
      </c>
      <c r="BD10" s="43">
        <f>17/1000</f>
        <v>1.7000000000000001E-2</v>
      </c>
    </row>
    <row r="11" spans="1:56" x14ac:dyDescent="0.25">
      <c r="A11" s="12"/>
      <c r="B11" s="2"/>
      <c r="C11" s="2" t="s">
        <v>7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  <c r="AG11" s="4">
        <v>0</v>
      </c>
      <c r="AH11" s="4">
        <v>0</v>
      </c>
      <c r="AI11" s="4">
        <v>0</v>
      </c>
      <c r="AJ11" s="4">
        <v>0</v>
      </c>
      <c r="AK11" s="4">
        <v>12</v>
      </c>
      <c r="AL11" s="4">
        <v>25</v>
      </c>
      <c r="AM11" s="4">
        <v>11</v>
      </c>
      <c r="AN11" s="4">
        <v>33</v>
      </c>
      <c r="AO11" s="4">
        <v>0</v>
      </c>
      <c r="AP11" s="4">
        <v>0</v>
      </c>
      <c r="AQ11" s="4">
        <v>50</v>
      </c>
      <c r="AR11" s="4">
        <v>162</v>
      </c>
      <c r="AS11" s="4">
        <v>301</v>
      </c>
      <c r="AT11" s="4">
        <v>87</v>
      </c>
      <c r="AU11" s="4">
        <v>79</v>
      </c>
      <c r="AV11" s="4">
        <v>0</v>
      </c>
      <c r="AW11" s="4">
        <v>12</v>
      </c>
      <c r="AX11" s="4">
        <v>42</v>
      </c>
      <c r="AY11" s="4">
        <v>0</v>
      </c>
      <c r="AZ11" s="4">
        <v>0</v>
      </c>
      <c r="BA11" s="4">
        <v>10</v>
      </c>
      <c r="BB11" s="44">
        <v>10</v>
      </c>
      <c r="BC11" s="42">
        <f>3/1000</f>
        <v>3.0000000000000001E-3</v>
      </c>
      <c r="BD11" s="42"/>
    </row>
    <row r="12" spans="1:56" s="5" customFormat="1" x14ac:dyDescent="0.25">
      <c r="A12" s="14"/>
      <c r="B12" s="6"/>
      <c r="C12" s="6" t="s">
        <v>9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2</v>
      </c>
      <c r="Z12" s="7">
        <v>3</v>
      </c>
      <c r="AA12" s="7">
        <v>1</v>
      </c>
      <c r="AB12" s="7">
        <v>2</v>
      </c>
      <c r="AC12" s="7">
        <v>5</v>
      </c>
      <c r="AD12" s="7">
        <v>5</v>
      </c>
      <c r="AE12" s="7">
        <v>1</v>
      </c>
      <c r="AF12" s="7">
        <v>1</v>
      </c>
      <c r="AG12" s="7">
        <v>1</v>
      </c>
      <c r="AH12" s="7">
        <v>1</v>
      </c>
      <c r="AI12" s="7">
        <v>6</v>
      </c>
      <c r="AJ12" s="7">
        <v>10</v>
      </c>
      <c r="AK12" s="7">
        <v>26</v>
      </c>
      <c r="AL12" s="7">
        <v>39</v>
      </c>
      <c r="AM12" s="7">
        <v>18</v>
      </c>
      <c r="AN12" s="7">
        <v>36</v>
      </c>
      <c r="AO12" s="7">
        <v>7</v>
      </c>
      <c r="AP12" s="7">
        <v>8</v>
      </c>
      <c r="AQ12" s="7">
        <v>51</v>
      </c>
      <c r="AR12" s="7">
        <v>164</v>
      </c>
      <c r="AS12" s="7">
        <v>302</v>
      </c>
      <c r="AT12" s="7">
        <v>89</v>
      </c>
      <c r="AU12" s="7">
        <v>80</v>
      </c>
      <c r="AV12" s="7">
        <v>1</v>
      </c>
      <c r="AW12" s="7">
        <v>14</v>
      </c>
      <c r="AX12" s="7">
        <v>32</v>
      </c>
      <c r="AY12" s="7">
        <v>14</v>
      </c>
      <c r="AZ12" s="7">
        <v>2</v>
      </c>
      <c r="BA12" s="7">
        <v>12</v>
      </c>
      <c r="BB12" s="47">
        <v>12</v>
      </c>
      <c r="BC12" s="43">
        <f>BC10+BC11</f>
        <v>9.1999999999999998E-2</v>
      </c>
      <c r="BD12" s="43"/>
    </row>
    <row r="13" spans="1:56" x14ac:dyDescent="0.25">
      <c r="A13" s="12"/>
      <c r="B13" s="2" t="s">
        <v>12</v>
      </c>
      <c r="C13" s="2" t="s">
        <v>6</v>
      </c>
      <c r="D13" s="3">
        <v>1030</v>
      </c>
      <c r="E13" s="3">
        <v>1127</v>
      </c>
      <c r="F13" s="3">
        <v>1096</v>
      </c>
      <c r="G13" s="3">
        <v>1192</v>
      </c>
      <c r="H13" s="3">
        <v>1351</v>
      </c>
      <c r="I13" s="3">
        <v>1317</v>
      </c>
      <c r="J13" s="3">
        <v>1365</v>
      </c>
      <c r="K13" s="3">
        <v>1499</v>
      </c>
      <c r="L13" s="3">
        <v>2032</v>
      </c>
      <c r="M13" s="3">
        <v>2401</v>
      </c>
      <c r="N13" s="3">
        <v>2200</v>
      </c>
      <c r="O13" s="3">
        <v>2226</v>
      </c>
      <c r="P13" s="3">
        <v>2288</v>
      </c>
      <c r="Q13" s="3">
        <v>2455</v>
      </c>
      <c r="R13" s="3">
        <v>2310</v>
      </c>
      <c r="S13" s="3">
        <v>2617</v>
      </c>
      <c r="T13" s="3">
        <v>2737</v>
      </c>
      <c r="U13" s="3">
        <v>2950</v>
      </c>
      <c r="V13" s="3">
        <v>3272</v>
      </c>
      <c r="W13" s="3">
        <v>3216</v>
      </c>
      <c r="X13" s="3">
        <v>3123</v>
      </c>
      <c r="Y13" s="3">
        <v>3430</v>
      </c>
      <c r="Z13" s="3">
        <v>3445</v>
      </c>
      <c r="AA13" s="3">
        <v>3339</v>
      </c>
      <c r="AB13" s="3">
        <v>3315</v>
      </c>
      <c r="AC13" s="3">
        <v>2919</v>
      </c>
      <c r="AD13" s="3">
        <v>3486</v>
      </c>
      <c r="AE13" s="3">
        <v>3241</v>
      </c>
      <c r="AF13" s="3">
        <v>3200</v>
      </c>
      <c r="AG13" s="3">
        <v>3220</v>
      </c>
      <c r="AH13" s="3">
        <v>3265</v>
      </c>
      <c r="AI13" s="3">
        <v>3243</v>
      </c>
      <c r="AJ13" s="3">
        <v>3116</v>
      </c>
      <c r="AK13" s="3">
        <v>3995</v>
      </c>
      <c r="AL13" s="3">
        <v>3447</v>
      </c>
      <c r="AM13" s="3">
        <v>3967</v>
      </c>
      <c r="AN13" s="3">
        <v>4307</v>
      </c>
      <c r="AO13" s="3">
        <v>4333</v>
      </c>
      <c r="AP13" s="3">
        <v>4674</v>
      </c>
      <c r="AQ13" s="3">
        <v>5156</v>
      </c>
      <c r="AR13" s="3">
        <v>4802</v>
      </c>
      <c r="AS13" s="3">
        <v>3882</v>
      </c>
      <c r="AT13" s="3">
        <v>4479</v>
      </c>
      <c r="AU13" s="3">
        <v>4848</v>
      </c>
      <c r="AV13" s="3">
        <v>5025</v>
      </c>
      <c r="AW13" s="3">
        <v>5547</v>
      </c>
      <c r="AX13" s="3">
        <v>5450</v>
      </c>
      <c r="AY13" s="3">
        <v>5700</v>
      </c>
      <c r="AZ13" s="3">
        <v>6900</v>
      </c>
      <c r="BA13" s="3">
        <v>6800</v>
      </c>
      <c r="BB13" s="44">
        <v>5000</v>
      </c>
      <c r="BC13" s="42">
        <f>6160400/1000</f>
        <v>6160.4</v>
      </c>
      <c r="BD13" s="42">
        <f>5535900/1000</f>
        <v>5535.9</v>
      </c>
    </row>
    <row r="14" spans="1:56" s="5" customFormat="1" x14ac:dyDescent="0.25">
      <c r="A14" s="14"/>
      <c r="B14" s="6"/>
      <c r="C14" s="6" t="s">
        <v>7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109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  <c r="AL14" s="7">
        <v>0</v>
      </c>
      <c r="AM14" s="7">
        <v>0</v>
      </c>
      <c r="AN14" s="7">
        <v>0</v>
      </c>
      <c r="AO14" s="7">
        <v>0</v>
      </c>
      <c r="AP14" s="7">
        <v>0</v>
      </c>
      <c r="AQ14" s="7">
        <v>0</v>
      </c>
      <c r="AR14" s="7">
        <v>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0</v>
      </c>
      <c r="AY14" s="7">
        <v>0</v>
      </c>
      <c r="AZ14" s="7">
        <v>0</v>
      </c>
      <c r="BA14" s="7">
        <v>0</v>
      </c>
      <c r="BB14" s="47">
        <v>0</v>
      </c>
      <c r="BC14" s="43">
        <f>21052/1000</f>
        <v>21.052</v>
      </c>
      <c r="BD14" s="43"/>
    </row>
    <row r="15" spans="1:56" x14ac:dyDescent="0.25">
      <c r="A15" s="12"/>
      <c r="B15" s="2"/>
      <c r="C15" s="2" t="s">
        <v>8</v>
      </c>
      <c r="D15" s="4">
        <v>49</v>
      </c>
      <c r="E15" s="4">
        <v>130</v>
      </c>
      <c r="F15" s="4">
        <v>136</v>
      </c>
      <c r="G15" s="4">
        <v>134</v>
      </c>
      <c r="H15" s="4">
        <v>184</v>
      </c>
      <c r="I15" s="4">
        <v>148</v>
      </c>
      <c r="J15" s="4">
        <v>182</v>
      </c>
      <c r="K15" s="4">
        <v>122</v>
      </c>
      <c r="L15" s="4">
        <v>140</v>
      </c>
      <c r="M15" s="4">
        <v>91</v>
      </c>
      <c r="N15" s="4">
        <v>182</v>
      </c>
      <c r="O15" s="4">
        <v>198</v>
      </c>
      <c r="P15" s="4">
        <v>789</v>
      </c>
      <c r="Q15" s="4">
        <v>505</v>
      </c>
      <c r="R15" s="4">
        <v>470</v>
      </c>
      <c r="S15" s="4">
        <v>763</v>
      </c>
      <c r="T15" s="4">
        <v>883</v>
      </c>
      <c r="U15" s="4">
        <v>810</v>
      </c>
      <c r="V15" s="3">
        <v>1015</v>
      </c>
      <c r="W15" s="3">
        <v>1086</v>
      </c>
      <c r="X15" s="3">
        <v>1163</v>
      </c>
      <c r="Y15" s="4">
        <v>840</v>
      </c>
      <c r="Z15" s="3">
        <v>1146</v>
      </c>
      <c r="AA15" s="3">
        <v>1172</v>
      </c>
      <c r="AB15" s="4">
        <v>836</v>
      </c>
      <c r="AC15" s="3">
        <v>1297</v>
      </c>
      <c r="AD15" s="3">
        <v>1300</v>
      </c>
      <c r="AE15" s="4">
        <v>999</v>
      </c>
      <c r="AF15" s="4">
        <v>792</v>
      </c>
      <c r="AG15" s="4">
        <v>749</v>
      </c>
      <c r="AH15" s="3">
        <v>1274</v>
      </c>
      <c r="AI15" s="3">
        <v>1419</v>
      </c>
      <c r="AJ15" s="4">
        <v>918</v>
      </c>
      <c r="AK15" s="3">
        <v>1232</v>
      </c>
      <c r="AL15" s="3">
        <v>1660</v>
      </c>
      <c r="AM15" s="3">
        <v>1632</v>
      </c>
      <c r="AN15" s="3">
        <v>1834</v>
      </c>
      <c r="AO15" s="3">
        <v>2099</v>
      </c>
      <c r="AP15" s="3">
        <v>1837</v>
      </c>
      <c r="AQ15" s="3">
        <v>2104</v>
      </c>
      <c r="AR15" s="3">
        <v>2429</v>
      </c>
      <c r="AS15" s="3">
        <v>1628</v>
      </c>
      <c r="AT15" s="3">
        <v>1992</v>
      </c>
      <c r="AU15" s="3">
        <v>1868</v>
      </c>
      <c r="AV15" s="3">
        <v>2801</v>
      </c>
      <c r="AW15" s="3">
        <v>3664</v>
      </c>
      <c r="AX15" s="3">
        <v>2839</v>
      </c>
      <c r="AY15" s="3">
        <v>2982</v>
      </c>
      <c r="AZ15" s="3">
        <v>2910</v>
      </c>
      <c r="BA15" s="3">
        <v>4000</v>
      </c>
      <c r="BB15" s="44">
        <v>2650</v>
      </c>
      <c r="BC15" s="42">
        <f>3412499/1000</f>
        <v>3412.4989999999998</v>
      </c>
      <c r="BD15" s="42"/>
    </row>
    <row r="16" spans="1:56" s="5" customFormat="1" x14ac:dyDescent="0.25">
      <c r="A16" s="14"/>
      <c r="B16" s="6"/>
      <c r="C16" s="6" t="s">
        <v>9</v>
      </c>
      <c r="D16" s="7">
        <v>981</v>
      </c>
      <c r="E16" s="7">
        <v>997</v>
      </c>
      <c r="F16" s="7">
        <v>960</v>
      </c>
      <c r="G16" s="8">
        <v>1058</v>
      </c>
      <c r="H16" s="8">
        <v>1167</v>
      </c>
      <c r="I16" s="8">
        <v>1169</v>
      </c>
      <c r="J16" s="8">
        <v>1183</v>
      </c>
      <c r="K16" s="8">
        <v>1377</v>
      </c>
      <c r="L16" s="8">
        <v>1892</v>
      </c>
      <c r="M16" s="8">
        <v>2310</v>
      </c>
      <c r="N16" s="8">
        <v>2018</v>
      </c>
      <c r="O16" s="8">
        <v>1986</v>
      </c>
      <c r="P16" s="8">
        <v>1813</v>
      </c>
      <c r="Q16" s="8">
        <v>1857</v>
      </c>
      <c r="R16" s="8">
        <v>1857</v>
      </c>
      <c r="S16" s="8">
        <v>1961</v>
      </c>
      <c r="T16" s="8">
        <v>1940</v>
      </c>
      <c r="U16" s="8">
        <v>1947</v>
      </c>
      <c r="V16" s="8">
        <v>2118</v>
      </c>
      <c r="W16" s="8">
        <v>2389</v>
      </c>
      <c r="X16" s="8">
        <v>1981</v>
      </c>
      <c r="Y16" s="8">
        <v>2379</v>
      </c>
      <c r="Z16" s="8">
        <v>2250</v>
      </c>
      <c r="AA16" s="8">
        <v>2120</v>
      </c>
      <c r="AB16" s="8">
        <v>2200</v>
      </c>
      <c r="AC16" s="8">
        <v>1857</v>
      </c>
      <c r="AD16" s="8">
        <v>2050</v>
      </c>
      <c r="AE16" s="8">
        <v>2139</v>
      </c>
      <c r="AF16" s="8">
        <v>2100</v>
      </c>
      <c r="AG16" s="8">
        <v>2250</v>
      </c>
      <c r="AH16" s="8">
        <v>2100</v>
      </c>
      <c r="AI16" s="8">
        <v>2150</v>
      </c>
      <c r="AJ16" s="8">
        <v>2250</v>
      </c>
      <c r="AK16" s="8">
        <v>2300</v>
      </c>
      <c r="AL16" s="8">
        <v>2400</v>
      </c>
      <c r="AM16" s="8">
        <v>2531</v>
      </c>
      <c r="AN16" s="8">
        <v>2550</v>
      </c>
      <c r="AO16" s="8">
        <v>2550</v>
      </c>
      <c r="AP16" s="8">
        <v>2575</v>
      </c>
      <c r="AQ16" s="8">
        <v>2600</v>
      </c>
      <c r="AR16" s="8">
        <v>2615</v>
      </c>
      <c r="AS16" s="8">
        <v>2540</v>
      </c>
      <c r="AT16" s="8">
        <v>2545</v>
      </c>
      <c r="AU16" s="8">
        <v>2595</v>
      </c>
      <c r="AV16" s="8">
        <v>2550</v>
      </c>
      <c r="AW16" s="8">
        <v>1896</v>
      </c>
      <c r="AX16" s="8">
        <v>2207</v>
      </c>
      <c r="AY16" s="8">
        <v>2718</v>
      </c>
      <c r="AZ16" s="8">
        <v>3490</v>
      </c>
      <c r="BA16" s="8">
        <v>2900</v>
      </c>
      <c r="BB16" s="8">
        <v>3000</v>
      </c>
      <c r="BC16" s="43">
        <f>BC13+BC14-BC15</f>
        <v>2768.9529999999995</v>
      </c>
      <c r="BD16" s="43"/>
    </row>
    <row r="17" spans="1:56" x14ac:dyDescent="0.25">
      <c r="A17" s="12"/>
      <c r="B17" s="2" t="s">
        <v>13</v>
      </c>
      <c r="C17" s="2" t="s">
        <v>6</v>
      </c>
      <c r="D17" s="4">
        <v>220</v>
      </c>
      <c r="E17" s="4">
        <v>248</v>
      </c>
      <c r="F17" s="4">
        <v>251</v>
      </c>
      <c r="G17" s="4">
        <v>238</v>
      </c>
      <c r="H17" s="4">
        <v>293</v>
      </c>
      <c r="I17" s="4">
        <v>274</v>
      </c>
      <c r="J17" s="4">
        <v>277</v>
      </c>
      <c r="K17" s="4">
        <v>291</v>
      </c>
      <c r="L17" s="4">
        <v>262</v>
      </c>
      <c r="M17" s="4">
        <v>304</v>
      </c>
      <c r="N17" s="4">
        <v>329</v>
      </c>
      <c r="O17" s="4">
        <v>312</v>
      </c>
      <c r="P17" s="4">
        <v>302</v>
      </c>
      <c r="Q17" s="4">
        <v>378</v>
      </c>
      <c r="R17" s="4">
        <v>265</v>
      </c>
      <c r="S17" s="4">
        <v>281</v>
      </c>
      <c r="T17" s="4">
        <v>261</v>
      </c>
      <c r="U17" s="4">
        <v>284</v>
      </c>
      <c r="V17" s="4">
        <v>252</v>
      </c>
      <c r="W17" s="4">
        <v>249</v>
      </c>
      <c r="X17" s="4">
        <v>230</v>
      </c>
      <c r="Y17" s="4">
        <v>225</v>
      </c>
      <c r="Z17" s="4">
        <v>222</v>
      </c>
      <c r="AA17" s="4">
        <v>222</v>
      </c>
      <c r="AB17" s="4">
        <v>230</v>
      </c>
      <c r="AC17" s="4">
        <v>218</v>
      </c>
      <c r="AD17" s="4">
        <v>235</v>
      </c>
      <c r="AE17" s="4">
        <v>181</v>
      </c>
      <c r="AF17" s="4">
        <v>248</v>
      </c>
      <c r="AG17" s="4">
        <v>262</v>
      </c>
      <c r="AH17" s="4">
        <v>239</v>
      </c>
      <c r="AI17" s="4">
        <v>225</v>
      </c>
      <c r="AJ17" s="4">
        <v>238</v>
      </c>
      <c r="AK17" s="4">
        <v>212</v>
      </c>
      <c r="AL17" s="4">
        <v>234</v>
      </c>
      <c r="AM17" s="4">
        <v>255</v>
      </c>
      <c r="AN17" s="4">
        <v>219</v>
      </c>
      <c r="AO17" s="4">
        <v>231</v>
      </c>
      <c r="AP17" s="4">
        <v>228</v>
      </c>
      <c r="AQ17" s="4">
        <v>220</v>
      </c>
      <c r="AR17" s="4">
        <v>219</v>
      </c>
      <c r="AS17" s="4">
        <v>222</v>
      </c>
      <c r="AT17" s="4">
        <v>203</v>
      </c>
      <c r="AU17" s="4">
        <v>238</v>
      </c>
      <c r="AV17" s="4">
        <v>186</v>
      </c>
      <c r="AW17" s="4">
        <v>153</v>
      </c>
      <c r="AX17" s="4">
        <v>155</v>
      </c>
      <c r="AY17" s="4">
        <v>151</v>
      </c>
      <c r="AZ17" s="4">
        <v>145</v>
      </c>
      <c r="BA17" s="4">
        <v>145</v>
      </c>
      <c r="BB17" s="4">
        <v>145</v>
      </c>
      <c r="BC17" s="42">
        <f>137000/1000</f>
        <v>137</v>
      </c>
      <c r="BD17" s="42">
        <f>122700/1000</f>
        <v>122.7</v>
      </c>
    </row>
    <row r="18" spans="1:56" s="5" customFormat="1" x14ac:dyDescent="0.25">
      <c r="A18" s="14"/>
      <c r="B18" s="6"/>
      <c r="C18" s="6" t="s">
        <v>7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19</v>
      </c>
      <c r="L18" s="7">
        <v>0</v>
      </c>
      <c r="M18" s="7">
        <v>3</v>
      </c>
      <c r="N18" s="7">
        <v>0</v>
      </c>
      <c r="O18" s="7">
        <v>1</v>
      </c>
      <c r="P18" s="7">
        <v>0</v>
      </c>
      <c r="Q18" s="7">
        <v>40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7">
        <v>0</v>
      </c>
      <c r="AT18" s="7">
        <v>1</v>
      </c>
      <c r="AU18" s="7">
        <v>0</v>
      </c>
      <c r="AV18" s="7">
        <v>1</v>
      </c>
      <c r="AW18" s="7">
        <v>0</v>
      </c>
      <c r="AX18" s="7">
        <v>3</v>
      </c>
      <c r="AY18" s="7">
        <v>2</v>
      </c>
      <c r="AZ18" s="7">
        <v>4</v>
      </c>
      <c r="BA18" s="7">
        <v>0</v>
      </c>
      <c r="BB18" s="7">
        <v>0</v>
      </c>
      <c r="BC18" s="43">
        <f>389/1000</f>
        <v>0.38900000000000001</v>
      </c>
      <c r="BD18" s="43"/>
    </row>
    <row r="19" spans="1:56" x14ac:dyDescent="0.25">
      <c r="A19" s="12"/>
      <c r="B19" s="2"/>
      <c r="C19" s="2" t="s">
        <v>8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5</v>
      </c>
      <c r="L19" s="4">
        <v>5</v>
      </c>
      <c r="M19" s="4">
        <v>5</v>
      </c>
      <c r="N19" s="4">
        <v>8</v>
      </c>
      <c r="O19" s="4">
        <v>10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0</v>
      </c>
      <c r="AT19" s="4">
        <v>0</v>
      </c>
      <c r="AU19" s="4">
        <v>0</v>
      </c>
      <c r="AV19" s="4">
        <v>0</v>
      </c>
      <c r="AW19" s="4">
        <v>0</v>
      </c>
      <c r="AX19" s="4">
        <v>0</v>
      </c>
      <c r="AY19" s="4">
        <v>0</v>
      </c>
      <c r="AZ19" s="4">
        <v>0</v>
      </c>
      <c r="BA19" s="4">
        <v>0</v>
      </c>
      <c r="BB19" s="4">
        <v>0</v>
      </c>
      <c r="BC19" s="42">
        <f>0</f>
        <v>0</v>
      </c>
      <c r="BD19" s="42"/>
    </row>
    <row r="20" spans="1:56" s="5" customFormat="1" x14ac:dyDescent="0.25">
      <c r="A20" s="14"/>
      <c r="B20" s="6"/>
      <c r="C20" s="6" t="s">
        <v>9</v>
      </c>
      <c r="D20" s="7">
        <v>220</v>
      </c>
      <c r="E20" s="7">
        <v>248</v>
      </c>
      <c r="F20" s="7">
        <v>251</v>
      </c>
      <c r="G20" s="7">
        <v>238</v>
      </c>
      <c r="H20" s="7">
        <v>293</v>
      </c>
      <c r="I20" s="7">
        <v>274</v>
      </c>
      <c r="J20" s="7">
        <v>277</v>
      </c>
      <c r="K20" s="7">
        <v>305</v>
      </c>
      <c r="L20" s="7">
        <v>257</v>
      </c>
      <c r="M20" s="7">
        <v>302</v>
      </c>
      <c r="N20" s="7">
        <v>298</v>
      </c>
      <c r="O20" s="7">
        <v>305</v>
      </c>
      <c r="P20" s="7">
        <v>298</v>
      </c>
      <c r="Q20" s="7">
        <v>391</v>
      </c>
      <c r="R20" s="7">
        <v>298</v>
      </c>
      <c r="S20" s="7">
        <v>300</v>
      </c>
      <c r="T20" s="7">
        <v>261</v>
      </c>
      <c r="U20" s="7">
        <v>284</v>
      </c>
      <c r="V20" s="7">
        <v>252</v>
      </c>
      <c r="W20" s="7">
        <v>249</v>
      </c>
      <c r="X20" s="7">
        <v>230</v>
      </c>
      <c r="Y20" s="7">
        <v>225</v>
      </c>
      <c r="Z20" s="7">
        <v>222</v>
      </c>
      <c r="AA20" s="7">
        <v>222</v>
      </c>
      <c r="AB20" s="7">
        <v>230</v>
      </c>
      <c r="AC20" s="7">
        <v>218</v>
      </c>
      <c r="AD20" s="7">
        <v>235</v>
      </c>
      <c r="AE20" s="7">
        <v>181</v>
      </c>
      <c r="AF20" s="7">
        <v>248</v>
      </c>
      <c r="AG20" s="7">
        <v>262</v>
      </c>
      <c r="AH20" s="7">
        <v>239</v>
      </c>
      <c r="AI20" s="7">
        <v>225</v>
      </c>
      <c r="AJ20" s="7">
        <v>238</v>
      </c>
      <c r="AK20" s="7">
        <v>212</v>
      </c>
      <c r="AL20" s="7">
        <v>234</v>
      </c>
      <c r="AM20" s="7">
        <v>255</v>
      </c>
      <c r="AN20" s="7">
        <v>219</v>
      </c>
      <c r="AO20" s="7">
        <v>231</v>
      </c>
      <c r="AP20" s="7">
        <v>228</v>
      </c>
      <c r="AQ20" s="7">
        <v>220</v>
      </c>
      <c r="AR20" s="7">
        <v>219</v>
      </c>
      <c r="AS20" s="7">
        <v>222</v>
      </c>
      <c r="AT20" s="7">
        <v>204</v>
      </c>
      <c r="AU20" s="7">
        <v>238</v>
      </c>
      <c r="AV20" s="7">
        <v>187</v>
      </c>
      <c r="AW20" s="7">
        <v>153</v>
      </c>
      <c r="AX20" s="7">
        <v>158</v>
      </c>
      <c r="AY20" s="7">
        <v>153</v>
      </c>
      <c r="AZ20" s="7">
        <v>149</v>
      </c>
      <c r="BA20" s="7">
        <v>145</v>
      </c>
      <c r="BB20" s="7">
        <v>145</v>
      </c>
      <c r="BC20" s="43">
        <f>BC17+BC18-BC19</f>
        <v>137.38900000000001</v>
      </c>
      <c r="BD20" s="43"/>
    </row>
    <row r="21" spans="1:56" x14ac:dyDescent="0.25">
      <c r="A21" s="14"/>
      <c r="B21" s="6" t="s">
        <v>14</v>
      </c>
      <c r="C21" s="6" t="s">
        <v>42</v>
      </c>
      <c r="D21" s="47">
        <f>11640000/1000</f>
        <v>11640</v>
      </c>
      <c r="E21" s="47">
        <f>14356700/1000</f>
        <v>14356.7</v>
      </c>
      <c r="F21" s="47">
        <f>18438000/1000</f>
        <v>18438</v>
      </c>
      <c r="G21" s="47">
        <f>161390000/1000</f>
        <v>161390</v>
      </c>
      <c r="H21" s="47">
        <f>18667008/1000</f>
        <v>18667.008000000002</v>
      </c>
      <c r="I21" s="47">
        <f>22309408/1000</f>
        <v>22309.407999999999</v>
      </c>
      <c r="J21" s="47">
        <f>21982208/1000</f>
        <v>21982.207999999999</v>
      </c>
      <c r="K21" s="47">
        <f>18659008/1000</f>
        <v>18659.008000000002</v>
      </c>
      <c r="L21" s="47">
        <f>21971008/1000</f>
        <v>21971.008000000002</v>
      </c>
      <c r="M21" s="47">
        <f>26369504/1000</f>
        <v>26369.504000000001</v>
      </c>
      <c r="N21" s="47">
        <f>23167008/1000</f>
        <v>23167.008000000002</v>
      </c>
      <c r="O21" s="47">
        <f>19963408/1000</f>
        <v>19963.407999999999</v>
      </c>
      <c r="P21" s="47">
        <f>19947104/1000</f>
        <v>19947.103999999999</v>
      </c>
      <c r="Q21" s="47">
        <f>23910496/1000</f>
        <v>23910.495999999999</v>
      </c>
      <c r="R21" s="47">
        <f>21242000/1000</f>
        <v>21242</v>
      </c>
      <c r="S21" s="47">
        <f>25546640/1000</f>
        <v>25546.639999999999</v>
      </c>
      <c r="T21" s="47">
        <f>29522960/1000</f>
        <v>29522.959999999999</v>
      </c>
      <c r="U21" s="47">
        <f>30076608/1000</f>
        <v>30076.608</v>
      </c>
      <c r="V21" s="47">
        <f>27325504/1000</f>
        <v>27325.504000000001</v>
      </c>
      <c r="W21" s="47">
        <f>27497696/1000</f>
        <v>27497.696</v>
      </c>
      <c r="X21" s="47">
        <f>32359408/1000</f>
        <v>32359.407999999999</v>
      </c>
      <c r="Y21" s="47">
        <f>36579696/1000</f>
        <v>36579.696000000004</v>
      </c>
      <c r="Z21" s="47">
        <f>32533504/1000</f>
        <v>32533.504000000001</v>
      </c>
      <c r="AA21" s="47">
        <f>34287296/1000</f>
        <v>34287.296000000002</v>
      </c>
      <c r="AB21" s="47">
        <f>32139600/1000</f>
        <v>32139.599999999999</v>
      </c>
      <c r="AC21" s="47">
        <f>27856304/1000</f>
        <v>27856.304</v>
      </c>
      <c r="AD21" s="47">
        <f>43608000/1000</f>
        <v>43608</v>
      </c>
      <c r="AE21" s="47">
        <f>33028800/1000</f>
        <v>33028.800000000003</v>
      </c>
      <c r="AF21" s="47">
        <f>36975696/1000</f>
        <v>36975.696000000004</v>
      </c>
      <c r="AG21" s="47">
        <f>35493600/1000</f>
        <v>35493.599999999999</v>
      </c>
      <c r="AH21" s="47">
        <f>35988704/1000</f>
        <v>35988.703999999998</v>
      </c>
      <c r="AI21" s="47">
        <f>38864896/1000</f>
        <v>38864.896000000001</v>
      </c>
      <c r="AJ21" s="47">
        <f>38058896/1000</f>
        <v>38058.896000000001</v>
      </c>
      <c r="AK21" s="47">
        <f>44427000/1000</f>
        <v>44427</v>
      </c>
      <c r="AL21" s="47">
        <f>47168400/1000</f>
        <v>47168.4</v>
      </c>
      <c r="AM21" s="47">
        <f>45229700/1000</f>
        <v>45229.7</v>
      </c>
      <c r="AN21" s="47">
        <f>41998400/1000</f>
        <v>41998.400000000001</v>
      </c>
      <c r="AO21" s="47">
        <f>53104200/1000</f>
        <v>53104.2</v>
      </c>
      <c r="AP21" s="47">
        <f>55191100/1000</f>
        <v>55191.1</v>
      </c>
      <c r="AQ21" s="47">
        <f>46332600/1000</f>
        <v>46332.6</v>
      </c>
      <c r="AR21" s="47">
        <f>43606300/1000</f>
        <v>43606.3</v>
      </c>
      <c r="AS21" s="47">
        <f>48041600/1000</f>
        <v>48041.599999999999</v>
      </c>
      <c r="AT21" s="47">
        <f>52055800/1000</f>
        <v>52055.8</v>
      </c>
      <c r="AU21" s="47">
        <f>53820000/1000</f>
        <v>53820</v>
      </c>
      <c r="AV21" s="47">
        <f>47244100/1000</f>
        <v>47244.1</v>
      </c>
      <c r="AW21" s="47">
        <f>44665500/1000</f>
        <v>44665.5</v>
      </c>
      <c r="AX21" s="47">
        <f>54741600/1000</f>
        <v>54741.599999999999</v>
      </c>
      <c r="AY21" s="47">
        <f>63920000/1000</f>
        <v>63920</v>
      </c>
      <c r="AZ21" s="47">
        <f>50045400/1000</f>
        <v>50045.4</v>
      </c>
      <c r="BA21" s="47">
        <f>43972900/1000</f>
        <v>43972.9</v>
      </c>
      <c r="BB21" s="48">
        <f>55308500/1000</f>
        <v>55308.5</v>
      </c>
      <c r="BC21" s="42">
        <f>58397000/1000</f>
        <v>58397</v>
      </c>
      <c r="BD21" s="42">
        <f>63749900/1000</f>
        <v>63749.9</v>
      </c>
    </row>
    <row r="22" spans="1:56" s="5" customFormat="1" x14ac:dyDescent="0.25">
      <c r="A22" s="14"/>
      <c r="B22" s="2"/>
      <c r="C22" s="2" t="s">
        <v>45</v>
      </c>
      <c r="D22" s="44">
        <v>0</v>
      </c>
      <c r="E22" s="44">
        <v>0</v>
      </c>
      <c r="F22" s="44">
        <v>0</v>
      </c>
      <c r="G22" s="44">
        <v>0</v>
      </c>
      <c r="H22" s="44">
        <v>0</v>
      </c>
      <c r="I22" s="44">
        <v>0</v>
      </c>
      <c r="J22" s="44">
        <v>0</v>
      </c>
      <c r="K22" s="44">
        <v>0</v>
      </c>
      <c r="L22" s="44">
        <v>0</v>
      </c>
      <c r="M22" s="44">
        <v>0</v>
      </c>
      <c r="N22" s="44">
        <v>0</v>
      </c>
      <c r="O22" s="44">
        <v>0</v>
      </c>
      <c r="P22" s="44">
        <v>0</v>
      </c>
      <c r="Q22" s="44">
        <v>0</v>
      </c>
      <c r="R22" s="44">
        <v>57</v>
      </c>
      <c r="S22" s="44">
        <v>0</v>
      </c>
      <c r="T22" s="44">
        <v>0</v>
      </c>
      <c r="U22" s="44">
        <v>0</v>
      </c>
      <c r="V22" s="44">
        <v>0</v>
      </c>
      <c r="W22" s="44">
        <v>234</v>
      </c>
      <c r="X22" s="44">
        <v>10</v>
      </c>
      <c r="Y22" s="44">
        <v>2</v>
      </c>
      <c r="Z22" s="44">
        <v>5</v>
      </c>
      <c r="AA22" s="44">
        <v>0</v>
      </c>
      <c r="AB22" s="44">
        <v>0</v>
      </c>
      <c r="AC22" s="44">
        <v>424</v>
      </c>
      <c r="AD22" s="44">
        <v>576</v>
      </c>
      <c r="AE22" s="44">
        <v>207</v>
      </c>
      <c r="AF22" s="44">
        <v>94</v>
      </c>
      <c r="AG22" s="44">
        <v>402</v>
      </c>
      <c r="AH22" s="44">
        <v>328</v>
      </c>
      <c r="AI22" s="44">
        <v>153</v>
      </c>
      <c r="AJ22" s="44">
        <v>86</v>
      </c>
      <c r="AK22" s="44">
        <v>9</v>
      </c>
      <c r="AL22" s="44">
        <v>4</v>
      </c>
      <c r="AM22" s="44">
        <v>771</v>
      </c>
      <c r="AN22" s="44">
        <v>21</v>
      </c>
      <c r="AO22" s="44">
        <v>21</v>
      </c>
      <c r="AP22" s="44">
        <v>8</v>
      </c>
      <c r="AQ22" s="44">
        <v>550</v>
      </c>
      <c r="AR22" s="44">
        <v>1100</v>
      </c>
      <c r="AS22" s="44">
        <v>32</v>
      </c>
      <c r="AT22" s="44">
        <v>0</v>
      </c>
      <c r="AU22" s="44">
        <v>0</v>
      </c>
      <c r="AV22" s="44">
        <v>825</v>
      </c>
      <c r="AW22" s="44">
        <v>1532</v>
      </c>
      <c r="AX22" s="44">
        <v>200</v>
      </c>
      <c r="AY22" s="44">
        <v>110</v>
      </c>
      <c r="AZ22" s="44">
        <v>125</v>
      </c>
      <c r="BA22" s="44">
        <v>1030</v>
      </c>
      <c r="BB22" s="45">
        <v>1200</v>
      </c>
      <c r="BC22" s="43">
        <f>61/1000</f>
        <v>6.0999999999999999E-2</v>
      </c>
      <c r="BD22" s="43"/>
    </row>
    <row r="23" spans="1:56" x14ac:dyDescent="0.25">
      <c r="A23" s="14"/>
      <c r="B23" s="6"/>
      <c r="C23" s="6" t="s">
        <v>44</v>
      </c>
      <c r="D23" s="47">
        <v>0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v>0</v>
      </c>
      <c r="P23" s="47">
        <v>0</v>
      </c>
      <c r="Q23" s="47">
        <v>0</v>
      </c>
      <c r="R23" s="47">
        <v>0</v>
      </c>
      <c r="S23" s="47">
        <v>0</v>
      </c>
      <c r="T23" s="47">
        <v>0</v>
      </c>
      <c r="U23" s="47">
        <v>0</v>
      </c>
      <c r="V23" s="47">
        <v>0</v>
      </c>
      <c r="W23" s="47">
        <v>0</v>
      </c>
      <c r="X23" s="47">
        <v>0</v>
      </c>
      <c r="Y23" s="47">
        <v>0</v>
      </c>
      <c r="Z23" s="47">
        <v>0</v>
      </c>
      <c r="AA23" s="47">
        <v>50</v>
      </c>
      <c r="AB23" s="47">
        <v>15</v>
      </c>
      <c r="AC23" s="47">
        <v>0</v>
      </c>
      <c r="AD23" s="47">
        <v>0</v>
      </c>
      <c r="AE23" s="47">
        <v>0</v>
      </c>
      <c r="AF23" s="47">
        <v>51</v>
      </c>
      <c r="AG23" s="47">
        <v>0</v>
      </c>
      <c r="AH23" s="47">
        <v>0</v>
      </c>
      <c r="AI23" s="47">
        <v>0</v>
      </c>
      <c r="AJ23" s="47">
        <v>0</v>
      </c>
      <c r="AK23" s="47">
        <v>174</v>
      </c>
      <c r="AL23" s="47">
        <v>349</v>
      </c>
      <c r="AM23" s="47">
        <v>0</v>
      </c>
      <c r="AN23" s="47">
        <v>620</v>
      </c>
      <c r="AO23" s="47">
        <v>628</v>
      </c>
      <c r="AP23" s="47">
        <v>540</v>
      </c>
      <c r="AQ23" s="47">
        <v>0</v>
      </c>
      <c r="AR23" s="47">
        <v>0</v>
      </c>
      <c r="AS23" s="47">
        <v>0</v>
      </c>
      <c r="AT23" s="47">
        <v>107</v>
      </c>
      <c r="AU23" s="47">
        <v>214</v>
      </c>
      <c r="AV23" s="47">
        <v>0</v>
      </c>
      <c r="AW23" s="47">
        <v>61</v>
      </c>
      <c r="AX23" s="47">
        <v>65</v>
      </c>
      <c r="AY23" s="47">
        <v>70</v>
      </c>
      <c r="AZ23" s="47">
        <v>75</v>
      </c>
      <c r="BA23" s="47">
        <v>70</v>
      </c>
      <c r="BB23" s="48">
        <v>70</v>
      </c>
      <c r="BC23" s="42">
        <f>4392/1000</f>
        <v>4.3920000000000003</v>
      </c>
      <c r="BD23" s="42"/>
    </row>
    <row r="24" spans="1:56" s="5" customFormat="1" ht="30" x14ac:dyDescent="0.25">
      <c r="A24" s="14"/>
      <c r="B24" s="2"/>
      <c r="C24" s="2" t="s">
        <v>43</v>
      </c>
      <c r="D24" s="44">
        <f>D21+D22-D23</f>
        <v>11640</v>
      </c>
      <c r="E24" s="44">
        <f t="shared" ref="E24:BC24" si="0">E21+E22-E23</f>
        <v>14356.7</v>
      </c>
      <c r="F24" s="44">
        <f t="shared" si="0"/>
        <v>18438</v>
      </c>
      <c r="G24" s="44">
        <f t="shared" si="0"/>
        <v>161390</v>
      </c>
      <c r="H24" s="44">
        <f t="shared" si="0"/>
        <v>18667.008000000002</v>
      </c>
      <c r="I24" s="44">
        <f t="shared" si="0"/>
        <v>22309.407999999999</v>
      </c>
      <c r="J24" s="44">
        <f t="shared" si="0"/>
        <v>21982.207999999999</v>
      </c>
      <c r="K24" s="44">
        <f t="shared" si="0"/>
        <v>18659.008000000002</v>
      </c>
      <c r="L24" s="44">
        <f t="shared" si="0"/>
        <v>21971.008000000002</v>
      </c>
      <c r="M24" s="44">
        <f t="shared" si="0"/>
        <v>26369.504000000001</v>
      </c>
      <c r="N24" s="44">
        <f t="shared" si="0"/>
        <v>23167.008000000002</v>
      </c>
      <c r="O24" s="44">
        <f t="shared" si="0"/>
        <v>19963.407999999999</v>
      </c>
      <c r="P24" s="44">
        <f t="shared" si="0"/>
        <v>19947.103999999999</v>
      </c>
      <c r="Q24" s="44">
        <f t="shared" si="0"/>
        <v>23910.495999999999</v>
      </c>
      <c r="R24" s="44">
        <f t="shared" si="0"/>
        <v>21299</v>
      </c>
      <c r="S24" s="44">
        <f t="shared" si="0"/>
        <v>25546.639999999999</v>
      </c>
      <c r="T24" s="44">
        <f t="shared" si="0"/>
        <v>29522.959999999999</v>
      </c>
      <c r="U24" s="44">
        <f t="shared" si="0"/>
        <v>30076.608</v>
      </c>
      <c r="V24" s="44">
        <f t="shared" si="0"/>
        <v>27325.504000000001</v>
      </c>
      <c r="W24" s="44">
        <f t="shared" si="0"/>
        <v>27731.696</v>
      </c>
      <c r="X24" s="44">
        <f t="shared" si="0"/>
        <v>32369.407999999999</v>
      </c>
      <c r="Y24" s="44">
        <f t="shared" si="0"/>
        <v>36581.696000000004</v>
      </c>
      <c r="Z24" s="44">
        <f t="shared" si="0"/>
        <v>32538.504000000001</v>
      </c>
      <c r="AA24" s="44">
        <f t="shared" si="0"/>
        <v>34237.296000000002</v>
      </c>
      <c r="AB24" s="44">
        <f t="shared" si="0"/>
        <v>32124.6</v>
      </c>
      <c r="AC24" s="44">
        <f t="shared" si="0"/>
        <v>28280.304</v>
      </c>
      <c r="AD24" s="44">
        <f t="shared" si="0"/>
        <v>44184</v>
      </c>
      <c r="AE24" s="44">
        <f t="shared" si="0"/>
        <v>33235.800000000003</v>
      </c>
      <c r="AF24" s="44">
        <f t="shared" si="0"/>
        <v>37018.696000000004</v>
      </c>
      <c r="AG24" s="44">
        <f t="shared" si="0"/>
        <v>35895.599999999999</v>
      </c>
      <c r="AH24" s="44">
        <f t="shared" si="0"/>
        <v>36316.703999999998</v>
      </c>
      <c r="AI24" s="44">
        <f t="shared" si="0"/>
        <v>39017.896000000001</v>
      </c>
      <c r="AJ24" s="44">
        <f t="shared" si="0"/>
        <v>38144.896000000001</v>
      </c>
      <c r="AK24" s="44">
        <f t="shared" si="0"/>
        <v>44262</v>
      </c>
      <c r="AL24" s="44">
        <f t="shared" si="0"/>
        <v>46823.4</v>
      </c>
      <c r="AM24" s="44">
        <f t="shared" si="0"/>
        <v>46000.7</v>
      </c>
      <c r="AN24" s="44">
        <f t="shared" si="0"/>
        <v>41399.4</v>
      </c>
      <c r="AO24" s="44">
        <f t="shared" si="0"/>
        <v>52497.2</v>
      </c>
      <c r="AP24" s="44">
        <f t="shared" si="0"/>
        <v>54659.1</v>
      </c>
      <c r="AQ24" s="44">
        <f t="shared" si="0"/>
        <v>46882.6</v>
      </c>
      <c r="AR24" s="44">
        <f t="shared" si="0"/>
        <v>44706.3</v>
      </c>
      <c r="AS24" s="44">
        <f t="shared" si="0"/>
        <v>48073.599999999999</v>
      </c>
      <c r="AT24" s="44">
        <f t="shared" si="0"/>
        <v>51948.800000000003</v>
      </c>
      <c r="AU24" s="44">
        <f t="shared" si="0"/>
        <v>53606</v>
      </c>
      <c r="AV24" s="44">
        <f t="shared" si="0"/>
        <v>48069.1</v>
      </c>
      <c r="AW24" s="44">
        <f t="shared" si="0"/>
        <v>46136.5</v>
      </c>
      <c r="AX24" s="44">
        <f t="shared" si="0"/>
        <v>54876.6</v>
      </c>
      <c r="AY24" s="44">
        <f t="shared" si="0"/>
        <v>63960</v>
      </c>
      <c r="AZ24" s="44">
        <f t="shared" si="0"/>
        <v>50095.4</v>
      </c>
      <c r="BA24" s="44">
        <f t="shared" si="0"/>
        <v>44932.9</v>
      </c>
      <c r="BB24" s="44">
        <f t="shared" si="0"/>
        <v>56438.5</v>
      </c>
      <c r="BC24" s="44">
        <f t="shared" si="0"/>
        <v>58392.669000000002</v>
      </c>
      <c r="BD24" s="43"/>
    </row>
    <row r="25" spans="1:56" s="5" customFormat="1" x14ac:dyDescent="0.25">
      <c r="A25" s="14"/>
      <c r="B25" s="6" t="s">
        <v>15</v>
      </c>
      <c r="C25" s="6" t="s">
        <v>6</v>
      </c>
      <c r="D25" s="8">
        <v>3909</v>
      </c>
      <c r="E25" s="8">
        <v>3814</v>
      </c>
      <c r="F25" s="8">
        <v>4027</v>
      </c>
      <c r="G25" s="8">
        <v>4170</v>
      </c>
      <c r="H25" s="8">
        <v>4162</v>
      </c>
      <c r="I25" s="8">
        <v>4591</v>
      </c>
      <c r="J25" s="8">
        <v>3916</v>
      </c>
      <c r="K25" s="8">
        <v>4334</v>
      </c>
      <c r="L25" s="8">
        <v>6418</v>
      </c>
      <c r="M25" s="8">
        <v>6618</v>
      </c>
      <c r="N25" s="8">
        <v>7294</v>
      </c>
      <c r="O25" s="8">
        <v>6476</v>
      </c>
      <c r="P25" s="8">
        <v>6890</v>
      </c>
      <c r="Q25" s="8">
        <v>7800</v>
      </c>
      <c r="R25" s="8">
        <v>7800</v>
      </c>
      <c r="S25" s="8">
        <v>7674</v>
      </c>
      <c r="T25" s="8">
        <v>8690</v>
      </c>
      <c r="U25" s="8">
        <v>9143</v>
      </c>
      <c r="V25" s="8">
        <v>8367</v>
      </c>
      <c r="W25" s="8">
        <v>9950</v>
      </c>
      <c r="X25" s="8">
        <v>10857</v>
      </c>
      <c r="Y25" s="8">
        <v>11473</v>
      </c>
      <c r="Z25" s="8">
        <v>11304</v>
      </c>
      <c r="AA25" s="8">
        <v>12414</v>
      </c>
      <c r="AB25" s="8">
        <v>10882</v>
      </c>
      <c r="AC25" s="8">
        <v>11703</v>
      </c>
      <c r="AD25" s="8">
        <v>13922</v>
      </c>
      <c r="AE25" s="8">
        <v>12020</v>
      </c>
      <c r="AF25" s="8">
        <v>12675</v>
      </c>
      <c r="AG25" s="8">
        <v>14419</v>
      </c>
      <c r="AH25" s="8">
        <v>14429</v>
      </c>
      <c r="AI25" s="8">
        <v>14565</v>
      </c>
      <c r="AJ25" s="8">
        <v>15684</v>
      </c>
      <c r="AK25" s="8">
        <v>16157</v>
      </c>
      <c r="AL25" s="8">
        <v>15212</v>
      </c>
      <c r="AM25" s="8">
        <v>17002</v>
      </c>
      <c r="AN25" s="8">
        <v>16907</v>
      </c>
      <c r="AO25" s="8">
        <v>16651</v>
      </c>
      <c r="AP25" s="8">
        <v>18694</v>
      </c>
      <c r="AQ25" s="8">
        <v>17858</v>
      </c>
      <c r="AR25" s="8">
        <v>21079</v>
      </c>
      <c r="AS25" s="8">
        <v>19024</v>
      </c>
      <c r="AT25" s="8">
        <v>18227</v>
      </c>
      <c r="AU25" s="8">
        <v>19183</v>
      </c>
      <c r="AV25" s="8">
        <v>19500</v>
      </c>
      <c r="AW25" s="8">
        <v>21612</v>
      </c>
      <c r="AX25" s="8">
        <v>21277</v>
      </c>
      <c r="AY25" s="8">
        <v>23295</v>
      </c>
      <c r="AZ25" s="8">
        <v>20959</v>
      </c>
      <c r="BA25" s="8">
        <v>24033</v>
      </c>
      <c r="BB25" s="8">
        <v>23900</v>
      </c>
      <c r="BC25" s="43">
        <f>25213800/1000</f>
        <v>25213.8</v>
      </c>
      <c r="BD25" s="43">
        <f>23473400/1000</f>
        <v>23473.4</v>
      </c>
    </row>
    <row r="26" spans="1:56" x14ac:dyDescent="0.25">
      <c r="A26" s="12"/>
      <c r="B26" s="2"/>
      <c r="C26" s="2" t="s">
        <v>7</v>
      </c>
      <c r="D26" s="3">
        <v>1026</v>
      </c>
      <c r="E26" s="3">
        <v>1143</v>
      </c>
      <c r="F26" s="3">
        <v>1637</v>
      </c>
      <c r="G26" s="3">
        <v>1515</v>
      </c>
      <c r="H26" s="3">
        <v>1785</v>
      </c>
      <c r="I26" s="3">
        <v>1236</v>
      </c>
      <c r="J26" s="3">
        <v>1759</v>
      </c>
      <c r="K26" s="3">
        <v>2131</v>
      </c>
      <c r="L26" s="4">
        <v>756</v>
      </c>
      <c r="M26" s="3">
        <v>1085</v>
      </c>
      <c r="N26" s="3">
        <v>1075</v>
      </c>
      <c r="O26" s="3">
        <v>1027</v>
      </c>
      <c r="P26" s="3">
        <v>1468</v>
      </c>
      <c r="Q26" s="3">
        <v>1106</v>
      </c>
      <c r="R26" s="3">
        <v>1135</v>
      </c>
      <c r="S26" s="3">
        <v>1289</v>
      </c>
      <c r="T26" s="4">
        <v>507</v>
      </c>
      <c r="U26" s="4">
        <v>800</v>
      </c>
      <c r="V26" s="3">
        <v>2111</v>
      </c>
      <c r="W26" s="4">
        <v>668</v>
      </c>
      <c r="X26" s="4">
        <v>320</v>
      </c>
      <c r="Y26" s="4">
        <v>346</v>
      </c>
      <c r="Z26" s="4">
        <v>570</v>
      </c>
      <c r="AA26" s="4">
        <v>393</v>
      </c>
      <c r="AB26" s="3">
        <v>1042</v>
      </c>
      <c r="AC26" s="3">
        <v>1832</v>
      </c>
      <c r="AD26" s="4">
        <v>374</v>
      </c>
      <c r="AE26" s="4">
        <v>505</v>
      </c>
      <c r="AF26" s="3">
        <v>2200</v>
      </c>
      <c r="AG26" s="3">
        <v>1916</v>
      </c>
      <c r="AH26" s="3">
        <v>1026</v>
      </c>
      <c r="AI26" s="3">
        <v>2217</v>
      </c>
      <c r="AJ26" s="3">
        <v>2862</v>
      </c>
      <c r="AK26" s="3">
        <v>1617</v>
      </c>
      <c r="AL26" s="3">
        <v>2123</v>
      </c>
      <c r="AM26" s="3">
        <v>1903</v>
      </c>
      <c r="AN26" s="3">
        <v>3018</v>
      </c>
      <c r="AO26" s="3">
        <v>4130</v>
      </c>
      <c r="AP26" s="3">
        <v>3130</v>
      </c>
      <c r="AQ26" s="3">
        <v>2100</v>
      </c>
      <c r="AR26" s="4">
        <v>50</v>
      </c>
      <c r="AS26" s="4">
        <v>235</v>
      </c>
      <c r="AT26" s="4">
        <v>185</v>
      </c>
      <c r="AU26" s="4">
        <v>162</v>
      </c>
      <c r="AV26" s="3">
        <v>1415</v>
      </c>
      <c r="AW26" s="4">
        <v>924</v>
      </c>
      <c r="AX26" s="4">
        <v>66</v>
      </c>
      <c r="AY26" s="3">
        <v>1493</v>
      </c>
      <c r="AZ26" s="3">
        <v>3126</v>
      </c>
      <c r="BA26" s="4">
        <v>170</v>
      </c>
      <c r="BB26" s="4">
        <v>200</v>
      </c>
      <c r="BC26" s="42">
        <f>21841/1000</f>
        <v>21.841000000000001</v>
      </c>
      <c r="BD26" s="42"/>
    </row>
    <row r="27" spans="1:56" s="5" customFormat="1" x14ac:dyDescent="0.25">
      <c r="A27" s="14"/>
      <c r="B27" s="6"/>
      <c r="C27" s="6" t="s">
        <v>8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2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78</v>
      </c>
      <c r="AA27" s="7">
        <v>205</v>
      </c>
      <c r="AB27" s="7">
        <v>49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10</v>
      </c>
      <c r="AJ27" s="7">
        <v>50</v>
      </c>
      <c r="AK27" s="7">
        <v>0</v>
      </c>
      <c r="AL27" s="7">
        <v>6</v>
      </c>
      <c r="AM27" s="7">
        <v>1</v>
      </c>
      <c r="AN27" s="7">
        <v>1</v>
      </c>
      <c r="AO27" s="7">
        <v>12</v>
      </c>
      <c r="AP27" s="7">
        <v>0</v>
      </c>
      <c r="AQ27" s="7">
        <v>0</v>
      </c>
      <c r="AR27" s="7">
        <v>253</v>
      </c>
      <c r="AS27" s="7">
        <v>495</v>
      </c>
      <c r="AT27" s="8">
        <v>1185</v>
      </c>
      <c r="AU27" s="7">
        <v>193</v>
      </c>
      <c r="AV27" s="7">
        <v>600</v>
      </c>
      <c r="AW27" s="7">
        <v>600</v>
      </c>
      <c r="AX27" s="7">
        <v>700</v>
      </c>
      <c r="AY27" s="8">
        <v>2200</v>
      </c>
      <c r="AZ27" s="8">
        <v>2100</v>
      </c>
      <c r="BA27" s="7">
        <v>300</v>
      </c>
      <c r="BB27" s="7">
        <v>500</v>
      </c>
      <c r="BC27" s="42">
        <f>2087422/1000</f>
        <v>2087.422</v>
      </c>
      <c r="BD27" s="43"/>
    </row>
    <row r="28" spans="1:56" x14ac:dyDescent="0.25">
      <c r="A28" s="12"/>
      <c r="B28" s="2"/>
      <c r="C28" s="2" t="s">
        <v>9</v>
      </c>
      <c r="D28" s="3">
        <v>5454</v>
      </c>
      <c r="E28" s="3">
        <v>4465</v>
      </c>
      <c r="F28" s="3">
        <v>5378</v>
      </c>
      <c r="G28" s="3">
        <v>5871</v>
      </c>
      <c r="H28" s="3">
        <v>6645</v>
      </c>
      <c r="I28" s="3">
        <v>5835</v>
      </c>
      <c r="J28" s="3">
        <v>5858</v>
      </c>
      <c r="K28" s="3">
        <v>6334</v>
      </c>
      <c r="L28" s="3">
        <v>6918</v>
      </c>
      <c r="M28" s="3">
        <v>7678</v>
      </c>
      <c r="N28" s="3">
        <v>8356</v>
      </c>
      <c r="O28" s="3">
        <v>7458</v>
      </c>
      <c r="P28" s="3">
        <v>8115</v>
      </c>
      <c r="Q28" s="3">
        <v>8744</v>
      </c>
      <c r="R28" s="3">
        <v>8692</v>
      </c>
      <c r="S28" s="3">
        <v>9148</v>
      </c>
      <c r="T28" s="3">
        <v>9705</v>
      </c>
      <c r="U28" s="3">
        <v>9885</v>
      </c>
      <c r="V28" s="3">
        <v>10036</v>
      </c>
      <c r="W28" s="3">
        <v>10770</v>
      </c>
      <c r="X28" s="3">
        <v>11200</v>
      </c>
      <c r="Y28" s="3">
        <v>11215</v>
      </c>
      <c r="Z28" s="3">
        <v>11521</v>
      </c>
      <c r="AA28" s="3">
        <v>12000</v>
      </c>
      <c r="AB28" s="3">
        <v>12312</v>
      </c>
      <c r="AC28" s="3">
        <v>12754</v>
      </c>
      <c r="AD28" s="3">
        <v>13200</v>
      </c>
      <c r="AE28" s="3">
        <v>13800</v>
      </c>
      <c r="AF28" s="3">
        <v>14886</v>
      </c>
      <c r="AG28" s="3">
        <v>15316</v>
      </c>
      <c r="AH28" s="3">
        <v>16206</v>
      </c>
      <c r="AI28" s="3">
        <v>16907</v>
      </c>
      <c r="AJ28" s="3">
        <v>17405</v>
      </c>
      <c r="AK28" s="3">
        <v>17900</v>
      </c>
      <c r="AL28" s="3">
        <v>18137</v>
      </c>
      <c r="AM28" s="3">
        <v>18904</v>
      </c>
      <c r="AN28" s="3">
        <v>20124</v>
      </c>
      <c r="AO28" s="3">
        <v>20258</v>
      </c>
      <c r="AP28" s="3">
        <v>21284</v>
      </c>
      <c r="AQ28" s="3">
        <v>20452</v>
      </c>
      <c r="AR28" s="3">
        <v>20500</v>
      </c>
      <c r="AS28" s="3">
        <v>19800</v>
      </c>
      <c r="AT28" s="3">
        <v>18380</v>
      </c>
      <c r="AU28" s="3">
        <v>18900</v>
      </c>
      <c r="AV28" s="3">
        <v>19500</v>
      </c>
      <c r="AW28" s="3">
        <v>20100</v>
      </c>
      <c r="AX28" s="3">
        <v>21700</v>
      </c>
      <c r="AY28" s="3">
        <v>22400</v>
      </c>
      <c r="AZ28" s="3">
        <v>22800</v>
      </c>
      <c r="BA28" s="3">
        <v>23000</v>
      </c>
      <c r="BB28" s="3">
        <v>23200</v>
      </c>
      <c r="BC28" s="42">
        <f>BC25+BC26-BC27</f>
        <v>23148.219000000001</v>
      </c>
      <c r="BD28" s="42"/>
    </row>
    <row r="34" spans="1:54" s="5" customFormat="1" x14ac:dyDescent="0.25">
      <c r="A34" s="32"/>
      <c r="B34" s="32"/>
      <c r="C34" s="32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6"/>
      <c r="AD34" s="36"/>
      <c r="AE34" s="33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</row>
    <row r="35" spans="1:54" x14ac:dyDescent="0.25">
      <c r="A35" s="34"/>
      <c r="B35" s="34"/>
      <c r="C35" s="34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</row>
    <row r="36" spans="1:54" s="5" customFormat="1" x14ac:dyDescent="0.25">
      <c r="A36" s="32"/>
      <c r="B36" s="32"/>
      <c r="C36" s="32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</row>
    <row r="37" spans="1:54" x14ac:dyDescent="0.25">
      <c r="A37" s="34"/>
      <c r="B37" s="34"/>
      <c r="C37" s="34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</row>
    <row r="38" spans="1:54" s="5" customFormat="1" x14ac:dyDescent="0.25">
      <c r="A38" s="32"/>
      <c r="B38" s="32"/>
      <c r="C38" s="32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/>
      <c r="AW38" s="33"/>
      <c r="AX38" s="33"/>
      <c r="AY38" s="33"/>
      <c r="AZ38" s="33"/>
      <c r="BA38" s="33"/>
      <c r="BB38" s="33"/>
    </row>
    <row r="39" spans="1:54" x14ac:dyDescent="0.25">
      <c r="A39" s="34"/>
      <c r="B39" s="34"/>
      <c r="C39" s="34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/>
      <c r="BB39" s="35"/>
    </row>
    <row r="40" spans="1:54" s="5" customFormat="1" x14ac:dyDescent="0.25">
      <c r="A40" s="32"/>
      <c r="B40" s="32"/>
      <c r="C40" s="32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6"/>
      <c r="AS40" s="33"/>
      <c r="AT40" s="33"/>
      <c r="AU40" s="33"/>
      <c r="AV40" s="33"/>
      <c r="AW40" s="33"/>
      <c r="AX40" s="33"/>
      <c r="AY40" s="33"/>
      <c r="AZ40" s="33"/>
      <c r="BA40" s="33"/>
      <c r="BB40" s="33"/>
    </row>
    <row r="41" spans="1:54" x14ac:dyDescent="0.25">
      <c r="A41" s="34"/>
      <c r="B41" s="34"/>
      <c r="C41" s="34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/>
      <c r="AK41" s="35"/>
      <c r="AL41" s="35"/>
      <c r="AM41" s="35"/>
      <c r="AN41" s="35"/>
      <c r="AO41" s="35"/>
      <c r="AP41" s="35"/>
      <c r="AQ41" s="35"/>
      <c r="AR41" s="35"/>
      <c r="AS41" s="35"/>
      <c r="AT41" s="35"/>
      <c r="AU41" s="35"/>
      <c r="AV41" s="35"/>
      <c r="AW41" s="35"/>
      <c r="AX41" s="35"/>
      <c r="AY41" s="35"/>
      <c r="AZ41" s="35"/>
      <c r="BA41" s="35"/>
      <c r="BB41" s="35"/>
    </row>
    <row r="42" spans="1:54" s="5" customFormat="1" x14ac:dyDescent="0.25">
      <c r="A42" s="32"/>
      <c r="B42" s="32"/>
      <c r="C42" s="32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/>
      <c r="AW42" s="33"/>
      <c r="AX42" s="33"/>
      <c r="AY42" s="33"/>
      <c r="AZ42" s="33"/>
      <c r="BA42" s="33"/>
      <c r="BB42" s="33"/>
    </row>
    <row r="43" spans="1:54" x14ac:dyDescent="0.25">
      <c r="A43" s="34"/>
      <c r="B43" s="34"/>
      <c r="C43" s="34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  <c r="AN43" s="35"/>
      <c r="AO43" s="35"/>
      <c r="AP43" s="35"/>
      <c r="AQ43" s="35"/>
      <c r="AR43" s="35"/>
      <c r="AS43" s="35"/>
      <c r="AT43" s="35"/>
      <c r="AU43" s="35"/>
      <c r="AV43" s="35"/>
      <c r="AW43" s="35"/>
      <c r="AX43" s="35"/>
      <c r="AY43" s="35"/>
      <c r="AZ43" s="35"/>
      <c r="BA43" s="35"/>
      <c r="BB43" s="35"/>
    </row>
    <row r="44" spans="1:54" s="5" customFormat="1" x14ac:dyDescent="0.25">
      <c r="A44" s="32"/>
      <c r="B44" s="32"/>
      <c r="C44" s="32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6"/>
      <c r="O44" s="36"/>
      <c r="P44" s="36"/>
      <c r="Q44" s="36"/>
      <c r="R44" s="33"/>
      <c r="S44" s="36"/>
      <c r="T44" s="33"/>
      <c r="U44" s="33"/>
      <c r="V44" s="36"/>
      <c r="W44" s="33"/>
      <c r="X44" s="36"/>
      <c r="Y44" s="36"/>
      <c r="Z44" s="33"/>
      <c r="AA44" s="36"/>
      <c r="AB44" s="36"/>
      <c r="AC44" s="36"/>
      <c r="AD44" s="36"/>
      <c r="AE44" s="36"/>
      <c r="AF44" s="36"/>
      <c r="AG44" s="33"/>
      <c r="AH44" s="33"/>
      <c r="AI44" s="36"/>
      <c r="AJ44" s="33"/>
      <c r="AK44" s="33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36"/>
      <c r="BB44" s="36"/>
    </row>
    <row r="45" spans="1:54" x14ac:dyDescent="0.25">
      <c r="A45" s="34"/>
      <c r="B45" s="34"/>
      <c r="C45" s="34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  <c r="AM45" s="35"/>
      <c r="AN45" s="35"/>
      <c r="AO45" s="35"/>
      <c r="AP45" s="35"/>
      <c r="AQ45" s="35"/>
      <c r="AR45" s="35"/>
      <c r="AS45" s="35"/>
      <c r="AT45" s="35"/>
      <c r="AU45" s="35"/>
      <c r="AV45" s="35"/>
      <c r="AW45" s="35"/>
      <c r="AX45" s="35"/>
      <c r="AY45" s="35"/>
      <c r="AZ45" s="35"/>
      <c r="BA45" s="35"/>
      <c r="BB45" s="35"/>
    </row>
    <row r="46" spans="1:54" s="5" customFormat="1" x14ac:dyDescent="0.25">
      <c r="A46" s="32"/>
      <c r="B46" s="32"/>
      <c r="C46" s="32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6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6"/>
      <c r="AB46" s="36"/>
      <c r="AC46" s="36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6"/>
      <c r="BA46" s="33"/>
      <c r="BB46" s="36"/>
    </row>
    <row r="47" spans="1:54" x14ac:dyDescent="0.25">
      <c r="A47" s="34"/>
      <c r="B47" s="34"/>
      <c r="C47" s="34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7"/>
      <c r="AF47" s="35"/>
      <c r="AG47" s="35"/>
      <c r="AH47" s="35"/>
      <c r="AI47" s="37"/>
      <c r="AJ47" s="35"/>
      <c r="AK47" s="35"/>
      <c r="AL47" s="37"/>
      <c r="AM47" s="37"/>
      <c r="AN47" s="37"/>
      <c r="AO47" s="35"/>
      <c r="AP47" s="37"/>
      <c r="AQ47" s="37"/>
      <c r="AR47" s="37"/>
      <c r="AS47" s="37"/>
      <c r="AT47" s="37"/>
      <c r="AU47" s="37"/>
      <c r="AV47" s="37"/>
      <c r="AW47" s="37"/>
      <c r="AX47" s="37"/>
      <c r="AY47" s="37"/>
      <c r="AZ47" s="37"/>
      <c r="BA47" s="37"/>
      <c r="BB47" s="37"/>
    </row>
    <row r="48" spans="1:54" s="5" customFormat="1" x14ac:dyDescent="0.25">
      <c r="A48" s="34"/>
      <c r="B48" s="34"/>
      <c r="C48" s="34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</row>
    <row r="49" spans="1:54" x14ac:dyDescent="0.25">
      <c r="A49" s="34"/>
      <c r="B49" s="32"/>
      <c r="C49" s="32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3"/>
      <c r="AT49" s="33"/>
      <c r="AU49" s="33"/>
      <c r="AV49" s="33"/>
      <c r="AW49" s="33"/>
      <c r="AX49" s="33"/>
      <c r="AY49" s="33"/>
      <c r="AZ49" s="33"/>
      <c r="BA49" s="33"/>
      <c r="BB49" s="33"/>
    </row>
    <row r="50" spans="1:54" s="5" customFormat="1" x14ac:dyDescent="0.25">
      <c r="A50" s="34"/>
      <c r="B50" s="34"/>
      <c r="C50" s="34"/>
      <c r="D50" s="35"/>
      <c r="E50" s="35"/>
      <c r="F50" s="35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</row>
    <row r="51" spans="1:54" x14ac:dyDescent="0.25">
      <c r="A51" s="34"/>
      <c r="B51" s="32"/>
      <c r="C51" s="32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  <c r="AM51" s="33"/>
      <c r="AN51" s="33"/>
      <c r="AO51" s="33"/>
      <c r="AP51" s="33"/>
      <c r="AQ51" s="33"/>
      <c r="AR51" s="33"/>
      <c r="AS51" s="36"/>
      <c r="AT51" s="36"/>
      <c r="AU51" s="36"/>
      <c r="AV51" s="36"/>
      <c r="AW51" s="36"/>
      <c r="AX51" s="36"/>
      <c r="AY51" s="36"/>
      <c r="AZ51" s="36"/>
      <c r="BA51" s="36"/>
      <c r="BB51" s="36"/>
    </row>
    <row r="52" spans="1:54" x14ac:dyDescent="0.25">
      <c r="A52" s="34"/>
      <c r="B52" s="34"/>
      <c r="C52" s="34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  <c r="AP52" s="37"/>
      <c r="AQ52" s="37"/>
      <c r="AR52" s="37"/>
      <c r="AS52" s="37"/>
      <c r="AT52" s="37"/>
      <c r="AU52" s="37"/>
      <c r="AV52" s="37"/>
      <c r="AW52" s="37"/>
      <c r="AX52" s="37"/>
      <c r="AY52" s="37"/>
      <c r="AZ52" s="37"/>
      <c r="BA52" s="37"/>
      <c r="BB52" s="37"/>
    </row>
    <row r="53" spans="1:54" s="5" customFormat="1" x14ac:dyDescent="0.25">
      <c r="A53" s="32"/>
      <c r="B53" s="32"/>
      <c r="C53" s="32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</row>
    <row r="54" spans="1:54" x14ac:dyDescent="0.25">
      <c r="A54" s="34"/>
      <c r="B54" s="34"/>
      <c r="C54" s="34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</row>
    <row r="55" spans="1:54" s="5" customFormat="1" x14ac:dyDescent="0.25">
      <c r="A55" s="32"/>
      <c r="B55" s="32"/>
      <c r="C55" s="32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  <c r="AJ55" s="36"/>
      <c r="AK55" s="36"/>
      <c r="AL55" s="36"/>
      <c r="AM55" s="36"/>
      <c r="AN55" s="36"/>
      <c r="AO55" s="36"/>
      <c r="AP55" s="36"/>
      <c r="AQ55" s="36"/>
      <c r="AR55" s="36"/>
      <c r="AS55" s="36"/>
      <c r="AT55" s="36"/>
      <c r="AU55" s="36"/>
      <c r="AV55" s="36"/>
      <c r="AW55" s="36"/>
      <c r="AX55" s="36"/>
      <c r="AY55" s="36"/>
      <c r="AZ55" s="36"/>
      <c r="BA55" s="36"/>
      <c r="BB55" s="36"/>
    </row>
    <row r="56" spans="1:54" x14ac:dyDescent="0.25">
      <c r="A56" s="34"/>
      <c r="B56" s="34"/>
      <c r="C56" s="34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  <c r="AS56" s="37"/>
      <c r="AT56" s="37"/>
      <c r="AU56" s="37"/>
      <c r="AV56" s="37"/>
      <c r="AW56" s="37"/>
      <c r="AX56" s="37"/>
      <c r="AY56" s="37"/>
      <c r="AZ56" s="37"/>
      <c r="BA56" s="37"/>
      <c r="BB56" s="37"/>
    </row>
    <row r="57" spans="1:54" s="5" customFormat="1" x14ac:dyDescent="0.25">
      <c r="A57" s="32"/>
      <c r="B57" s="32"/>
      <c r="C57" s="32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6"/>
      <c r="V57" s="36"/>
      <c r="W57" s="36"/>
      <c r="X57" s="33"/>
      <c r="Y57" s="33"/>
      <c r="Z57" s="33"/>
      <c r="AA57" s="33"/>
      <c r="AB57" s="36"/>
      <c r="AC57" s="36"/>
      <c r="AD57" s="33"/>
      <c r="AE57" s="33"/>
      <c r="AF57" s="33"/>
      <c r="AG57" s="33"/>
      <c r="AH57" s="33"/>
      <c r="AI57" s="33"/>
      <c r="AJ57" s="36"/>
      <c r="AK57" s="36"/>
      <c r="AL57" s="36"/>
      <c r="AM57" s="33"/>
      <c r="AN57" s="33"/>
      <c r="AO57" s="36"/>
      <c r="AP57" s="36"/>
      <c r="AQ57" s="36"/>
      <c r="AR57" s="33"/>
      <c r="AS57" s="33"/>
      <c r="AT57" s="33"/>
      <c r="AU57" s="33"/>
      <c r="AV57" s="33"/>
      <c r="AW57" s="36"/>
      <c r="AX57" s="36"/>
      <c r="AY57" s="33"/>
      <c r="AZ57" s="36"/>
      <c r="BA57" s="33"/>
      <c r="BB57" s="36"/>
    </row>
    <row r="58" spans="1:54" x14ac:dyDescent="0.25">
      <c r="A58" s="34"/>
      <c r="B58" s="34"/>
      <c r="C58" s="34"/>
      <c r="D58" s="35"/>
      <c r="E58" s="35"/>
      <c r="F58" s="35"/>
      <c r="G58" s="35"/>
      <c r="H58" s="35"/>
      <c r="I58" s="35"/>
      <c r="J58" s="35"/>
      <c r="K58" s="37"/>
      <c r="L58" s="35"/>
      <c r="M58" s="37"/>
      <c r="N58" s="35"/>
      <c r="O58" s="35"/>
      <c r="P58" s="35"/>
      <c r="Q58" s="37"/>
      <c r="R58" s="35"/>
      <c r="S58" s="37"/>
      <c r="T58" s="37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  <c r="AF58" s="35"/>
      <c r="AG58" s="35"/>
      <c r="AH58" s="35"/>
      <c r="AI58" s="35"/>
      <c r="AJ58" s="35"/>
      <c r="AK58" s="35"/>
      <c r="AL58" s="35"/>
      <c r="AM58" s="35"/>
      <c r="AN58" s="35"/>
      <c r="AO58" s="35"/>
      <c r="AP58" s="35"/>
      <c r="AQ58" s="35"/>
      <c r="AR58" s="37"/>
      <c r="AS58" s="37"/>
      <c r="AT58" s="37"/>
      <c r="AU58" s="37"/>
      <c r="AV58" s="35"/>
      <c r="AW58" s="37"/>
      <c r="AX58" s="37"/>
      <c r="AY58" s="37"/>
      <c r="AZ58" s="37"/>
      <c r="BA58" s="37"/>
      <c r="BB58" s="37"/>
    </row>
    <row r="59" spans="1:54" s="5" customFormat="1" x14ac:dyDescent="0.25">
      <c r="A59" s="32"/>
      <c r="B59" s="32"/>
      <c r="C59" s="32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36"/>
      <c r="AO59" s="36"/>
      <c r="AP59" s="36"/>
      <c r="AQ59" s="36"/>
      <c r="AR59" s="36"/>
      <c r="AS59" s="36"/>
      <c r="AT59" s="36"/>
      <c r="AU59" s="36"/>
      <c r="AV59" s="36"/>
      <c r="AW59" s="36"/>
      <c r="AX59" s="36"/>
      <c r="AY59" s="36"/>
      <c r="AZ59" s="36"/>
      <c r="BA59" s="36"/>
      <c r="BB59" s="36"/>
    </row>
    <row r="60" spans="1:54" x14ac:dyDescent="0.25">
      <c r="A60" s="34"/>
      <c r="B60" s="34"/>
      <c r="C60" s="34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7"/>
      <c r="AV60" s="37"/>
      <c r="AW60" s="37"/>
      <c r="AX60" s="37"/>
      <c r="AY60" s="37"/>
      <c r="AZ60" s="37"/>
      <c r="BA60" s="37"/>
      <c r="BB60" s="37"/>
    </row>
    <row r="61" spans="1:54" s="5" customFormat="1" x14ac:dyDescent="0.25">
      <c r="A61" s="32"/>
      <c r="B61" s="32"/>
      <c r="C61" s="32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  <c r="AG61" s="33"/>
      <c r="AH61" s="33"/>
      <c r="AI61" s="33"/>
      <c r="AJ61" s="36"/>
      <c r="AK61" s="36"/>
      <c r="AL61" s="36"/>
      <c r="AM61" s="36"/>
      <c r="AN61" s="36"/>
      <c r="AO61" s="36"/>
      <c r="AP61" s="36"/>
      <c r="AQ61" s="36"/>
      <c r="AR61" s="33"/>
      <c r="AS61" s="33"/>
      <c r="AT61" s="33"/>
      <c r="AU61" s="33"/>
      <c r="AV61" s="33"/>
      <c r="AW61" s="33"/>
      <c r="AX61" s="33"/>
      <c r="AY61" s="33"/>
      <c r="AZ61" s="33"/>
      <c r="BA61" s="33"/>
      <c r="BB61" s="33"/>
    </row>
    <row r="62" spans="1:54" x14ac:dyDescent="0.25">
      <c r="A62" s="34"/>
      <c r="B62" s="34"/>
      <c r="C62" s="34"/>
      <c r="D62" s="35"/>
      <c r="E62" s="35"/>
      <c r="F62" s="37"/>
      <c r="G62" s="37"/>
      <c r="H62" s="37"/>
      <c r="I62" s="35"/>
      <c r="J62" s="37"/>
      <c r="K62" s="35"/>
      <c r="L62" s="37"/>
      <c r="M62" s="37"/>
      <c r="N62" s="37"/>
      <c r="O62" s="37"/>
      <c r="P62" s="37"/>
      <c r="Q62" s="35"/>
      <c r="R62" s="35"/>
      <c r="S62" s="35"/>
      <c r="T62" s="35"/>
      <c r="U62" s="35"/>
      <c r="V62" s="35"/>
      <c r="W62" s="35"/>
      <c r="X62" s="35"/>
      <c r="Y62" s="35"/>
      <c r="Z62" s="37"/>
      <c r="AA62" s="35"/>
      <c r="AB62" s="35"/>
      <c r="AC62" s="35"/>
      <c r="AD62" s="35"/>
      <c r="AE62" s="35"/>
      <c r="AF62" s="35"/>
      <c r="AG62" s="35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5"/>
      <c r="AS62" s="35"/>
      <c r="AT62" s="35"/>
      <c r="AU62" s="35"/>
      <c r="AV62" s="37"/>
      <c r="AW62" s="37"/>
      <c r="AX62" s="37"/>
      <c r="AY62" s="37"/>
      <c r="AZ62" s="37"/>
      <c r="BA62" s="37"/>
      <c r="BB62" s="37"/>
    </row>
    <row r="63" spans="1:54" s="5" customFormat="1" x14ac:dyDescent="0.25">
      <c r="A63" s="32"/>
      <c r="B63" s="32"/>
      <c r="C63" s="32"/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  <c r="AJ63" s="36"/>
      <c r="AK63" s="36"/>
      <c r="AL63" s="36"/>
      <c r="AM63" s="36"/>
      <c r="AN63" s="36"/>
      <c r="AO63" s="36"/>
      <c r="AP63" s="36"/>
      <c r="AQ63" s="36"/>
      <c r="AR63" s="36"/>
      <c r="AS63" s="36"/>
      <c r="AT63" s="36"/>
      <c r="AU63" s="36"/>
      <c r="AV63" s="36"/>
      <c r="AW63" s="36"/>
      <c r="AX63" s="36"/>
      <c r="AY63" s="36"/>
      <c r="AZ63" s="36"/>
      <c r="BA63" s="36"/>
      <c r="BB63" s="36"/>
    </row>
    <row r="64" spans="1:54" x14ac:dyDescent="0.25">
      <c r="A64" s="34"/>
      <c r="B64" s="34"/>
      <c r="C64" s="34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7"/>
      <c r="AE64" s="37"/>
      <c r="AF64" s="37"/>
      <c r="AG64" s="37"/>
      <c r="AH64" s="37"/>
      <c r="AI64" s="37"/>
      <c r="AJ64" s="37"/>
      <c r="AK64" s="37"/>
      <c r="AL64" s="37"/>
      <c r="AM64" s="37"/>
      <c r="AN64" s="37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</row>
    <row r="65" spans="1:54" s="5" customFormat="1" x14ac:dyDescent="0.25">
      <c r="A65" s="32"/>
      <c r="B65" s="32"/>
      <c r="C65" s="32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  <c r="AG65" s="33"/>
      <c r="AH65" s="33"/>
      <c r="AI65" s="33"/>
      <c r="AJ65" s="33"/>
      <c r="AK65" s="33"/>
      <c r="AL65" s="36"/>
      <c r="AM65" s="36"/>
      <c r="AN65" s="33"/>
      <c r="AO65" s="36"/>
      <c r="AP65" s="33"/>
      <c r="AQ65" s="33"/>
      <c r="AR65" s="33"/>
      <c r="AS65" s="36"/>
      <c r="AT65" s="36"/>
      <c r="AU65" s="33"/>
      <c r="AV65" s="33"/>
      <c r="AW65" s="33"/>
      <c r="AX65" s="33"/>
      <c r="AY65" s="33"/>
      <c r="AZ65" s="33"/>
      <c r="BA65" s="33"/>
      <c r="BB65" s="33"/>
    </row>
    <row r="66" spans="1:54" x14ac:dyDescent="0.25">
      <c r="A66" s="34"/>
      <c r="B66" s="34"/>
      <c r="C66" s="34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5"/>
      <c r="AE66" s="37"/>
      <c r="AF66" s="37"/>
      <c r="AG66" s="37"/>
      <c r="AH66" s="37"/>
      <c r="AI66" s="37"/>
      <c r="AJ66" s="37"/>
      <c r="AK66" s="37"/>
      <c r="AL66" s="37"/>
      <c r="AM66" s="37"/>
      <c r="AN66" s="37"/>
      <c r="AO66" s="37"/>
      <c r="AP66" s="37"/>
      <c r="AQ66" s="37"/>
      <c r="AR66" s="37"/>
      <c r="AS66" s="37"/>
      <c r="AT66" s="37"/>
      <c r="AU66" s="37"/>
      <c r="AV66" s="37"/>
      <c r="AW66" s="37"/>
      <c r="AX66" s="37"/>
      <c r="AY66" s="37"/>
      <c r="AZ66" s="37"/>
      <c r="BA66" s="37"/>
      <c r="BB66" s="37"/>
    </row>
    <row r="67" spans="1:54" s="5" customFormat="1" x14ac:dyDescent="0.25">
      <c r="A67" s="32"/>
      <c r="B67" s="32"/>
      <c r="C67" s="32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6"/>
      <c r="AE67" s="36"/>
      <c r="AF67" s="36"/>
      <c r="AG67" s="36"/>
      <c r="AH67" s="36"/>
      <c r="AI67" s="36"/>
      <c r="AJ67" s="36"/>
      <c r="AK67" s="36"/>
      <c r="AL67" s="36"/>
      <c r="AM67" s="36"/>
      <c r="AN67" s="36"/>
      <c r="AO67" s="36"/>
      <c r="AP67" s="36"/>
      <c r="AQ67" s="36"/>
      <c r="AR67" s="36"/>
      <c r="AS67" s="36"/>
      <c r="AT67" s="36"/>
      <c r="AU67" s="36"/>
      <c r="AV67" s="36"/>
      <c r="AW67" s="36"/>
      <c r="AX67" s="36"/>
      <c r="AY67" s="36"/>
      <c r="AZ67" s="36"/>
      <c r="BA67" s="36"/>
      <c r="BB67" s="36"/>
    </row>
    <row r="68" spans="1:54" x14ac:dyDescent="0.25">
      <c r="A68" s="34"/>
      <c r="B68" s="34"/>
      <c r="C68" s="34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7"/>
      <c r="AF68" s="37"/>
      <c r="AG68" s="37"/>
      <c r="AH68" s="37"/>
      <c r="AI68" s="37"/>
      <c r="AJ68" s="37"/>
      <c r="AK68" s="37"/>
      <c r="AL68" s="37"/>
      <c r="AM68" s="37"/>
      <c r="AN68" s="37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37"/>
      <c r="BA68" s="37"/>
      <c r="BB68" s="37"/>
    </row>
    <row r="69" spans="1:54" s="5" customFormat="1" x14ac:dyDescent="0.25">
      <c r="A69" s="32"/>
      <c r="B69" s="32"/>
      <c r="C69" s="32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6"/>
      <c r="AD69" s="33"/>
      <c r="AE69" s="33"/>
      <c r="AF69" s="33"/>
      <c r="AG69" s="33"/>
      <c r="AH69" s="33"/>
      <c r="AI69" s="33"/>
      <c r="AJ69" s="33"/>
      <c r="AK69" s="33"/>
      <c r="AL69" s="33"/>
      <c r="AM69" s="33"/>
      <c r="AN69" s="33"/>
      <c r="AO69" s="36"/>
      <c r="AP69" s="33"/>
      <c r="AQ69" s="33"/>
      <c r="AR69" s="33"/>
      <c r="AS69" s="33"/>
      <c r="AT69" s="36"/>
      <c r="AU69" s="33"/>
      <c r="AV69" s="33"/>
      <c r="AW69" s="33"/>
      <c r="AX69" s="33"/>
      <c r="AY69" s="33"/>
      <c r="AZ69" s="33"/>
      <c r="BA69" s="33"/>
      <c r="BB69" s="33"/>
    </row>
    <row r="70" spans="1:54" x14ac:dyDescent="0.25">
      <c r="A70" s="34"/>
      <c r="B70" s="34"/>
      <c r="C70" s="34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5"/>
      <c r="AE70" s="35"/>
      <c r="AF70" s="35"/>
      <c r="AG70" s="35"/>
      <c r="AH70" s="35"/>
      <c r="AI70" s="35"/>
      <c r="AJ70" s="35"/>
      <c r="AK70" s="35"/>
      <c r="AL70" s="35"/>
      <c r="AM70" s="35"/>
      <c r="AN70" s="35"/>
      <c r="AO70" s="35"/>
      <c r="AP70" s="35"/>
      <c r="AQ70" s="35"/>
      <c r="AR70" s="35"/>
      <c r="AS70" s="35"/>
      <c r="AT70" s="35"/>
      <c r="AU70" s="35"/>
      <c r="AV70" s="35"/>
      <c r="AW70" s="35"/>
      <c r="AX70" s="35"/>
      <c r="AY70" s="35"/>
      <c r="AZ70" s="35"/>
      <c r="BA70" s="35"/>
      <c r="BB70" s="35"/>
    </row>
    <row r="71" spans="1:54" s="5" customFormat="1" x14ac:dyDescent="0.25">
      <c r="A71" s="32"/>
      <c r="B71" s="32"/>
      <c r="C71" s="32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  <c r="AC71" s="36"/>
      <c r="AD71" s="36"/>
      <c r="AE71" s="36"/>
      <c r="AF71" s="36"/>
      <c r="AG71" s="36"/>
      <c r="AH71" s="36"/>
      <c r="AI71" s="36"/>
      <c r="AJ71" s="36"/>
      <c r="AK71" s="36"/>
      <c r="AL71" s="36"/>
      <c r="AM71" s="36"/>
      <c r="AN71" s="36"/>
      <c r="AO71" s="36"/>
      <c r="AP71" s="36"/>
      <c r="AQ71" s="36"/>
      <c r="AR71" s="36"/>
      <c r="AS71" s="36"/>
      <c r="AT71" s="36"/>
      <c r="AU71" s="36"/>
      <c r="AV71" s="36"/>
      <c r="AW71" s="36"/>
      <c r="AX71" s="36"/>
      <c r="AY71" s="36"/>
      <c r="AZ71" s="36"/>
      <c r="BA71" s="36"/>
      <c r="BB71" s="36"/>
    </row>
    <row r="72" spans="1:54" x14ac:dyDescent="0.25">
      <c r="A72" s="34"/>
      <c r="B72" s="34"/>
      <c r="C72" s="34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35"/>
      <c r="AE72" s="35"/>
      <c r="AF72" s="35"/>
      <c r="AG72" s="35"/>
      <c r="AH72" s="35"/>
      <c r="AI72" s="35"/>
      <c r="AJ72" s="35"/>
      <c r="AK72" s="35"/>
      <c r="AL72" s="35"/>
      <c r="AM72" s="35"/>
      <c r="AN72" s="35"/>
      <c r="AO72" s="35"/>
      <c r="AP72" s="35"/>
      <c r="AQ72" s="35"/>
      <c r="AR72" s="35"/>
      <c r="AS72" s="35"/>
      <c r="AT72" s="35"/>
      <c r="AU72" s="37"/>
      <c r="AV72" s="37"/>
      <c r="AW72" s="37"/>
      <c r="AX72" s="37"/>
      <c r="AY72" s="37"/>
      <c r="AZ72" s="37"/>
      <c r="BA72" s="37"/>
      <c r="BB72" s="37"/>
    </row>
    <row r="73" spans="1:54" s="5" customFormat="1" x14ac:dyDescent="0.25">
      <c r="A73" s="32"/>
      <c r="B73" s="32"/>
      <c r="C73" s="32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  <c r="AN73" s="33"/>
      <c r="AO73" s="33"/>
      <c r="AP73" s="33"/>
      <c r="AQ73" s="33"/>
      <c r="AR73" s="33"/>
      <c r="AS73" s="33"/>
      <c r="AT73" s="33"/>
      <c r="AU73" s="33"/>
      <c r="AV73" s="33"/>
      <c r="AW73" s="33"/>
      <c r="AX73" s="33"/>
      <c r="AY73" s="33"/>
      <c r="AZ73" s="33"/>
      <c r="BA73" s="33"/>
      <c r="BB73" s="33"/>
    </row>
    <row r="74" spans="1:54" x14ac:dyDescent="0.25">
      <c r="A74" s="34"/>
      <c r="B74" s="34"/>
      <c r="C74" s="34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35"/>
      <c r="AE74" s="35"/>
      <c r="AF74" s="35"/>
      <c r="AG74" s="35"/>
      <c r="AH74" s="35"/>
      <c r="AI74" s="35"/>
      <c r="AJ74" s="35"/>
      <c r="AK74" s="35"/>
      <c r="AL74" s="35"/>
      <c r="AM74" s="35"/>
      <c r="AN74" s="35"/>
      <c r="AO74" s="35"/>
      <c r="AP74" s="35"/>
      <c r="AQ74" s="35"/>
      <c r="AR74" s="35"/>
      <c r="AS74" s="35"/>
      <c r="AT74" s="35"/>
      <c r="AU74" s="35"/>
      <c r="AV74" s="35"/>
      <c r="AW74" s="35"/>
      <c r="AX74" s="35"/>
      <c r="AY74" s="35"/>
      <c r="AZ74" s="35"/>
      <c r="BA74" s="35"/>
      <c r="BB74" s="35"/>
    </row>
    <row r="75" spans="1:54" s="5" customFormat="1" x14ac:dyDescent="0.25">
      <c r="A75" s="32"/>
      <c r="B75" s="32"/>
      <c r="C75" s="32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6"/>
      <c r="AR75" s="33"/>
      <c r="AS75" s="33"/>
      <c r="AT75" s="33"/>
      <c r="AU75" s="36"/>
      <c r="AV75" s="36"/>
      <c r="AW75" s="36"/>
      <c r="AX75" s="36"/>
      <c r="AY75" s="36"/>
      <c r="AZ75" s="36"/>
      <c r="BA75" s="36"/>
      <c r="BB75" s="36"/>
    </row>
    <row r="76" spans="1:54" s="5" customFormat="1" x14ac:dyDescent="0.25">
      <c r="A76" s="34"/>
      <c r="B76" s="34"/>
      <c r="C76" s="34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</row>
    <row r="77" spans="1:54" x14ac:dyDescent="0.25">
      <c r="A77" s="34"/>
      <c r="B77" s="32"/>
      <c r="C77" s="32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3"/>
      <c r="AY77" s="33"/>
      <c r="AZ77" s="33"/>
      <c r="BA77" s="33"/>
      <c r="BB77" s="33"/>
    </row>
    <row r="78" spans="1:54" s="5" customFormat="1" x14ac:dyDescent="0.25">
      <c r="A78" s="34"/>
      <c r="B78" s="34"/>
      <c r="C78" s="34"/>
      <c r="D78" s="35"/>
      <c r="E78" s="35"/>
      <c r="F78" s="35"/>
      <c r="G78" s="35"/>
      <c r="H78" s="35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  <c r="AP78" s="37"/>
      <c r="AQ78" s="37"/>
      <c r="AR78" s="37"/>
      <c r="AS78" s="37"/>
      <c r="AT78" s="37"/>
      <c r="AU78" s="37"/>
      <c r="AV78" s="37"/>
      <c r="AW78" s="37"/>
      <c r="AX78" s="37"/>
      <c r="AY78" s="37"/>
      <c r="AZ78" s="37"/>
      <c r="BA78" s="37"/>
      <c r="BB78" s="37"/>
    </row>
    <row r="79" spans="1:54" x14ac:dyDescent="0.25">
      <c r="A79" s="34"/>
      <c r="B79" s="32"/>
      <c r="C79" s="32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  <c r="AJ79" s="36"/>
      <c r="AK79" s="36"/>
      <c r="AL79" s="36"/>
      <c r="AM79" s="36"/>
      <c r="AN79" s="36"/>
      <c r="AO79" s="36"/>
      <c r="AP79" s="36"/>
      <c r="AQ79" s="36"/>
      <c r="AR79" s="36"/>
      <c r="AS79" s="36"/>
      <c r="AT79" s="36"/>
      <c r="AU79" s="36"/>
      <c r="AV79" s="36"/>
      <c r="AW79" s="36"/>
      <c r="AX79" s="36"/>
      <c r="AY79" s="36"/>
      <c r="AZ79" s="36"/>
      <c r="BA79" s="36"/>
      <c r="BB79" s="36"/>
    </row>
    <row r="80" spans="1:54" s="5" customFormat="1" x14ac:dyDescent="0.25">
      <c r="A80" s="32"/>
      <c r="B80" s="32"/>
      <c r="C80" s="32"/>
      <c r="D80" s="33"/>
      <c r="E80" s="33"/>
      <c r="F80" s="33"/>
      <c r="G80" s="33"/>
      <c r="H80" s="33"/>
      <c r="I80" s="33"/>
      <c r="J80" s="33"/>
      <c r="K80" s="33"/>
      <c r="L80" s="33"/>
      <c r="M80" s="36"/>
      <c r="N80" s="36"/>
      <c r="O80" s="36"/>
      <c r="P80" s="33"/>
      <c r="Q80" s="36"/>
      <c r="R80" s="36"/>
      <c r="S80" s="36"/>
      <c r="T80" s="36"/>
      <c r="U80" s="36"/>
      <c r="V80" s="36"/>
      <c r="W80" s="36"/>
      <c r="X80" s="36"/>
      <c r="Y80" s="36"/>
      <c r="Z80" s="36"/>
      <c r="AA80" s="36"/>
      <c r="AB80" s="36"/>
      <c r="AC80" s="36"/>
      <c r="AD80" s="36"/>
      <c r="AE80" s="36"/>
      <c r="AF80" s="36"/>
      <c r="AG80" s="36"/>
      <c r="AH80" s="36"/>
      <c r="AI80" s="36"/>
      <c r="AJ80" s="36"/>
      <c r="AK80" s="36"/>
      <c r="AL80" s="36"/>
      <c r="AM80" s="36"/>
      <c r="AN80" s="36"/>
      <c r="AO80" s="36"/>
      <c r="AP80" s="36"/>
      <c r="AQ80" s="36"/>
      <c r="AR80" s="36"/>
      <c r="AS80" s="36"/>
      <c r="AT80" s="36"/>
      <c r="AU80" s="36"/>
      <c r="AV80" s="36"/>
      <c r="AW80" s="36"/>
      <c r="AX80" s="36"/>
      <c r="AY80" s="36"/>
      <c r="AZ80" s="36"/>
      <c r="BA80" s="36"/>
      <c r="BB80" s="36"/>
    </row>
    <row r="81" spans="1:54" x14ac:dyDescent="0.25">
      <c r="A81" s="34"/>
      <c r="B81" s="34"/>
      <c r="C81" s="34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</row>
    <row r="82" spans="1:54" s="5" customFormat="1" x14ac:dyDescent="0.25">
      <c r="A82" s="32"/>
      <c r="B82" s="32"/>
      <c r="C82" s="32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33"/>
      <c r="AK82" s="33"/>
      <c r="AL82" s="33"/>
      <c r="AM82" s="33"/>
      <c r="AN82" s="33"/>
      <c r="AO82" s="33"/>
      <c r="AP82" s="33"/>
      <c r="AQ82" s="33"/>
      <c r="AR82" s="33"/>
      <c r="AS82" s="33"/>
      <c r="AT82" s="33"/>
      <c r="AU82" s="36"/>
      <c r="AV82" s="33"/>
      <c r="AW82" s="33"/>
      <c r="AX82" s="33"/>
      <c r="AY82" s="33"/>
      <c r="AZ82" s="33"/>
      <c r="BA82" s="36"/>
      <c r="BB82" s="36"/>
    </row>
    <row r="83" spans="1:54" x14ac:dyDescent="0.25">
      <c r="A83" s="34"/>
      <c r="B83" s="34"/>
      <c r="C83" s="34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  <c r="AK83" s="37"/>
      <c r="AL83" s="37"/>
      <c r="AM83" s="37"/>
      <c r="AN83" s="37"/>
      <c r="AO83" s="37"/>
      <c r="AP83" s="37"/>
      <c r="AQ83" s="37"/>
      <c r="AR83" s="37"/>
      <c r="AS83" s="37"/>
      <c r="AT83" s="37"/>
      <c r="AU83" s="37"/>
      <c r="AV83" s="37"/>
      <c r="AW83" s="37"/>
      <c r="AX83" s="37"/>
      <c r="AY83" s="37"/>
      <c r="AZ83" s="37"/>
      <c r="BA83" s="37"/>
      <c r="BB83" s="37"/>
    </row>
    <row r="84" spans="1:54" s="5" customFormat="1" x14ac:dyDescent="0.25">
      <c r="A84" s="32"/>
      <c r="B84" s="32"/>
      <c r="C84" s="32"/>
      <c r="D84" s="33"/>
      <c r="E84" s="33"/>
      <c r="F84" s="33"/>
      <c r="G84" s="33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  <c r="AB84" s="36"/>
      <c r="AC84" s="36"/>
      <c r="AD84" s="36"/>
      <c r="AE84" s="36"/>
      <c r="AF84" s="36"/>
      <c r="AG84" s="36"/>
      <c r="AH84" s="36"/>
      <c r="AI84" s="36"/>
      <c r="AJ84" s="36"/>
      <c r="AK84" s="36"/>
      <c r="AL84" s="36"/>
      <c r="AM84" s="36"/>
      <c r="AN84" s="36"/>
      <c r="AO84" s="36"/>
      <c r="AP84" s="36"/>
      <c r="AQ84" s="36"/>
      <c r="AR84" s="36"/>
      <c r="AS84" s="36"/>
      <c r="AT84" s="36"/>
      <c r="AU84" s="36"/>
      <c r="AV84" s="36"/>
      <c r="AW84" s="36"/>
      <c r="AX84" s="36"/>
      <c r="AY84" s="36"/>
      <c r="AZ84" s="36"/>
      <c r="BA84" s="36"/>
      <c r="BB84" s="36"/>
    </row>
    <row r="85" spans="1:54" x14ac:dyDescent="0.25">
      <c r="A85" s="34"/>
      <c r="B85" s="34"/>
      <c r="C85" s="34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7"/>
      <c r="R85" s="37"/>
      <c r="S85" s="35"/>
      <c r="T85" s="35"/>
      <c r="U85" s="35"/>
      <c r="V85" s="35"/>
      <c r="W85" s="35"/>
      <c r="X85" s="37"/>
      <c r="Y85" s="35"/>
      <c r="Z85" s="35"/>
      <c r="AA85" s="35"/>
      <c r="AB85" s="35"/>
      <c r="AC85" s="35"/>
      <c r="AD85" s="35"/>
      <c r="AE85" s="35"/>
      <c r="AF85" s="35"/>
      <c r="AG85" s="35"/>
      <c r="AH85" s="35"/>
      <c r="AI85" s="35"/>
      <c r="AJ85" s="37"/>
      <c r="AK85" s="35"/>
      <c r="AL85" s="37"/>
      <c r="AM85" s="35"/>
      <c r="AN85" s="35"/>
      <c r="AO85" s="37"/>
      <c r="AP85" s="35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</row>
    <row r="86" spans="1:54" s="5" customFormat="1" x14ac:dyDescent="0.25">
      <c r="A86" s="32"/>
      <c r="B86" s="32"/>
      <c r="C86" s="32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6"/>
      <c r="Y86" s="36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3"/>
      <c r="AY86" s="33"/>
      <c r="AZ86" s="33"/>
      <c r="BA86" s="33"/>
      <c r="BB86" s="36"/>
    </row>
    <row r="87" spans="1:54" x14ac:dyDescent="0.25">
      <c r="A87" s="34"/>
      <c r="B87" s="34"/>
      <c r="C87" s="34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  <c r="AK87" s="37"/>
      <c r="AL87" s="37"/>
      <c r="AM87" s="37"/>
      <c r="AN87" s="37"/>
      <c r="AO87" s="37"/>
      <c r="AP87" s="37"/>
      <c r="AQ87" s="37"/>
      <c r="AR87" s="37"/>
      <c r="AS87" s="37"/>
      <c r="AT87" s="37"/>
      <c r="AU87" s="37"/>
      <c r="AV87" s="37"/>
      <c r="AW87" s="37"/>
      <c r="AX87" s="37"/>
      <c r="AY87" s="37"/>
      <c r="AZ87" s="37"/>
      <c r="BA87" s="37"/>
      <c r="BB87" s="37"/>
    </row>
    <row r="88" spans="1:54" s="5" customFormat="1" x14ac:dyDescent="0.25">
      <c r="A88" s="32"/>
      <c r="B88" s="32"/>
      <c r="C88" s="32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  <c r="AL88" s="33"/>
      <c r="AM88" s="33"/>
      <c r="AN88" s="33"/>
      <c r="AO88" s="33"/>
      <c r="AP88" s="33"/>
      <c r="AQ88" s="33"/>
      <c r="AR88" s="33"/>
      <c r="AS88" s="33"/>
      <c r="AT88" s="33"/>
      <c r="AU88" s="33"/>
      <c r="AV88" s="33"/>
      <c r="AW88" s="33"/>
      <c r="AX88" s="33"/>
      <c r="AY88" s="33"/>
      <c r="AZ88" s="33"/>
      <c r="BA88" s="33"/>
      <c r="BB88" s="33"/>
    </row>
    <row r="89" spans="1:54" x14ac:dyDescent="0.25">
      <c r="A89" s="34"/>
      <c r="B89" s="34"/>
      <c r="C89" s="34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  <c r="AB89" s="35"/>
      <c r="AC89" s="35"/>
      <c r="AD89" s="35"/>
      <c r="AE89" s="35"/>
      <c r="AF89" s="35"/>
      <c r="AG89" s="35"/>
      <c r="AH89" s="35"/>
      <c r="AI89" s="35"/>
      <c r="AJ89" s="35"/>
      <c r="AK89" s="35"/>
      <c r="AL89" s="35"/>
      <c r="AM89" s="35"/>
      <c r="AN89" s="35"/>
      <c r="AO89" s="35"/>
      <c r="AP89" s="35"/>
      <c r="AQ89" s="35"/>
      <c r="AR89" s="35"/>
      <c r="AS89" s="35"/>
      <c r="AT89" s="35"/>
      <c r="AU89" s="35"/>
      <c r="AV89" s="35"/>
      <c r="AW89" s="35"/>
      <c r="AX89" s="35"/>
      <c r="AY89" s="35"/>
      <c r="AZ89" s="35"/>
      <c r="BA89" s="35"/>
      <c r="BB89" s="35"/>
    </row>
    <row r="90" spans="1:54" s="5" customFormat="1" x14ac:dyDescent="0.25">
      <c r="A90" s="32"/>
      <c r="B90" s="32"/>
      <c r="C90" s="32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3"/>
      <c r="AY90" s="33"/>
      <c r="AZ90" s="33"/>
      <c r="BA90" s="33"/>
      <c r="BB90" s="33"/>
    </row>
    <row r="91" spans="1:54" x14ac:dyDescent="0.25">
      <c r="A91" s="34"/>
      <c r="B91" s="34"/>
      <c r="C91" s="34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  <c r="AB91" s="35"/>
      <c r="AC91" s="37"/>
      <c r="AD91" s="35"/>
      <c r="AE91" s="37"/>
      <c r="AF91" s="37"/>
      <c r="AG91" s="37"/>
      <c r="AH91" s="37"/>
      <c r="AI91" s="37"/>
      <c r="AJ91" s="37"/>
      <c r="AK91" s="37"/>
      <c r="AL91" s="37"/>
      <c r="AM91" s="37"/>
      <c r="AN91" s="37"/>
      <c r="AO91" s="37"/>
      <c r="AP91" s="37"/>
      <c r="AQ91" s="37"/>
      <c r="AR91" s="37"/>
      <c r="AS91" s="37"/>
      <c r="AT91" s="37"/>
      <c r="AU91" s="37"/>
      <c r="AV91" s="37"/>
      <c r="AW91" s="37"/>
      <c r="AX91" s="37"/>
      <c r="AY91" s="37"/>
      <c r="AZ91" s="37"/>
      <c r="BA91" s="37"/>
      <c r="BB91" s="37"/>
    </row>
    <row r="92" spans="1:54" s="5" customFormat="1" x14ac:dyDescent="0.25">
      <c r="A92" s="32"/>
      <c r="B92" s="32"/>
      <c r="C92" s="32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3"/>
      <c r="AY92" s="33"/>
      <c r="AZ92" s="33"/>
      <c r="BA92" s="33"/>
      <c r="BB92" s="33"/>
    </row>
    <row r="93" spans="1:54" x14ac:dyDescent="0.25">
      <c r="A93" s="34"/>
      <c r="B93" s="34"/>
      <c r="C93" s="34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35"/>
      <c r="AI93" s="35"/>
      <c r="AJ93" s="35"/>
      <c r="AK93" s="35"/>
      <c r="AL93" s="35"/>
      <c r="AM93" s="35"/>
      <c r="AN93" s="35"/>
      <c r="AO93" s="35"/>
      <c r="AP93" s="35"/>
      <c r="AQ93" s="35"/>
      <c r="AR93" s="35"/>
      <c r="AS93" s="35"/>
      <c r="AT93" s="35"/>
      <c r="AU93" s="35"/>
      <c r="AV93" s="37"/>
      <c r="AW93" s="37"/>
      <c r="AX93" s="37"/>
      <c r="AY93" s="37"/>
      <c r="AZ93" s="37"/>
      <c r="BA93" s="37"/>
      <c r="BB93" s="37"/>
    </row>
    <row r="94" spans="1:54" s="5" customFormat="1" x14ac:dyDescent="0.25">
      <c r="A94" s="32"/>
      <c r="B94" s="32"/>
      <c r="C94" s="32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6"/>
      <c r="AA94" s="33"/>
      <c r="AB94" s="33"/>
      <c r="AC94" s="33"/>
      <c r="AD94" s="36"/>
      <c r="AE94" s="36"/>
      <c r="AF94" s="36"/>
      <c r="AG94" s="36"/>
      <c r="AH94" s="36"/>
      <c r="AI94" s="36"/>
      <c r="AJ94" s="36"/>
      <c r="AK94" s="36"/>
      <c r="AL94" s="36"/>
      <c r="AM94" s="36"/>
      <c r="AN94" s="36"/>
      <c r="AO94" s="36"/>
      <c r="AP94" s="36"/>
      <c r="AQ94" s="36"/>
      <c r="AR94" s="36"/>
      <c r="AS94" s="36"/>
      <c r="AT94" s="36"/>
      <c r="AU94" s="36"/>
      <c r="AV94" s="36"/>
      <c r="AW94" s="36"/>
      <c r="AX94" s="36"/>
      <c r="AY94" s="36"/>
      <c r="AZ94" s="36"/>
      <c r="BA94" s="36"/>
      <c r="BB94" s="36"/>
    </row>
    <row r="95" spans="1:54" x14ac:dyDescent="0.25">
      <c r="A95" s="34"/>
      <c r="B95" s="34"/>
      <c r="C95" s="34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  <c r="BB95" s="35"/>
    </row>
    <row r="96" spans="1:54" s="5" customFormat="1" x14ac:dyDescent="0.25">
      <c r="A96" s="32"/>
      <c r="B96" s="32"/>
      <c r="C96" s="32"/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3"/>
      <c r="AY96" s="33"/>
      <c r="AZ96" s="33"/>
      <c r="BA96" s="33"/>
      <c r="BB96" s="33"/>
    </row>
    <row r="97" spans="1:54" s="5" customFormat="1" x14ac:dyDescent="0.25">
      <c r="A97" s="34"/>
      <c r="B97" s="34"/>
      <c r="C97" s="34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AU97" s="35"/>
      <c r="AV97" s="35"/>
      <c r="AW97" s="35"/>
      <c r="AX97" s="35"/>
      <c r="AY97" s="35"/>
      <c r="AZ97" s="35"/>
      <c r="BA97" s="35"/>
      <c r="BB97" s="35"/>
    </row>
    <row r="98" spans="1:54" x14ac:dyDescent="0.25">
      <c r="A98" s="34"/>
      <c r="B98" s="32"/>
      <c r="C98" s="32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6"/>
      <c r="T98" s="36"/>
      <c r="U98" s="36"/>
      <c r="V98" s="36"/>
      <c r="W98" s="33"/>
      <c r="X98" s="33"/>
      <c r="Y98" s="33"/>
      <c r="Z98" s="36"/>
      <c r="AA98" s="33"/>
      <c r="AB98" s="36"/>
      <c r="AC98" s="36"/>
      <c r="AD98" s="36"/>
      <c r="AE98" s="33"/>
      <c r="AF98" s="33"/>
      <c r="AG98" s="33"/>
      <c r="AH98" s="36"/>
      <c r="AI98" s="33"/>
      <c r="AJ98" s="36"/>
      <c r="AK98" s="36"/>
      <c r="AL98" s="36"/>
      <c r="AM98" s="36"/>
      <c r="AN98" s="36"/>
      <c r="AO98" s="36"/>
      <c r="AP98" s="36"/>
      <c r="AQ98" s="36"/>
      <c r="AR98" s="36"/>
      <c r="AS98" s="36"/>
      <c r="AT98" s="36"/>
      <c r="AU98" s="36"/>
      <c r="AV98" s="36"/>
      <c r="AW98" s="36"/>
      <c r="AX98" s="36"/>
      <c r="AY98" s="36"/>
      <c r="AZ98" s="36"/>
      <c r="BA98" s="36"/>
      <c r="BB98" s="36"/>
    </row>
    <row r="99" spans="1:54" s="5" customFormat="1" x14ac:dyDescent="0.25">
      <c r="A99" s="34"/>
      <c r="B99" s="34"/>
      <c r="C99" s="34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</row>
    <row r="100" spans="1:54" x14ac:dyDescent="0.25">
      <c r="A100" s="34"/>
      <c r="B100" s="32"/>
      <c r="C100" s="32"/>
      <c r="D100" s="33"/>
      <c r="E100" s="33"/>
      <c r="F100" s="33"/>
      <c r="G100" s="33"/>
      <c r="H100" s="33"/>
      <c r="I100" s="33"/>
      <c r="J100" s="36"/>
      <c r="K100" s="33"/>
      <c r="L100" s="36"/>
      <c r="M100" s="36"/>
      <c r="N100" s="36"/>
      <c r="O100" s="36"/>
      <c r="P100" s="36"/>
      <c r="Q100" s="36"/>
      <c r="R100" s="33"/>
      <c r="S100" s="36"/>
      <c r="T100" s="36"/>
      <c r="U100" s="36"/>
      <c r="V100" s="36"/>
      <c r="W100" s="36"/>
      <c r="X100" s="36"/>
      <c r="Y100" s="33"/>
      <c r="Z100" s="36"/>
      <c r="AA100" s="36"/>
      <c r="AB100" s="36"/>
      <c r="AC100" s="36"/>
      <c r="AD100" s="36"/>
      <c r="AE100" s="36"/>
      <c r="AF100" s="33"/>
      <c r="AG100" s="33"/>
      <c r="AH100" s="36"/>
      <c r="AI100" s="36"/>
      <c r="AJ100" s="36"/>
      <c r="AK100" s="36"/>
      <c r="AL100" s="36"/>
      <c r="AM100" s="36"/>
      <c r="AN100" s="36"/>
      <c r="AO100" s="36"/>
      <c r="AP100" s="36"/>
      <c r="AQ100" s="36"/>
      <c r="AR100" s="36"/>
      <c r="AS100" s="36"/>
      <c r="AT100" s="36"/>
      <c r="AU100" s="36"/>
      <c r="AV100" s="36"/>
      <c r="AW100" s="36"/>
      <c r="AX100" s="36"/>
      <c r="AY100" s="36"/>
      <c r="AZ100" s="36"/>
      <c r="BA100" s="36"/>
      <c r="BB100" s="36"/>
    </row>
    <row r="101" spans="1:54" s="5" customFormat="1" x14ac:dyDescent="0.25">
      <c r="A101" s="32"/>
      <c r="B101" s="32"/>
      <c r="C101" s="32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  <c r="AA101" s="36"/>
      <c r="AB101" s="36"/>
      <c r="AC101" s="36"/>
      <c r="AD101" s="36"/>
      <c r="AE101" s="36"/>
      <c r="AF101" s="36"/>
      <c r="AG101" s="36"/>
      <c r="AH101" s="36"/>
      <c r="AI101" s="36"/>
      <c r="AJ101" s="36"/>
      <c r="AK101" s="36"/>
      <c r="AL101" s="36"/>
      <c r="AM101" s="36"/>
      <c r="AN101" s="36"/>
      <c r="AO101" s="36"/>
      <c r="AP101" s="36"/>
      <c r="AQ101" s="36"/>
      <c r="AR101" s="36"/>
      <c r="AS101" s="36"/>
      <c r="AT101" s="36"/>
      <c r="AU101" s="36"/>
      <c r="AV101" s="36"/>
      <c r="AW101" s="36"/>
      <c r="AX101" s="36"/>
      <c r="AY101" s="36"/>
      <c r="AZ101" s="36"/>
      <c r="BA101" s="36"/>
      <c r="BB101" s="36"/>
    </row>
    <row r="102" spans="1:54" x14ac:dyDescent="0.25">
      <c r="A102" s="34"/>
      <c r="B102" s="34"/>
      <c r="C102" s="34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</row>
    <row r="103" spans="1:54" s="5" customFormat="1" x14ac:dyDescent="0.25">
      <c r="A103" s="32"/>
      <c r="B103" s="32"/>
      <c r="C103" s="32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  <c r="AJ103" s="36"/>
      <c r="AK103" s="36"/>
      <c r="AL103" s="36"/>
      <c r="AM103" s="36"/>
      <c r="AN103" s="36"/>
      <c r="AO103" s="36"/>
      <c r="AP103" s="36"/>
      <c r="AQ103" s="36"/>
      <c r="AR103" s="36"/>
      <c r="AS103" s="36"/>
      <c r="AT103" s="36"/>
      <c r="AU103" s="36"/>
      <c r="AV103" s="36"/>
      <c r="AW103" s="36"/>
      <c r="AX103" s="36"/>
      <c r="AY103" s="36"/>
      <c r="AZ103" s="36"/>
      <c r="BA103" s="36"/>
      <c r="BB103" s="36"/>
    </row>
    <row r="104" spans="1:54" x14ac:dyDescent="0.25">
      <c r="A104" s="34"/>
      <c r="B104" s="34"/>
      <c r="C104" s="34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  <c r="AD104" s="37"/>
      <c r="AE104" s="37"/>
      <c r="AF104" s="37"/>
      <c r="AG104" s="37"/>
      <c r="AH104" s="37"/>
      <c r="AI104" s="37"/>
      <c r="AJ104" s="37"/>
      <c r="AK104" s="37"/>
      <c r="AL104" s="37"/>
      <c r="AM104" s="37"/>
      <c r="AN104" s="37"/>
      <c r="AO104" s="37"/>
      <c r="AP104" s="37"/>
      <c r="AQ104" s="37"/>
      <c r="AR104" s="37"/>
      <c r="AS104" s="37"/>
      <c r="AT104" s="37"/>
      <c r="AU104" s="37"/>
      <c r="AV104" s="37"/>
      <c r="AW104" s="37"/>
      <c r="AX104" s="37"/>
      <c r="AY104" s="37"/>
      <c r="AZ104" s="37"/>
      <c r="BA104" s="37"/>
      <c r="BB104" s="37"/>
    </row>
    <row r="105" spans="1:54" s="5" customFormat="1" x14ac:dyDescent="0.25">
      <c r="A105" s="32"/>
      <c r="B105" s="32"/>
      <c r="C105" s="32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  <c r="AA105" s="36"/>
      <c r="AB105" s="36"/>
      <c r="AC105" s="36"/>
      <c r="AD105" s="36"/>
      <c r="AE105" s="36"/>
      <c r="AF105" s="36"/>
      <c r="AG105" s="36"/>
      <c r="AH105" s="36"/>
      <c r="AI105" s="36"/>
      <c r="AJ105" s="36"/>
      <c r="AK105" s="36"/>
      <c r="AL105" s="36"/>
      <c r="AM105" s="36"/>
      <c r="AN105" s="36"/>
      <c r="AO105" s="36"/>
      <c r="AP105" s="36"/>
      <c r="AQ105" s="36"/>
      <c r="AR105" s="36"/>
      <c r="AS105" s="36"/>
      <c r="AT105" s="36"/>
      <c r="AU105" s="36"/>
      <c r="AV105" s="36"/>
      <c r="AW105" s="36"/>
      <c r="AX105" s="36"/>
      <c r="AY105" s="36"/>
      <c r="AZ105" s="36"/>
      <c r="BA105" s="36"/>
      <c r="BB105" s="36"/>
    </row>
    <row r="106" spans="1:54" x14ac:dyDescent="0.25">
      <c r="A106" s="34"/>
      <c r="B106" s="34"/>
      <c r="C106" s="34"/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7"/>
      <c r="R106" s="35"/>
      <c r="S106" s="35"/>
      <c r="T106" s="35"/>
      <c r="U106" s="35"/>
      <c r="V106" s="37"/>
      <c r="W106" s="37"/>
      <c r="X106" s="35"/>
      <c r="Y106" s="37"/>
      <c r="Z106" s="37"/>
      <c r="AA106" s="35"/>
      <c r="AB106" s="35"/>
      <c r="AC106" s="35"/>
      <c r="AD106" s="37"/>
      <c r="AE106" s="35"/>
      <c r="AF106" s="35"/>
      <c r="AG106" s="35"/>
      <c r="AH106" s="35"/>
      <c r="AI106" s="35"/>
      <c r="AJ106" s="35"/>
      <c r="AK106" s="35"/>
      <c r="AL106" s="37"/>
      <c r="AM106" s="37"/>
      <c r="AN106" s="35"/>
      <c r="AO106" s="35"/>
      <c r="AP106" s="35"/>
      <c r="AQ106" s="35"/>
      <c r="AR106" s="35"/>
      <c r="AS106" s="35"/>
      <c r="AT106" s="35"/>
      <c r="AU106" s="35"/>
      <c r="AV106" s="35"/>
      <c r="AW106" s="35"/>
      <c r="AX106" s="35"/>
      <c r="AY106" s="35"/>
      <c r="AZ106" s="35"/>
      <c r="BA106" s="37"/>
      <c r="BB106" s="37"/>
    </row>
    <row r="107" spans="1:54" s="5" customFormat="1" x14ac:dyDescent="0.25">
      <c r="A107" s="32"/>
      <c r="B107" s="32"/>
      <c r="C107" s="32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6"/>
      <c r="AC107" s="36"/>
      <c r="AD107" s="36"/>
      <c r="AE107" s="36"/>
      <c r="AF107" s="36"/>
      <c r="AG107" s="36"/>
      <c r="AH107" s="36"/>
      <c r="AI107" s="36"/>
      <c r="AJ107" s="36"/>
      <c r="AK107" s="36"/>
      <c r="AL107" s="36"/>
      <c r="AM107" s="33"/>
      <c r="AN107" s="36"/>
      <c r="AO107" s="36"/>
      <c r="AP107" s="36"/>
      <c r="AQ107" s="36"/>
      <c r="AR107" s="36"/>
      <c r="AS107" s="36"/>
      <c r="AT107" s="36"/>
      <c r="AU107" s="36"/>
      <c r="AV107" s="36"/>
      <c r="AW107" s="36"/>
      <c r="AX107" s="36"/>
      <c r="AY107" s="33"/>
      <c r="AZ107" s="33"/>
      <c r="BA107" s="33"/>
      <c r="BB107" s="33"/>
    </row>
    <row r="108" spans="1:54" x14ac:dyDescent="0.25">
      <c r="A108" s="34"/>
      <c r="B108" s="34"/>
      <c r="C108" s="34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  <c r="AF108" s="37"/>
      <c r="AG108" s="37"/>
      <c r="AH108" s="37"/>
      <c r="AI108" s="37"/>
      <c r="AJ108" s="37"/>
      <c r="AK108" s="37"/>
      <c r="AL108" s="37"/>
      <c r="AM108" s="37"/>
      <c r="AN108" s="37"/>
      <c r="AO108" s="37"/>
      <c r="AP108" s="37"/>
      <c r="AQ108" s="37"/>
      <c r="AR108" s="37"/>
      <c r="AS108" s="37"/>
      <c r="AT108" s="37"/>
      <c r="AU108" s="37"/>
      <c r="AV108" s="37"/>
      <c r="AW108" s="37"/>
      <c r="AX108" s="37"/>
      <c r="AY108" s="37"/>
      <c r="AZ108" s="37"/>
      <c r="BA108" s="37"/>
      <c r="BB108" s="37"/>
    </row>
    <row r="109" spans="1:54" s="5" customFormat="1" x14ac:dyDescent="0.25">
      <c r="A109" s="32"/>
      <c r="B109" s="32"/>
      <c r="C109" s="32"/>
      <c r="D109" s="36"/>
      <c r="E109" s="36"/>
      <c r="F109" s="36"/>
      <c r="G109" s="36"/>
      <c r="H109" s="36"/>
      <c r="I109" s="36"/>
      <c r="J109" s="36"/>
      <c r="K109" s="36"/>
      <c r="L109" s="36"/>
      <c r="M109" s="36"/>
      <c r="N109" s="36"/>
      <c r="O109" s="36"/>
      <c r="P109" s="36"/>
      <c r="Q109" s="36"/>
      <c r="R109" s="36"/>
      <c r="S109" s="36"/>
      <c r="T109" s="36"/>
      <c r="U109" s="36"/>
      <c r="V109" s="36"/>
      <c r="W109" s="36"/>
      <c r="X109" s="36"/>
      <c r="Y109" s="36"/>
      <c r="Z109" s="36"/>
      <c r="AA109" s="36"/>
      <c r="AB109" s="36"/>
      <c r="AC109" s="36"/>
      <c r="AD109" s="36"/>
      <c r="AE109" s="36"/>
      <c r="AF109" s="36"/>
      <c r="AG109" s="36"/>
      <c r="AH109" s="36"/>
      <c r="AI109" s="36"/>
      <c r="AJ109" s="36"/>
      <c r="AK109" s="36"/>
      <c r="AL109" s="36"/>
      <c r="AM109" s="36"/>
      <c r="AN109" s="36"/>
      <c r="AO109" s="36"/>
      <c r="AP109" s="36"/>
      <c r="AQ109" s="36"/>
      <c r="AR109" s="36"/>
      <c r="AS109" s="36"/>
      <c r="AT109" s="36"/>
      <c r="AU109" s="36"/>
      <c r="AV109" s="36"/>
      <c r="AW109" s="36"/>
      <c r="AX109" s="36"/>
      <c r="AY109" s="36"/>
      <c r="AZ109" s="36"/>
      <c r="BA109" s="36"/>
      <c r="BB109" s="36"/>
    </row>
    <row r="110" spans="1:54" x14ac:dyDescent="0.25">
      <c r="A110" s="34"/>
      <c r="B110" s="34"/>
      <c r="C110" s="34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7"/>
      <c r="Q110" s="37"/>
      <c r="R110" s="35"/>
      <c r="S110" s="35"/>
      <c r="T110" s="35"/>
      <c r="U110" s="37"/>
      <c r="V110" s="37"/>
      <c r="W110" s="37"/>
      <c r="X110" s="37"/>
      <c r="Y110" s="37"/>
      <c r="Z110" s="37"/>
      <c r="AA110" s="35"/>
      <c r="AB110" s="35"/>
      <c r="AC110" s="35"/>
      <c r="AD110" s="35"/>
      <c r="AE110" s="35"/>
      <c r="AF110" s="37"/>
      <c r="AG110" s="37"/>
      <c r="AH110" s="37"/>
      <c r="AI110" s="37"/>
      <c r="AJ110" s="35"/>
      <c r="AK110" s="35"/>
      <c r="AL110" s="37"/>
      <c r="AM110" s="37"/>
      <c r="AN110" s="37"/>
      <c r="AO110" s="37"/>
      <c r="AP110" s="35"/>
      <c r="AQ110" s="35"/>
      <c r="AR110" s="35"/>
      <c r="AS110" s="35"/>
      <c r="AT110" s="37"/>
      <c r="AU110" s="37"/>
      <c r="AV110" s="37"/>
      <c r="AW110" s="37"/>
      <c r="AX110" s="37"/>
      <c r="AY110" s="37"/>
      <c r="AZ110" s="37"/>
      <c r="BA110" s="37"/>
      <c r="BB110" s="37"/>
    </row>
    <row r="111" spans="1:54" s="5" customFormat="1" x14ac:dyDescent="0.25">
      <c r="A111" s="32"/>
      <c r="B111" s="32"/>
      <c r="C111" s="32"/>
      <c r="D111" s="33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6"/>
      <c r="AD111" s="36"/>
      <c r="AE111" s="36"/>
      <c r="AF111" s="36"/>
      <c r="AG111" s="33"/>
      <c r="AH111" s="33"/>
      <c r="AI111" s="33"/>
      <c r="AJ111" s="33"/>
      <c r="AK111" s="33"/>
      <c r="AL111" s="33"/>
      <c r="AM111" s="33"/>
      <c r="AN111" s="33"/>
      <c r="AO111" s="33"/>
      <c r="AP111" s="33"/>
      <c r="AQ111" s="36"/>
      <c r="AR111" s="33"/>
      <c r="AS111" s="33"/>
      <c r="AT111" s="33"/>
      <c r="AU111" s="33"/>
      <c r="AV111" s="33"/>
      <c r="AW111" s="33"/>
      <c r="AX111" s="33"/>
      <c r="AY111" s="33"/>
      <c r="AZ111" s="33"/>
      <c r="BA111" s="33"/>
      <c r="BB111" s="33"/>
    </row>
    <row r="112" spans="1:54" x14ac:dyDescent="0.25">
      <c r="A112" s="34"/>
      <c r="B112" s="34"/>
      <c r="C112" s="34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  <c r="AD112" s="37"/>
      <c r="AE112" s="37"/>
      <c r="AF112" s="37"/>
      <c r="AG112" s="37"/>
      <c r="AH112" s="37"/>
      <c r="AI112" s="37"/>
      <c r="AJ112" s="37"/>
      <c r="AK112" s="37"/>
      <c r="AL112" s="37"/>
      <c r="AM112" s="37"/>
      <c r="AN112" s="37"/>
      <c r="AO112" s="37"/>
      <c r="AP112" s="37"/>
      <c r="AQ112" s="37"/>
      <c r="AR112" s="37"/>
      <c r="AS112" s="37"/>
      <c r="AT112" s="37"/>
      <c r="AU112" s="37"/>
      <c r="AV112" s="37"/>
      <c r="AW112" s="37"/>
      <c r="AX112" s="37"/>
      <c r="AY112" s="37"/>
      <c r="AZ112" s="37"/>
      <c r="BA112" s="37"/>
      <c r="BB112" s="37"/>
    </row>
    <row r="113" spans="1:54" s="5" customFormat="1" x14ac:dyDescent="0.25">
      <c r="A113" s="32"/>
      <c r="B113" s="32"/>
      <c r="C113" s="32"/>
      <c r="D113" s="33"/>
      <c r="E113" s="33"/>
      <c r="F113" s="33"/>
      <c r="G113" s="33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  <c r="AE113" s="36"/>
      <c r="AF113" s="36"/>
      <c r="AG113" s="36"/>
      <c r="AH113" s="36"/>
      <c r="AI113" s="36"/>
      <c r="AJ113" s="36"/>
      <c r="AK113" s="36"/>
      <c r="AL113" s="36"/>
      <c r="AM113" s="36"/>
      <c r="AN113" s="36"/>
      <c r="AO113" s="36"/>
      <c r="AP113" s="36"/>
      <c r="AQ113" s="36"/>
      <c r="AR113" s="36"/>
      <c r="AS113" s="36"/>
      <c r="AT113" s="36"/>
      <c r="AU113" s="36"/>
      <c r="AV113" s="36"/>
      <c r="AW113" s="36"/>
      <c r="AX113" s="36"/>
      <c r="AY113" s="36"/>
      <c r="AZ113" s="36"/>
      <c r="BA113" s="36"/>
      <c r="BB113" s="36"/>
    </row>
    <row r="114" spans="1:54" x14ac:dyDescent="0.25">
      <c r="A114" s="34"/>
      <c r="B114" s="34"/>
      <c r="C114" s="34"/>
      <c r="D114" s="35"/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35"/>
      <c r="AE114" s="35"/>
      <c r="AF114" s="35"/>
      <c r="AG114" s="35"/>
      <c r="AH114" s="35"/>
      <c r="AI114" s="35"/>
      <c r="AJ114" s="35"/>
      <c r="AK114" s="35"/>
      <c r="AL114" s="35"/>
      <c r="AM114" s="35"/>
      <c r="AN114" s="37"/>
      <c r="AO114" s="37"/>
      <c r="AP114" s="37"/>
      <c r="AQ114" s="37"/>
      <c r="AR114" s="37"/>
      <c r="AS114" s="37"/>
      <c r="AT114" s="37"/>
      <c r="AU114" s="37"/>
      <c r="AV114" s="37"/>
      <c r="AW114" s="37"/>
      <c r="AX114" s="37"/>
      <c r="AY114" s="37"/>
      <c r="AZ114" s="37"/>
      <c r="BA114" s="37"/>
      <c r="BB114" s="37"/>
    </row>
    <row r="115" spans="1:54" s="5" customFormat="1" x14ac:dyDescent="0.25">
      <c r="A115" s="32"/>
      <c r="B115" s="32"/>
      <c r="C115" s="32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  <c r="AA115" s="33"/>
      <c r="AB115" s="36"/>
      <c r="AC115" s="36"/>
      <c r="AD115" s="36"/>
      <c r="AE115" s="36"/>
      <c r="AF115" s="36"/>
      <c r="AG115" s="36"/>
      <c r="AH115" s="36"/>
      <c r="AI115" s="36"/>
      <c r="AJ115" s="33"/>
      <c r="AK115" s="36"/>
      <c r="AL115" s="33"/>
      <c r="AM115" s="33"/>
      <c r="AN115" s="33"/>
      <c r="AO115" s="33"/>
      <c r="AP115" s="33"/>
      <c r="AQ115" s="33"/>
      <c r="AR115" s="33"/>
      <c r="AS115" s="33"/>
      <c r="AT115" s="33"/>
      <c r="AU115" s="33"/>
      <c r="AV115" s="33"/>
      <c r="AW115" s="33"/>
      <c r="AX115" s="33"/>
      <c r="AY115" s="33"/>
      <c r="AZ115" s="33"/>
      <c r="BA115" s="33"/>
      <c r="BB115" s="33"/>
    </row>
    <row r="116" spans="1:54" x14ac:dyDescent="0.25">
      <c r="A116" s="34"/>
      <c r="B116" s="34"/>
      <c r="C116" s="34"/>
      <c r="D116" s="35"/>
      <c r="E116" s="35"/>
      <c r="F116" s="35"/>
      <c r="G116" s="35"/>
      <c r="H116" s="37"/>
      <c r="I116" s="37"/>
      <c r="J116" s="37"/>
      <c r="K116" s="37"/>
      <c r="L116" s="37"/>
      <c r="M116" s="37"/>
      <c r="N116" s="37"/>
      <c r="O116" s="37"/>
      <c r="P116" s="37"/>
      <c r="Q116" s="37"/>
      <c r="R116" s="37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  <c r="AD116" s="37"/>
      <c r="AE116" s="37"/>
      <c r="AF116" s="37"/>
      <c r="AG116" s="37"/>
      <c r="AH116" s="37"/>
      <c r="AI116" s="37"/>
      <c r="AJ116" s="37"/>
      <c r="AK116" s="37"/>
      <c r="AL116" s="37"/>
      <c r="AM116" s="37"/>
      <c r="AN116" s="37"/>
      <c r="AO116" s="37"/>
      <c r="AP116" s="37"/>
      <c r="AQ116" s="37"/>
      <c r="AR116" s="37"/>
      <c r="AS116" s="37"/>
      <c r="AT116" s="37"/>
      <c r="AU116" s="37"/>
      <c r="AV116" s="37"/>
      <c r="AW116" s="37"/>
      <c r="AX116" s="37"/>
      <c r="AY116" s="37"/>
      <c r="AZ116" s="37"/>
      <c r="BA116" s="37"/>
      <c r="BB116" s="37"/>
    </row>
    <row r="117" spans="1:54" s="5" customFormat="1" x14ac:dyDescent="0.25">
      <c r="A117" s="32"/>
      <c r="B117" s="32"/>
      <c r="C117" s="32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6"/>
      <c r="W117" s="36"/>
      <c r="X117" s="36"/>
      <c r="Y117" s="36"/>
      <c r="Z117" s="36"/>
      <c r="AA117" s="36"/>
      <c r="AB117" s="36"/>
      <c r="AC117" s="36"/>
      <c r="AD117" s="36"/>
      <c r="AE117" s="36"/>
      <c r="AF117" s="36"/>
      <c r="AG117" s="36"/>
      <c r="AH117" s="36"/>
      <c r="AI117" s="36"/>
      <c r="AJ117" s="36"/>
      <c r="AK117" s="36"/>
      <c r="AL117" s="36"/>
      <c r="AM117" s="36"/>
      <c r="AN117" s="36"/>
      <c r="AO117" s="36"/>
      <c r="AP117" s="36"/>
      <c r="AQ117" s="36"/>
      <c r="AR117" s="36"/>
      <c r="AS117" s="36"/>
      <c r="AT117" s="36"/>
      <c r="AU117" s="36"/>
      <c r="AV117" s="36"/>
      <c r="AW117" s="36"/>
      <c r="AX117" s="36"/>
      <c r="AY117" s="36"/>
      <c r="AZ117" s="36"/>
      <c r="BA117" s="36"/>
      <c r="BB117" s="36"/>
    </row>
    <row r="118" spans="1:54" x14ac:dyDescent="0.25">
      <c r="A118" s="34"/>
      <c r="B118" s="34"/>
      <c r="C118" s="34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35"/>
      <c r="AE118" s="35"/>
      <c r="AF118" s="37"/>
      <c r="AG118" s="35"/>
      <c r="AH118" s="35"/>
      <c r="AI118" s="35"/>
      <c r="AJ118" s="35"/>
      <c r="AK118" s="35"/>
      <c r="AL118" s="37"/>
      <c r="AM118" s="35"/>
      <c r="AN118" s="35"/>
      <c r="AO118" s="35"/>
      <c r="AP118" s="35"/>
      <c r="AQ118" s="35"/>
      <c r="AR118" s="35"/>
      <c r="AS118" s="35"/>
      <c r="AT118" s="35"/>
      <c r="AU118" s="37"/>
      <c r="AV118" s="35"/>
      <c r="AW118" s="35"/>
      <c r="AX118" s="35"/>
      <c r="AY118" s="35"/>
      <c r="AZ118" s="35"/>
      <c r="BA118" s="35"/>
      <c r="BB118" s="35"/>
    </row>
    <row r="119" spans="1:54" s="5" customFormat="1" x14ac:dyDescent="0.25">
      <c r="A119" s="32"/>
      <c r="B119" s="32"/>
      <c r="C119" s="32"/>
      <c r="D119" s="33"/>
      <c r="E119" s="33"/>
      <c r="F119" s="33"/>
      <c r="G119" s="33"/>
      <c r="H119" s="33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3"/>
      <c r="T119" s="36"/>
      <c r="U119" s="36"/>
      <c r="V119" s="36"/>
      <c r="W119" s="36"/>
      <c r="X119" s="33"/>
      <c r="Y119" s="33"/>
      <c r="Z119" s="33"/>
      <c r="AA119" s="36"/>
      <c r="AB119" s="36"/>
      <c r="AC119" s="33"/>
      <c r="AD119" s="36"/>
      <c r="AE119" s="33"/>
      <c r="AF119" s="33"/>
      <c r="AG119" s="33"/>
      <c r="AH119" s="33"/>
      <c r="AI119" s="33"/>
      <c r="AJ119" s="36"/>
      <c r="AK119" s="36"/>
      <c r="AL119" s="33"/>
      <c r="AM119" s="33"/>
      <c r="AN119" s="33"/>
      <c r="AO119" s="36"/>
      <c r="AP119" s="36"/>
      <c r="AQ119" s="36"/>
      <c r="AR119" s="36"/>
      <c r="AS119" s="36"/>
      <c r="AT119" s="36"/>
      <c r="AU119" s="33"/>
      <c r="AV119" s="33"/>
      <c r="AW119" s="36"/>
      <c r="AX119" s="36"/>
      <c r="AY119" s="33"/>
      <c r="AZ119" s="33"/>
      <c r="BA119" s="33"/>
      <c r="BB119" s="33"/>
    </row>
    <row r="120" spans="1:54" x14ac:dyDescent="0.25">
      <c r="A120" s="34"/>
      <c r="B120" s="34"/>
      <c r="C120" s="34"/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  <c r="Q120" s="37"/>
      <c r="R120" s="37"/>
      <c r="S120" s="37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  <c r="AD120" s="37"/>
      <c r="AE120" s="37"/>
      <c r="AF120" s="37"/>
      <c r="AG120" s="37"/>
      <c r="AH120" s="37"/>
      <c r="AI120" s="37"/>
      <c r="AJ120" s="37"/>
      <c r="AK120" s="37"/>
      <c r="AL120" s="37"/>
      <c r="AM120" s="37"/>
      <c r="AN120" s="37"/>
      <c r="AO120" s="37"/>
      <c r="AP120" s="37"/>
      <c r="AQ120" s="37"/>
      <c r="AR120" s="37"/>
      <c r="AS120" s="37"/>
      <c r="AT120" s="37"/>
      <c r="AU120" s="37"/>
      <c r="AV120" s="37"/>
      <c r="AW120" s="37"/>
      <c r="AX120" s="37"/>
      <c r="AY120" s="37"/>
      <c r="AZ120" s="37"/>
      <c r="BA120" s="37"/>
      <c r="BB120" s="37"/>
    </row>
    <row r="121" spans="1:54" s="5" customFormat="1" x14ac:dyDescent="0.25">
      <c r="A121" s="32"/>
      <c r="B121" s="32"/>
      <c r="C121" s="32"/>
      <c r="D121" s="36"/>
      <c r="E121" s="36"/>
      <c r="F121" s="36"/>
      <c r="G121" s="36"/>
      <c r="H121" s="36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36"/>
      <c r="W121" s="36"/>
      <c r="X121" s="36"/>
      <c r="Y121" s="36"/>
      <c r="Z121" s="36"/>
      <c r="AA121" s="36"/>
      <c r="AB121" s="36"/>
      <c r="AC121" s="36"/>
      <c r="AD121" s="36"/>
      <c r="AE121" s="36"/>
      <c r="AF121" s="36"/>
      <c r="AG121" s="36"/>
      <c r="AH121" s="36"/>
      <c r="AI121" s="36"/>
      <c r="AJ121" s="36"/>
      <c r="AK121" s="36"/>
      <c r="AL121" s="36"/>
      <c r="AM121" s="36"/>
      <c r="AN121" s="36"/>
      <c r="AO121" s="36"/>
      <c r="AP121" s="36"/>
      <c r="AQ121" s="36"/>
      <c r="AR121" s="36"/>
      <c r="AS121" s="36"/>
      <c r="AT121" s="36"/>
      <c r="AU121" s="36"/>
      <c r="AV121" s="36"/>
      <c r="AW121" s="36"/>
      <c r="AX121" s="36"/>
      <c r="AY121" s="36"/>
      <c r="AZ121" s="36"/>
      <c r="BA121" s="36"/>
      <c r="BB121" s="36"/>
    </row>
    <row r="122" spans="1:54" x14ac:dyDescent="0.25">
      <c r="A122" s="34"/>
      <c r="B122" s="34"/>
      <c r="C122" s="34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  <c r="AS122" s="35"/>
      <c r="AT122" s="35"/>
      <c r="AU122" s="35"/>
      <c r="AV122" s="35"/>
      <c r="AW122" s="35"/>
      <c r="AX122" s="35"/>
      <c r="AY122" s="35"/>
      <c r="AZ122" s="35"/>
      <c r="BA122" s="35"/>
      <c r="BB122" s="35"/>
    </row>
    <row r="123" spans="1:54" s="5" customFormat="1" x14ac:dyDescent="0.25">
      <c r="A123" s="32"/>
      <c r="B123" s="32"/>
      <c r="C123" s="32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  <c r="AF123" s="36"/>
      <c r="AG123" s="33"/>
      <c r="AH123" s="33"/>
      <c r="AI123" s="33"/>
      <c r="AJ123" s="33"/>
      <c r="AK123" s="33"/>
      <c r="AL123" s="33"/>
      <c r="AM123" s="33"/>
      <c r="AN123" s="33"/>
      <c r="AO123" s="33"/>
      <c r="AP123" s="33"/>
      <c r="AQ123" s="33"/>
      <c r="AR123" s="33"/>
      <c r="AS123" s="33"/>
      <c r="AT123" s="33"/>
      <c r="AU123" s="33"/>
      <c r="AV123" s="33"/>
      <c r="AW123" s="33"/>
      <c r="AX123" s="33"/>
      <c r="AY123" s="33"/>
      <c r="AZ123" s="33"/>
      <c r="BA123" s="33"/>
      <c r="BB123" s="33"/>
    </row>
    <row r="124" spans="1:54" x14ac:dyDescent="0.25">
      <c r="A124" s="34"/>
      <c r="B124" s="34"/>
      <c r="C124" s="34"/>
      <c r="D124" s="37"/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37"/>
      <c r="S124" s="37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  <c r="AD124" s="37"/>
      <c r="AE124" s="37"/>
      <c r="AF124" s="37"/>
      <c r="AG124" s="37"/>
      <c r="AH124" s="37"/>
      <c r="AI124" s="37"/>
      <c r="AJ124" s="37"/>
      <c r="AK124" s="37"/>
      <c r="AL124" s="37"/>
      <c r="AM124" s="37"/>
      <c r="AN124" s="37"/>
      <c r="AO124" s="37"/>
      <c r="AP124" s="37"/>
      <c r="AQ124" s="37"/>
      <c r="AR124" s="37"/>
      <c r="AS124" s="37"/>
      <c r="AT124" s="37"/>
      <c r="AU124" s="37"/>
      <c r="AV124" s="37"/>
      <c r="AW124" s="37"/>
      <c r="AX124" s="37"/>
      <c r="AY124" s="37"/>
      <c r="AZ124" s="37"/>
      <c r="BA124" s="37"/>
      <c r="BB124" s="37"/>
    </row>
    <row r="125" spans="1:54" s="5" customFormat="1" x14ac:dyDescent="0.25">
      <c r="A125" s="34"/>
      <c r="B125" s="34"/>
      <c r="C125" s="34"/>
      <c r="D125" s="35"/>
      <c r="E125" s="35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7"/>
      <c r="AF125" s="37"/>
      <c r="AG125" s="37"/>
      <c r="AH125" s="37"/>
      <c r="AI125" s="37"/>
      <c r="AJ125" s="37"/>
      <c r="AK125" s="37"/>
      <c r="AL125" s="37"/>
      <c r="AM125" s="37"/>
      <c r="AN125" s="37"/>
      <c r="AO125" s="37"/>
      <c r="AP125" s="37"/>
      <c r="AQ125" s="37"/>
      <c r="AR125" s="37"/>
      <c r="AS125" s="37"/>
      <c r="AT125" s="37"/>
      <c r="AU125" s="37"/>
      <c r="AV125" s="37"/>
      <c r="AW125" s="37"/>
      <c r="AX125" s="37"/>
      <c r="AY125" s="37"/>
      <c r="AZ125" s="37"/>
      <c r="BA125" s="37"/>
      <c r="BB125" s="37"/>
    </row>
    <row r="126" spans="1:54" x14ac:dyDescent="0.25">
      <c r="A126" s="34"/>
      <c r="B126" s="32"/>
      <c r="C126" s="32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36"/>
      <c r="AJ126" s="33"/>
      <c r="AK126" s="36"/>
      <c r="AL126" s="36"/>
      <c r="AM126" s="36"/>
      <c r="AN126" s="36"/>
      <c r="AO126" s="33"/>
      <c r="AP126" s="33"/>
      <c r="AQ126" s="33"/>
      <c r="AR126" s="36"/>
      <c r="AS126" s="36"/>
      <c r="AT126" s="33"/>
      <c r="AU126" s="36"/>
      <c r="AV126" s="36"/>
      <c r="AW126" s="36"/>
      <c r="AX126" s="36"/>
      <c r="AY126" s="33"/>
      <c r="AZ126" s="36"/>
      <c r="BA126" s="36"/>
      <c r="BB126" s="36"/>
    </row>
    <row r="127" spans="1:54" s="5" customFormat="1" x14ac:dyDescent="0.25">
      <c r="A127" s="34"/>
      <c r="B127" s="34"/>
      <c r="C127" s="34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35"/>
      <c r="AE127" s="35"/>
      <c r="AF127" s="35"/>
      <c r="AG127" s="35"/>
      <c r="AH127" s="35"/>
      <c r="AI127" s="37"/>
      <c r="AJ127" s="37"/>
      <c r="AK127" s="37"/>
      <c r="AL127" s="35"/>
      <c r="AM127" s="35"/>
      <c r="AN127" s="35"/>
      <c r="AO127" s="35"/>
      <c r="AP127" s="35"/>
      <c r="AQ127" s="35"/>
      <c r="AR127" s="35"/>
      <c r="AS127" s="35"/>
      <c r="AT127" s="35"/>
      <c r="AU127" s="35"/>
      <c r="AV127" s="35"/>
      <c r="AW127" s="35"/>
      <c r="AX127" s="35"/>
      <c r="AY127" s="35"/>
      <c r="AZ127" s="35"/>
      <c r="BA127" s="35"/>
      <c r="BB127" s="35"/>
    </row>
    <row r="128" spans="1:54" x14ac:dyDescent="0.25">
      <c r="A128" s="34"/>
      <c r="B128" s="32"/>
      <c r="C128" s="32"/>
      <c r="D128" s="36"/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  <c r="AJ128" s="36"/>
      <c r="AK128" s="36"/>
      <c r="AL128" s="36"/>
      <c r="AM128" s="36"/>
      <c r="AN128" s="36"/>
      <c r="AO128" s="36"/>
      <c r="AP128" s="36"/>
      <c r="AQ128" s="36"/>
      <c r="AR128" s="36"/>
      <c r="AS128" s="36"/>
      <c r="AT128" s="36"/>
      <c r="AU128" s="36"/>
      <c r="AV128" s="36"/>
      <c r="AW128" s="36"/>
      <c r="AX128" s="36"/>
      <c r="AY128" s="36"/>
      <c r="AZ128" s="36"/>
      <c r="BA128" s="36"/>
      <c r="BB128" s="36"/>
    </row>
    <row r="129" spans="1:54" x14ac:dyDescent="0.25">
      <c r="A129" s="34"/>
      <c r="B129" s="34"/>
      <c r="C129" s="34"/>
      <c r="D129" s="37"/>
      <c r="E129" s="37"/>
      <c r="F129" s="37"/>
      <c r="G129" s="37"/>
      <c r="H129" s="37"/>
      <c r="I129" s="37"/>
      <c r="J129" s="37"/>
      <c r="K129" s="37"/>
      <c r="L129" s="37"/>
      <c r="M129" s="37"/>
      <c r="N129" s="37"/>
      <c r="O129" s="37"/>
      <c r="P129" s="37"/>
      <c r="Q129" s="37"/>
      <c r="R129" s="37"/>
      <c r="S129" s="37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  <c r="AD129" s="37"/>
      <c r="AE129" s="37"/>
      <c r="AF129" s="37"/>
      <c r="AG129" s="37"/>
      <c r="AH129" s="37"/>
      <c r="AI129" s="37"/>
      <c r="AJ129" s="37"/>
      <c r="AK129" s="37"/>
      <c r="AL129" s="37"/>
      <c r="AM129" s="37"/>
      <c r="AN129" s="37"/>
      <c r="AO129" s="37"/>
      <c r="AP129" s="37"/>
      <c r="AQ129" s="37"/>
      <c r="AR129" s="37"/>
      <c r="AS129" s="37"/>
      <c r="AT129" s="37"/>
      <c r="AU129" s="37"/>
      <c r="AV129" s="37"/>
      <c r="AW129" s="37"/>
      <c r="AX129" s="37"/>
      <c r="AY129" s="37"/>
      <c r="AZ129" s="37"/>
      <c r="BA129" s="37"/>
      <c r="BB129" s="37"/>
    </row>
    <row r="130" spans="1:54" s="5" customFormat="1" x14ac:dyDescent="0.25">
      <c r="A130" s="32"/>
      <c r="B130" s="32"/>
      <c r="C130" s="32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  <c r="AJ130" s="36"/>
      <c r="AK130" s="36"/>
      <c r="AL130" s="36"/>
      <c r="AM130" s="36"/>
      <c r="AN130" s="36"/>
      <c r="AO130" s="36"/>
      <c r="AP130" s="33"/>
      <c r="AQ130" s="36"/>
      <c r="AR130" s="33"/>
      <c r="AS130" s="36"/>
      <c r="AT130" s="33"/>
      <c r="AU130" s="36"/>
      <c r="AV130" s="36"/>
      <c r="AW130" s="36"/>
      <c r="AX130" s="33"/>
      <c r="AY130" s="33"/>
      <c r="AZ130" s="33"/>
      <c r="BA130" s="36"/>
      <c r="BB130" s="36"/>
    </row>
    <row r="131" spans="1:54" x14ac:dyDescent="0.25">
      <c r="A131" s="34"/>
      <c r="B131" s="34"/>
      <c r="C131" s="34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35"/>
      <c r="AE131" s="35"/>
      <c r="AF131" s="35"/>
      <c r="AG131" s="35"/>
      <c r="AH131" s="35"/>
      <c r="AI131" s="35"/>
      <c r="AJ131" s="35"/>
      <c r="AK131" s="35"/>
      <c r="AL131" s="35"/>
      <c r="AM131" s="35"/>
      <c r="AN131" s="35"/>
      <c r="AO131" s="37"/>
      <c r="AP131" s="35"/>
      <c r="AQ131" s="35"/>
      <c r="AR131" s="35"/>
      <c r="AS131" s="37"/>
      <c r="AT131" s="37"/>
      <c r="AU131" s="37"/>
      <c r="AV131" s="37"/>
      <c r="AW131" s="37"/>
      <c r="AX131" s="37"/>
      <c r="AY131" s="37"/>
      <c r="AZ131" s="35"/>
      <c r="BA131" s="35"/>
      <c r="BB131" s="37"/>
    </row>
    <row r="132" spans="1:54" s="5" customFormat="1" x14ac:dyDescent="0.25">
      <c r="A132" s="32"/>
      <c r="B132" s="32"/>
      <c r="C132" s="32"/>
      <c r="D132" s="3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  <c r="AE132" s="36"/>
      <c r="AF132" s="36"/>
      <c r="AG132" s="36"/>
      <c r="AH132" s="36"/>
      <c r="AI132" s="36"/>
      <c r="AJ132" s="36"/>
      <c r="AK132" s="36"/>
      <c r="AL132" s="36"/>
      <c r="AM132" s="36"/>
      <c r="AN132" s="36"/>
      <c r="AO132" s="36"/>
      <c r="AP132" s="36"/>
      <c r="AQ132" s="36"/>
      <c r="AR132" s="36"/>
      <c r="AS132" s="36"/>
      <c r="AT132" s="36"/>
      <c r="AU132" s="36"/>
      <c r="AV132" s="36"/>
      <c r="AW132" s="36"/>
      <c r="AX132" s="36"/>
      <c r="AY132" s="36"/>
      <c r="AZ132" s="36"/>
      <c r="BA132" s="36"/>
      <c r="BB132" s="36"/>
    </row>
    <row r="133" spans="1:54" x14ac:dyDescent="0.25">
      <c r="A133" s="34"/>
      <c r="B133" s="34"/>
      <c r="C133" s="34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37"/>
      <c r="R133" s="37"/>
      <c r="S133" s="37"/>
      <c r="T133" s="37"/>
      <c r="U133" s="37"/>
      <c r="V133" s="37"/>
      <c r="W133" s="37"/>
      <c r="X133" s="37"/>
      <c r="Y133" s="37"/>
      <c r="Z133" s="37"/>
      <c r="AA133" s="37"/>
      <c r="AB133" s="37"/>
      <c r="AC133" s="37"/>
      <c r="AD133" s="37"/>
      <c r="AE133" s="37"/>
      <c r="AF133" s="37"/>
      <c r="AG133" s="37"/>
      <c r="AH133" s="37"/>
      <c r="AI133" s="37"/>
      <c r="AJ133" s="37"/>
      <c r="AK133" s="37"/>
      <c r="AL133" s="37"/>
      <c r="AM133" s="37"/>
      <c r="AN133" s="37"/>
      <c r="AO133" s="37"/>
      <c r="AP133" s="37"/>
      <c r="AQ133" s="37"/>
      <c r="AR133" s="37"/>
      <c r="AS133" s="37"/>
      <c r="AT133" s="37"/>
      <c r="AU133" s="37"/>
      <c r="AV133" s="37"/>
      <c r="AW133" s="37"/>
      <c r="AX133" s="37"/>
      <c r="AY133" s="37"/>
      <c r="AZ133" s="37"/>
      <c r="BA133" s="37"/>
      <c r="BB133" s="37"/>
    </row>
    <row r="134" spans="1:54" s="5" customFormat="1" x14ac:dyDescent="0.25">
      <c r="A134" s="32"/>
      <c r="B134" s="32"/>
      <c r="C134" s="32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6"/>
      <c r="Z134" s="36"/>
      <c r="AA134" s="36"/>
      <c r="AB134" s="36"/>
      <c r="AC134" s="36"/>
      <c r="AD134" s="36"/>
      <c r="AE134" s="36"/>
      <c r="AF134" s="36"/>
      <c r="AG134" s="36"/>
      <c r="AH134" s="36"/>
      <c r="AI134" s="36"/>
      <c r="AJ134" s="36"/>
      <c r="AK134" s="36"/>
      <c r="AL134" s="36"/>
      <c r="AM134" s="36"/>
      <c r="AN134" s="36"/>
      <c r="AO134" s="36"/>
      <c r="AP134" s="36"/>
      <c r="AQ134" s="36"/>
      <c r="AR134" s="36"/>
      <c r="AS134" s="36"/>
      <c r="AT134" s="36"/>
      <c r="AU134" s="36"/>
      <c r="AV134" s="36"/>
      <c r="AW134" s="36"/>
      <c r="AX134" s="36"/>
      <c r="AY134" s="36"/>
      <c r="AZ134" s="36"/>
      <c r="BA134" s="36"/>
      <c r="BB134" s="36"/>
    </row>
    <row r="135" spans="1:54" x14ac:dyDescent="0.25">
      <c r="A135" s="34"/>
      <c r="B135" s="34"/>
      <c r="C135" s="34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  <c r="AE135" s="35"/>
      <c r="AF135" s="35"/>
      <c r="AG135" s="35"/>
      <c r="AH135" s="35"/>
      <c r="AI135" s="35"/>
      <c r="AJ135" s="35"/>
      <c r="AK135" s="35"/>
      <c r="AL135" s="35"/>
      <c r="AM135" s="35"/>
      <c r="AN135" s="35"/>
      <c r="AO135" s="35"/>
      <c r="AP135" s="35"/>
      <c r="AQ135" s="35"/>
      <c r="AR135" s="35"/>
      <c r="AS135" s="35"/>
      <c r="AT135" s="35"/>
      <c r="AU135" s="35"/>
      <c r="AV135" s="35"/>
      <c r="AW135" s="35"/>
      <c r="AX135" s="35"/>
      <c r="AY135" s="35"/>
      <c r="AZ135" s="35"/>
      <c r="BA135" s="35"/>
      <c r="BB135" s="35"/>
    </row>
    <row r="136" spans="1:54" s="5" customFormat="1" x14ac:dyDescent="0.25">
      <c r="A136" s="32"/>
      <c r="B136" s="32"/>
      <c r="C136" s="32"/>
      <c r="D136" s="3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6"/>
      <c r="W136" s="36"/>
      <c r="X136" s="36"/>
      <c r="Y136" s="36"/>
      <c r="Z136" s="36"/>
      <c r="AA136" s="36"/>
      <c r="AB136" s="36"/>
      <c r="AC136" s="36"/>
      <c r="AD136" s="36"/>
      <c r="AE136" s="36"/>
      <c r="AF136" s="36"/>
      <c r="AG136" s="36"/>
      <c r="AH136" s="36"/>
      <c r="AI136" s="36"/>
      <c r="AJ136" s="36"/>
      <c r="AK136" s="36"/>
      <c r="AL136" s="36"/>
      <c r="AM136" s="36"/>
      <c r="AN136" s="36"/>
      <c r="AO136" s="36"/>
      <c r="AP136" s="36"/>
      <c r="AQ136" s="36"/>
      <c r="AR136" s="36"/>
      <c r="AS136" s="36"/>
      <c r="AT136" s="36"/>
      <c r="AU136" s="36"/>
      <c r="AV136" s="36"/>
      <c r="AW136" s="36"/>
      <c r="AX136" s="36"/>
      <c r="AY136" s="36"/>
      <c r="AZ136" s="36"/>
      <c r="BA136" s="36"/>
      <c r="BB136" s="36"/>
    </row>
    <row r="137" spans="1:54" x14ac:dyDescent="0.25">
      <c r="A137" s="34"/>
      <c r="B137" s="34"/>
      <c r="C137" s="34"/>
      <c r="D137" s="37"/>
      <c r="E137" s="37"/>
      <c r="F137" s="37"/>
      <c r="G137" s="37"/>
      <c r="H137" s="37"/>
      <c r="I137" s="37"/>
      <c r="J137" s="37"/>
      <c r="K137" s="37"/>
      <c r="L137" s="37"/>
      <c r="M137" s="37"/>
      <c r="N137" s="37"/>
      <c r="O137" s="37"/>
      <c r="P137" s="37"/>
      <c r="Q137" s="37"/>
      <c r="R137" s="37"/>
      <c r="S137" s="37"/>
      <c r="T137" s="37"/>
      <c r="U137" s="37"/>
      <c r="V137" s="37"/>
      <c r="W137" s="37"/>
      <c r="X137" s="37"/>
      <c r="Y137" s="37"/>
      <c r="Z137" s="37"/>
      <c r="AA137" s="37"/>
      <c r="AB137" s="37"/>
      <c r="AC137" s="37"/>
      <c r="AD137" s="37"/>
      <c r="AE137" s="37"/>
      <c r="AF137" s="37"/>
      <c r="AG137" s="37"/>
      <c r="AH137" s="37"/>
      <c r="AI137" s="37"/>
      <c r="AJ137" s="37"/>
      <c r="AK137" s="37"/>
      <c r="AL137" s="37"/>
      <c r="AM137" s="37"/>
      <c r="AN137" s="37"/>
      <c r="AO137" s="37"/>
      <c r="AP137" s="37"/>
      <c r="AQ137" s="37"/>
      <c r="AR137" s="35"/>
      <c r="AS137" s="37"/>
      <c r="AT137" s="37"/>
      <c r="AU137" s="35"/>
      <c r="AV137" s="37"/>
      <c r="AW137" s="35"/>
      <c r="AX137" s="35"/>
      <c r="AY137" s="35"/>
      <c r="AZ137" s="35"/>
      <c r="BA137" s="35"/>
      <c r="BB137" s="35"/>
    </row>
    <row r="138" spans="1:54" s="5" customFormat="1" x14ac:dyDescent="0.25">
      <c r="A138" s="32"/>
      <c r="B138" s="32"/>
      <c r="C138" s="32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F138" s="33"/>
      <c r="AG138" s="33"/>
      <c r="AH138" s="33"/>
      <c r="AI138" s="33"/>
      <c r="AJ138" s="33"/>
      <c r="AK138" s="33"/>
      <c r="AL138" s="33"/>
      <c r="AM138" s="33"/>
      <c r="AN138" s="33"/>
      <c r="AO138" s="33"/>
      <c r="AP138" s="33"/>
      <c r="AQ138" s="33"/>
      <c r="AR138" s="33"/>
      <c r="AS138" s="33"/>
      <c r="AT138" s="33"/>
      <c r="AU138" s="33"/>
      <c r="AV138" s="33"/>
      <c r="AW138" s="33"/>
      <c r="AX138" s="33"/>
      <c r="AY138" s="33"/>
      <c r="AZ138" s="33"/>
      <c r="BA138" s="33"/>
      <c r="BB138" s="33"/>
    </row>
    <row r="139" spans="1:54" x14ac:dyDescent="0.25">
      <c r="A139" s="34"/>
      <c r="B139" s="34"/>
      <c r="C139" s="34"/>
      <c r="D139" s="37"/>
      <c r="E139" s="37"/>
      <c r="F139" s="37"/>
      <c r="G139" s="37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  <c r="AE139" s="35"/>
      <c r="AF139" s="35"/>
      <c r="AG139" s="35"/>
      <c r="AH139" s="35"/>
      <c r="AI139" s="35"/>
      <c r="AJ139" s="35"/>
      <c r="AK139" s="35"/>
      <c r="AL139" s="35"/>
      <c r="AM139" s="35"/>
      <c r="AN139" s="35"/>
      <c r="AO139" s="35"/>
      <c r="AP139" s="35"/>
      <c r="AQ139" s="35"/>
      <c r="AR139" s="35"/>
      <c r="AS139" s="35"/>
      <c r="AT139" s="35"/>
      <c r="AU139" s="35"/>
      <c r="AV139" s="35"/>
      <c r="AW139" s="35"/>
      <c r="AX139" s="35"/>
      <c r="AY139" s="35"/>
      <c r="AZ139" s="35"/>
      <c r="BA139" s="35"/>
      <c r="BB139" s="35"/>
    </row>
    <row r="140" spans="1:54" s="5" customFormat="1" x14ac:dyDescent="0.25">
      <c r="A140" s="32"/>
      <c r="B140" s="32"/>
      <c r="C140" s="32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6"/>
      <c r="R140" s="36"/>
      <c r="S140" s="36"/>
      <c r="T140" s="36"/>
      <c r="U140" s="36"/>
      <c r="V140" s="36"/>
      <c r="W140" s="36"/>
      <c r="X140" s="36"/>
      <c r="Y140" s="36"/>
      <c r="Z140" s="36"/>
      <c r="AA140" s="36"/>
      <c r="AB140" s="36"/>
      <c r="AC140" s="36"/>
      <c r="AD140" s="36"/>
      <c r="AE140" s="36"/>
      <c r="AF140" s="36"/>
      <c r="AG140" s="36"/>
      <c r="AH140" s="36"/>
      <c r="AI140" s="36"/>
      <c r="AJ140" s="36"/>
      <c r="AK140" s="36"/>
      <c r="AL140" s="36"/>
      <c r="AM140" s="36"/>
      <c r="AN140" s="33"/>
      <c r="AO140" s="36"/>
      <c r="AP140" s="33"/>
      <c r="AQ140" s="33"/>
      <c r="AR140" s="33"/>
      <c r="AS140" s="33"/>
      <c r="AT140" s="33"/>
      <c r="AU140" s="33"/>
      <c r="AV140" s="33"/>
      <c r="AW140" s="36"/>
      <c r="AX140" s="36"/>
      <c r="AY140" s="33"/>
      <c r="AZ140" s="33"/>
      <c r="BA140" s="33"/>
      <c r="BB140" s="33"/>
    </row>
    <row r="141" spans="1:54" x14ac:dyDescent="0.25">
      <c r="A141" s="34"/>
      <c r="B141" s="34"/>
      <c r="C141" s="34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  <c r="AE141" s="35"/>
      <c r="AF141" s="35"/>
      <c r="AG141" s="35"/>
      <c r="AH141" s="35"/>
      <c r="AI141" s="35"/>
      <c r="AJ141" s="35"/>
      <c r="AK141" s="35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</row>
    <row r="142" spans="1:54" s="5" customFormat="1" x14ac:dyDescent="0.25">
      <c r="A142" s="32"/>
      <c r="B142" s="32"/>
      <c r="C142" s="32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3"/>
      <c r="AI142" s="33"/>
      <c r="AJ142" s="33"/>
      <c r="AK142" s="3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6"/>
      <c r="AY142" s="36"/>
      <c r="AZ142" s="36"/>
      <c r="BA142" s="36"/>
      <c r="BB142" s="36"/>
    </row>
    <row r="143" spans="1:54" x14ac:dyDescent="0.25">
      <c r="A143" s="34"/>
      <c r="B143" s="34"/>
      <c r="C143" s="34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7"/>
      <c r="AY143" s="37"/>
      <c r="AZ143" s="37"/>
      <c r="BA143" s="37"/>
      <c r="BB143" s="37"/>
    </row>
    <row r="144" spans="1:54" s="5" customFormat="1" x14ac:dyDescent="0.25">
      <c r="A144" s="32"/>
      <c r="B144" s="32"/>
      <c r="C144" s="32"/>
      <c r="D144" s="33"/>
      <c r="E144" s="33"/>
      <c r="F144" s="36"/>
      <c r="G144" s="36"/>
      <c r="H144" s="36"/>
      <c r="I144" s="36"/>
      <c r="J144" s="36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6"/>
      <c r="W144" s="36"/>
      <c r="X144" s="36"/>
      <c r="Y144" s="36"/>
      <c r="Z144" s="36"/>
      <c r="AA144" s="36"/>
      <c r="AB144" s="36"/>
      <c r="AC144" s="36"/>
      <c r="AD144" s="36"/>
      <c r="AE144" s="36"/>
      <c r="AF144" s="36"/>
      <c r="AG144" s="36"/>
      <c r="AH144" s="36"/>
      <c r="AI144" s="36"/>
      <c r="AJ144" s="36"/>
      <c r="AK144" s="36"/>
      <c r="AL144" s="36"/>
      <c r="AM144" s="36"/>
      <c r="AN144" s="36"/>
      <c r="AO144" s="36"/>
      <c r="AP144" s="36"/>
      <c r="AQ144" s="36"/>
      <c r="AR144" s="36"/>
      <c r="AS144" s="36"/>
      <c r="AT144" s="36"/>
      <c r="AU144" s="36"/>
      <c r="AV144" s="36"/>
      <c r="AW144" s="36"/>
      <c r="AX144" s="36"/>
      <c r="AY144" s="36"/>
      <c r="AZ144" s="36"/>
      <c r="BA144" s="36"/>
      <c r="BB144" s="36"/>
    </row>
    <row r="145" spans="1:54" x14ac:dyDescent="0.25">
      <c r="A145" s="34"/>
      <c r="B145" s="34"/>
      <c r="C145" s="34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</row>
    <row r="146" spans="1:54" s="5" customFormat="1" x14ac:dyDescent="0.25">
      <c r="A146" s="32"/>
      <c r="B146" s="32"/>
      <c r="C146" s="32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6"/>
      <c r="AW146" s="33"/>
      <c r="AX146" s="36"/>
      <c r="AY146" s="33"/>
      <c r="AZ146" s="33"/>
      <c r="BA146" s="33"/>
      <c r="BB146" s="33"/>
    </row>
    <row r="147" spans="1:54" x14ac:dyDescent="0.25">
      <c r="A147" s="34"/>
      <c r="B147" s="34"/>
      <c r="C147" s="34"/>
      <c r="D147" s="35"/>
      <c r="E147" s="35"/>
      <c r="F147" s="35"/>
      <c r="G147" s="35"/>
      <c r="H147" s="37"/>
      <c r="I147" s="35"/>
      <c r="J147" s="35"/>
      <c r="K147" s="35"/>
      <c r="L147" s="35"/>
      <c r="M147" s="37"/>
      <c r="N147" s="37"/>
      <c r="O147" s="37"/>
      <c r="P147" s="37"/>
      <c r="Q147" s="37"/>
      <c r="R147" s="37"/>
      <c r="S147" s="37"/>
      <c r="T147" s="37"/>
      <c r="U147" s="37"/>
      <c r="V147" s="37"/>
      <c r="W147" s="37"/>
      <c r="X147" s="37"/>
      <c r="Y147" s="37"/>
      <c r="Z147" s="37"/>
      <c r="AA147" s="37"/>
      <c r="AB147" s="37"/>
      <c r="AC147" s="37"/>
      <c r="AD147" s="37"/>
      <c r="AE147" s="37"/>
      <c r="AF147" s="37"/>
      <c r="AG147" s="37"/>
      <c r="AH147" s="37"/>
      <c r="AI147" s="37"/>
      <c r="AJ147" s="37"/>
      <c r="AK147" s="37"/>
      <c r="AL147" s="37"/>
      <c r="AM147" s="37"/>
      <c r="AN147" s="37"/>
      <c r="AO147" s="37"/>
      <c r="AP147" s="37"/>
      <c r="AQ147" s="37"/>
      <c r="AR147" s="37"/>
      <c r="AS147" s="37"/>
      <c r="AT147" s="37"/>
      <c r="AU147" s="37"/>
      <c r="AV147" s="37"/>
      <c r="AW147" s="37"/>
      <c r="AX147" s="37"/>
      <c r="AY147" s="37"/>
      <c r="AZ147" s="37"/>
      <c r="BA147" s="37"/>
      <c r="BB147" s="37"/>
    </row>
    <row r="148" spans="1:54" s="5" customFormat="1" x14ac:dyDescent="0.25">
      <c r="A148" s="32"/>
      <c r="B148" s="32"/>
      <c r="C148" s="32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</row>
    <row r="149" spans="1:54" x14ac:dyDescent="0.25">
      <c r="A149" s="34"/>
      <c r="B149" s="34"/>
      <c r="C149" s="34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</row>
    <row r="150" spans="1:54" s="5" customFormat="1" x14ac:dyDescent="0.25">
      <c r="A150" s="32"/>
      <c r="B150" s="32"/>
      <c r="C150" s="32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</row>
    <row r="151" spans="1:54" x14ac:dyDescent="0.25">
      <c r="A151" s="34"/>
      <c r="B151" s="34"/>
      <c r="C151" s="34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</row>
    <row r="152" spans="1:54" s="5" customFormat="1" x14ac:dyDescent="0.25">
      <c r="A152" s="34"/>
      <c r="B152" s="34"/>
      <c r="C152" s="34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7"/>
      <c r="AK152" s="37"/>
      <c r="AL152" s="37"/>
      <c r="AM152" s="37"/>
      <c r="AN152" s="37"/>
      <c r="AO152" s="37"/>
      <c r="AP152" s="37"/>
      <c r="AQ152" s="37"/>
      <c r="AR152" s="37"/>
      <c r="AS152" s="37"/>
      <c r="AT152" s="37"/>
      <c r="AU152" s="37"/>
      <c r="AV152" s="37"/>
      <c r="AW152" s="37"/>
      <c r="AX152" s="37"/>
      <c r="AY152" s="37"/>
      <c r="AZ152" s="37"/>
      <c r="BA152" s="37"/>
      <c r="BB152" s="37"/>
    </row>
    <row r="153" spans="1:54" x14ac:dyDescent="0.25">
      <c r="A153" s="34"/>
      <c r="B153" s="32"/>
      <c r="C153" s="32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  <c r="AM153" s="33"/>
      <c r="AN153" s="36"/>
      <c r="AO153" s="33"/>
      <c r="AP153" s="33"/>
      <c r="AQ153" s="33"/>
      <c r="AR153" s="33"/>
      <c r="AS153" s="36"/>
      <c r="AT153" s="36"/>
      <c r="AU153" s="33"/>
      <c r="AV153" s="33"/>
      <c r="AW153" s="36"/>
      <c r="AX153" s="33"/>
      <c r="AY153" s="36"/>
      <c r="AZ153" s="36"/>
      <c r="BA153" s="33"/>
      <c r="BB153" s="36"/>
    </row>
    <row r="154" spans="1:54" s="5" customFormat="1" x14ac:dyDescent="0.25">
      <c r="A154" s="34"/>
      <c r="B154" s="34"/>
      <c r="C154" s="34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  <c r="AM154" s="35"/>
      <c r="AN154" s="35"/>
      <c r="AO154" s="35"/>
      <c r="AP154" s="35"/>
      <c r="AQ154" s="35"/>
      <c r="AR154" s="35"/>
      <c r="AS154" s="35"/>
      <c r="AT154" s="35"/>
      <c r="AU154" s="35"/>
      <c r="AV154" s="35"/>
      <c r="AW154" s="35"/>
      <c r="AX154" s="35"/>
      <c r="AY154" s="35"/>
      <c r="AZ154" s="35"/>
      <c r="BA154" s="35"/>
      <c r="BB154" s="35"/>
    </row>
    <row r="155" spans="1:54" x14ac:dyDescent="0.25">
      <c r="A155" s="34"/>
      <c r="B155" s="32"/>
      <c r="C155" s="32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6"/>
      <c r="W155" s="36"/>
      <c r="X155" s="36"/>
      <c r="Y155" s="36"/>
      <c r="Z155" s="36"/>
      <c r="AA155" s="36"/>
      <c r="AB155" s="36"/>
      <c r="AC155" s="36"/>
      <c r="AD155" s="36"/>
      <c r="AE155" s="36"/>
      <c r="AF155" s="36"/>
      <c r="AG155" s="36"/>
      <c r="AH155" s="36"/>
      <c r="AI155" s="36"/>
      <c r="AJ155" s="36"/>
      <c r="AK155" s="36"/>
      <c r="AL155" s="36"/>
      <c r="AM155" s="36"/>
      <c r="AN155" s="36"/>
      <c r="AO155" s="36"/>
      <c r="AP155" s="36"/>
      <c r="AQ155" s="36"/>
      <c r="AR155" s="36"/>
      <c r="AS155" s="36"/>
      <c r="AT155" s="36"/>
      <c r="AU155" s="36"/>
      <c r="AV155" s="36"/>
      <c r="AW155" s="36"/>
      <c r="AX155" s="36"/>
      <c r="AY155" s="36"/>
      <c r="AZ155" s="36"/>
      <c r="BA155" s="36"/>
      <c r="BB155" s="36"/>
    </row>
    <row r="156" spans="1:54" x14ac:dyDescent="0.25">
      <c r="A156" s="34"/>
      <c r="B156" s="34"/>
      <c r="C156" s="34"/>
      <c r="D156" s="37"/>
      <c r="E156" s="37"/>
      <c r="F156" s="37"/>
      <c r="G156" s="37"/>
      <c r="H156" s="37"/>
      <c r="I156" s="37"/>
      <c r="J156" s="37"/>
      <c r="K156" s="37"/>
      <c r="L156" s="37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  <c r="AD156" s="37"/>
      <c r="AE156" s="37"/>
      <c r="AF156" s="37"/>
      <c r="AG156" s="37"/>
      <c r="AH156" s="37"/>
      <c r="AI156" s="37"/>
      <c r="AJ156" s="37"/>
      <c r="AK156" s="37"/>
      <c r="AL156" s="37"/>
      <c r="AM156" s="37"/>
      <c r="AN156" s="37"/>
      <c r="AO156" s="37"/>
      <c r="AP156" s="37"/>
      <c r="AQ156" s="37"/>
      <c r="AR156" s="37"/>
      <c r="AS156" s="37"/>
      <c r="AT156" s="37"/>
      <c r="AU156" s="37"/>
      <c r="AV156" s="37"/>
      <c r="AW156" s="37"/>
      <c r="AX156" s="37"/>
      <c r="AY156" s="37"/>
      <c r="AZ156" s="37"/>
      <c r="BA156" s="37"/>
      <c r="BB156" s="37"/>
    </row>
    <row r="157" spans="1:54" s="5" customFormat="1" x14ac:dyDescent="0.25">
      <c r="A157" s="32"/>
      <c r="B157" s="32"/>
      <c r="C157" s="32"/>
      <c r="D157" s="33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6"/>
      <c r="V157" s="36"/>
      <c r="W157" s="36"/>
      <c r="X157" s="36"/>
      <c r="Y157" s="36"/>
      <c r="Z157" s="36"/>
      <c r="AA157" s="36"/>
      <c r="AB157" s="36"/>
      <c r="AC157" s="36"/>
      <c r="AD157" s="36"/>
      <c r="AE157" s="36"/>
      <c r="AF157" s="36"/>
      <c r="AG157" s="36"/>
      <c r="AH157" s="36"/>
      <c r="AI157" s="36"/>
      <c r="AJ157" s="36"/>
      <c r="AK157" s="36"/>
      <c r="AL157" s="36"/>
      <c r="AM157" s="36"/>
      <c r="AN157" s="36"/>
      <c r="AO157" s="36"/>
      <c r="AP157" s="36"/>
      <c r="AQ157" s="36"/>
      <c r="AR157" s="36"/>
      <c r="AS157" s="36"/>
      <c r="AT157" s="36"/>
      <c r="AU157" s="36"/>
      <c r="AV157" s="36"/>
      <c r="AW157" s="36"/>
      <c r="AX157" s="36"/>
      <c r="AY157" s="36"/>
      <c r="AZ157" s="36"/>
      <c r="BA157" s="36"/>
      <c r="BB157" s="36"/>
    </row>
    <row r="158" spans="1:54" x14ac:dyDescent="0.25">
      <c r="A158" s="34"/>
      <c r="B158" s="34"/>
      <c r="C158" s="34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35"/>
      <c r="AE158" s="35"/>
      <c r="AF158" s="35"/>
      <c r="AG158" s="35"/>
      <c r="AH158" s="35"/>
      <c r="AI158" s="35"/>
      <c r="AJ158" s="35"/>
      <c r="AK158" s="35"/>
      <c r="AL158" s="35"/>
      <c r="AM158" s="35"/>
      <c r="AN158" s="35"/>
      <c r="AO158" s="35"/>
      <c r="AP158" s="35"/>
      <c r="AQ158" s="35"/>
      <c r="AR158" s="35"/>
      <c r="AS158" s="35"/>
      <c r="AT158" s="35"/>
      <c r="AU158" s="35"/>
      <c r="AV158" s="35"/>
      <c r="AW158" s="35"/>
      <c r="AX158" s="35"/>
      <c r="AY158" s="35"/>
      <c r="AZ158" s="35"/>
      <c r="BA158" s="35"/>
      <c r="BB158" s="35"/>
    </row>
    <row r="159" spans="1:54" s="5" customFormat="1" x14ac:dyDescent="0.25">
      <c r="A159" s="32"/>
      <c r="B159" s="32"/>
      <c r="C159" s="32"/>
      <c r="D159" s="36"/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6"/>
      <c r="W159" s="36"/>
      <c r="X159" s="36"/>
      <c r="Y159" s="36"/>
      <c r="Z159" s="36"/>
      <c r="AA159" s="36"/>
      <c r="AB159" s="36"/>
      <c r="AC159" s="36"/>
      <c r="AD159" s="36"/>
      <c r="AE159" s="36"/>
      <c r="AF159" s="36"/>
      <c r="AG159" s="36"/>
      <c r="AH159" s="36"/>
      <c r="AI159" s="36"/>
      <c r="AJ159" s="36"/>
      <c r="AK159" s="36"/>
      <c r="AL159" s="36"/>
      <c r="AM159" s="36"/>
      <c r="AN159" s="36"/>
      <c r="AO159" s="36"/>
      <c r="AP159" s="36"/>
      <c r="AQ159" s="36"/>
      <c r="AR159" s="36"/>
      <c r="AS159" s="36"/>
      <c r="AT159" s="36"/>
      <c r="AU159" s="36"/>
      <c r="AV159" s="36"/>
      <c r="AW159" s="36"/>
      <c r="AX159" s="36"/>
      <c r="AY159" s="36"/>
      <c r="AZ159" s="36"/>
      <c r="BA159" s="36"/>
      <c r="BB159" s="36"/>
    </row>
    <row r="160" spans="1:54" x14ac:dyDescent="0.25">
      <c r="A160" s="34"/>
      <c r="B160" s="34"/>
      <c r="C160" s="34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  <c r="AM160" s="35"/>
      <c r="AN160" s="35"/>
      <c r="AO160" s="35"/>
      <c r="AP160" s="35"/>
      <c r="AQ160" s="37"/>
      <c r="AR160" s="37"/>
      <c r="AS160" s="37"/>
      <c r="AT160" s="37"/>
      <c r="AU160" s="37"/>
      <c r="AV160" s="37"/>
      <c r="AW160" s="37"/>
      <c r="AX160" s="37"/>
      <c r="AY160" s="37"/>
      <c r="AZ160" s="37"/>
      <c r="BA160" s="37"/>
      <c r="BB160" s="37"/>
    </row>
    <row r="161" spans="1:54" s="5" customFormat="1" x14ac:dyDescent="0.25">
      <c r="A161" s="32"/>
      <c r="B161" s="32"/>
      <c r="C161" s="32"/>
      <c r="D161" s="33"/>
      <c r="E161" s="33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  <c r="AM161" s="33"/>
      <c r="AN161" s="33"/>
      <c r="AO161" s="33"/>
      <c r="AP161" s="33"/>
      <c r="AQ161" s="36"/>
      <c r="AR161" s="36"/>
      <c r="AS161" s="36"/>
      <c r="AT161" s="36"/>
      <c r="AU161" s="36"/>
      <c r="AV161" s="36"/>
      <c r="AW161" s="36"/>
      <c r="AX161" s="36"/>
      <c r="AY161" s="36"/>
      <c r="AZ161" s="36"/>
      <c r="BA161" s="36"/>
      <c r="BB161" s="36"/>
    </row>
    <row r="162" spans="1:54" x14ac:dyDescent="0.25">
      <c r="A162" s="34"/>
      <c r="B162" s="34"/>
      <c r="C162" s="34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  <c r="AM162" s="35"/>
      <c r="AN162" s="35"/>
      <c r="AO162" s="35"/>
      <c r="AP162" s="35"/>
      <c r="AQ162" s="37"/>
      <c r="AR162" s="35"/>
      <c r="AS162" s="37"/>
      <c r="AT162" s="35"/>
      <c r="AU162" s="35"/>
      <c r="AV162" s="35"/>
      <c r="AW162" s="35"/>
      <c r="AX162" s="35"/>
      <c r="AY162" s="35"/>
      <c r="AZ162" s="37"/>
      <c r="BA162" s="37"/>
      <c r="BB162" s="37"/>
    </row>
    <row r="163" spans="1:54" s="5" customFormat="1" x14ac:dyDescent="0.25">
      <c r="A163" s="32"/>
      <c r="B163" s="32"/>
      <c r="C163" s="32"/>
      <c r="D163" s="33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  <c r="AM163" s="33"/>
      <c r="AN163" s="33"/>
      <c r="AO163" s="33"/>
      <c r="AP163" s="33"/>
      <c r="AQ163" s="36"/>
      <c r="AR163" s="36"/>
      <c r="AS163" s="36"/>
      <c r="AT163" s="36"/>
      <c r="AU163" s="36"/>
      <c r="AV163" s="36"/>
      <c r="AW163" s="36"/>
      <c r="AX163" s="36"/>
      <c r="AY163" s="36"/>
      <c r="AZ163" s="36"/>
      <c r="BA163" s="36"/>
      <c r="BB163" s="36"/>
    </row>
    <row r="164" spans="1:54" x14ac:dyDescent="0.25">
      <c r="A164" s="34"/>
      <c r="B164" s="34"/>
      <c r="C164" s="34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  <c r="AM164" s="35"/>
      <c r="AN164" s="35"/>
      <c r="AO164" s="35"/>
      <c r="AP164" s="35"/>
      <c r="AQ164" s="37"/>
      <c r="AR164" s="37"/>
      <c r="AS164" s="37"/>
      <c r="AT164" s="35"/>
      <c r="AU164" s="35"/>
      <c r="AV164" s="37"/>
      <c r="AW164" s="37"/>
      <c r="AX164" s="37"/>
      <c r="AY164" s="35"/>
      <c r="AZ164" s="35"/>
      <c r="BA164" s="35"/>
      <c r="BB164" s="37"/>
    </row>
    <row r="165" spans="1:54" s="5" customFormat="1" x14ac:dyDescent="0.25">
      <c r="A165" s="32"/>
      <c r="B165" s="32"/>
      <c r="C165" s="32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  <c r="AM165" s="33"/>
      <c r="AN165" s="33"/>
      <c r="AO165" s="33"/>
      <c r="AP165" s="33"/>
      <c r="AQ165" s="36"/>
      <c r="AR165" s="36"/>
      <c r="AS165" s="36"/>
      <c r="AT165" s="36"/>
      <c r="AU165" s="36"/>
      <c r="AV165" s="36"/>
      <c r="AW165" s="36"/>
      <c r="AX165" s="36"/>
      <c r="AY165" s="36"/>
      <c r="AZ165" s="36"/>
      <c r="BA165" s="36"/>
      <c r="BB165" s="36"/>
    </row>
    <row r="166" spans="1:54" x14ac:dyDescent="0.25">
      <c r="A166" s="34"/>
      <c r="B166" s="34"/>
      <c r="C166" s="34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  <c r="AM166" s="35"/>
      <c r="AN166" s="35"/>
      <c r="AO166" s="35"/>
      <c r="AP166" s="35"/>
      <c r="AQ166" s="35"/>
      <c r="AR166" s="35"/>
      <c r="AS166" s="35"/>
      <c r="AT166" s="35"/>
      <c r="AU166" s="35"/>
      <c r="AV166" s="35"/>
      <c r="AW166" s="35"/>
      <c r="AX166" s="35"/>
      <c r="AY166" s="35"/>
      <c r="AZ166" s="35"/>
      <c r="BA166" s="35"/>
      <c r="BB166" s="35"/>
    </row>
    <row r="167" spans="1:54" s="5" customFormat="1" x14ac:dyDescent="0.25">
      <c r="A167" s="32"/>
      <c r="B167" s="32"/>
      <c r="C167" s="32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  <c r="AM167" s="33"/>
      <c r="AN167" s="33"/>
      <c r="AO167" s="33"/>
      <c r="AP167" s="33"/>
      <c r="AQ167" s="36"/>
      <c r="AR167" s="36"/>
      <c r="AS167" s="36"/>
      <c r="AT167" s="36"/>
      <c r="AU167" s="36"/>
      <c r="AV167" s="36"/>
      <c r="AW167" s="36"/>
      <c r="AX167" s="36"/>
      <c r="AY167" s="36"/>
      <c r="AZ167" s="36"/>
      <c r="BA167" s="36"/>
      <c r="BB167" s="36"/>
    </row>
    <row r="168" spans="1:54" x14ac:dyDescent="0.25">
      <c r="A168" s="34"/>
      <c r="B168" s="34"/>
      <c r="C168" s="34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  <c r="AM168" s="35"/>
      <c r="AN168" s="35"/>
      <c r="AO168" s="35"/>
      <c r="AP168" s="35"/>
      <c r="AQ168" s="37"/>
      <c r="AR168" s="37"/>
      <c r="AS168" s="37"/>
      <c r="AT168" s="37"/>
      <c r="AU168" s="37"/>
      <c r="AV168" s="37"/>
      <c r="AW168" s="37"/>
      <c r="AX168" s="37"/>
      <c r="AY168" s="37"/>
      <c r="AZ168" s="37"/>
      <c r="BA168" s="37"/>
      <c r="BB168" s="37"/>
    </row>
    <row r="169" spans="1:54" s="5" customFormat="1" x14ac:dyDescent="0.25">
      <c r="A169" s="32"/>
      <c r="B169" s="32"/>
      <c r="C169" s="32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  <c r="AM169" s="33"/>
      <c r="AN169" s="33"/>
      <c r="AO169" s="33"/>
      <c r="AP169" s="33"/>
      <c r="AQ169" s="36"/>
      <c r="AR169" s="36"/>
      <c r="AS169" s="36"/>
      <c r="AT169" s="36"/>
      <c r="AU169" s="36"/>
      <c r="AV169" s="36"/>
      <c r="AW169" s="36"/>
      <c r="AX169" s="36"/>
      <c r="AY169" s="36"/>
      <c r="AZ169" s="36"/>
      <c r="BA169" s="36"/>
      <c r="BB169" s="36"/>
    </row>
    <row r="170" spans="1:54" x14ac:dyDescent="0.25">
      <c r="A170" s="34"/>
      <c r="B170" s="34"/>
      <c r="C170" s="34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  <c r="AM170" s="35"/>
      <c r="AN170" s="35"/>
      <c r="AO170" s="35"/>
      <c r="AP170" s="35"/>
      <c r="AQ170" s="35"/>
      <c r="AR170" s="35"/>
      <c r="AS170" s="35"/>
      <c r="AT170" s="35"/>
      <c r="AU170" s="35"/>
      <c r="AV170" s="35"/>
      <c r="AW170" s="35"/>
      <c r="AX170" s="35"/>
      <c r="AY170" s="35"/>
      <c r="AZ170" s="35"/>
      <c r="BA170" s="35"/>
      <c r="BB170" s="35"/>
    </row>
    <row r="171" spans="1:54" s="5" customFormat="1" x14ac:dyDescent="0.25">
      <c r="A171" s="32"/>
      <c r="B171" s="32"/>
      <c r="C171" s="32"/>
      <c r="D171" s="33"/>
      <c r="E171" s="33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  <c r="AM171" s="33"/>
      <c r="AN171" s="33"/>
      <c r="AO171" s="33"/>
      <c r="AP171" s="33"/>
      <c r="AQ171" s="36"/>
      <c r="AR171" s="36"/>
      <c r="AS171" s="36"/>
      <c r="AT171" s="36"/>
      <c r="AU171" s="36"/>
      <c r="AV171" s="36"/>
      <c r="AW171" s="36"/>
      <c r="AX171" s="36"/>
      <c r="AY171" s="36"/>
      <c r="AZ171" s="36"/>
      <c r="BA171" s="36"/>
      <c r="BB171" s="36"/>
    </row>
    <row r="172" spans="1:54" x14ac:dyDescent="0.25">
      <c r="A172" s="34"/>
      <c r="B172" s="34"/>
      <c r="C172" s="34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  <c r="AM172" s="35"/>
      <c r="AN172" s="35"/>
      <c r="AO172" s="35"/>
      <c r="AP172" s="35"/>
      <c r="AQ172" s="35"/>
      <c r="AR172" s="35"/>
      <c r="AS172" s="35"/>
      <c r="AT172" s="35"/>
      <c r="AU172" s="35"/>
      <c r="AV172" s="35"/>
      <c r="AW172" s="35"/>
      <c r="AX172" s="35"/>
      <c r="AY172" s="35"/>
      <c r="AZ172" s="35"/>
      <c r="BA172" s="35"/>
      <c r="BB172" s="35"/>
    </row>
    <row r="173" spans="1:54" s="5" customFormat="1" x14ac:dyDescent="0.25">
      <c r="A173" s="32"/>
      <c r="B173" s="32"/>
      <c r="C173" s="32"/>
      <c r="D173" s="33"/>
      <c r="E173" s="33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  <c r="AM173" s="33"/>
      <c r="AN173" s="33"/>
      <c r="AO173" s="33"/>
      <c r="AP173" s="33"/>
      <c r="AQ173" s="33"/>
      <c r="AR173" s="33"/>
      <c r="AS173" s="33"/>
      <c r="AT173" s="33"/>
      <c r="AU173" s="36"/>
      <c r="AV173" s="33"/>
      <c r="AW173" s="33"/>
      <c r="AX173" s="33"/>
      <c r="AY173" s="36"/>
      <c r="AZ173" s="33"/>
      <c r="BA173" s="33"/>
      <c r="BB173" s="33"/>
    </row>
    <row r="174" spans="1:54" x14ac:dyDescent="0.25">
      <c r="A174" s="34"/>
      <c r="B174" s="34"/>
      <c r="C174" s="34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35"/>
      <c r="AE174" s="35"/>
      <c r="AF174" s="35"/>
      <c r="AG174" s="35"/>
      <c r="AH174" s="35"/>
      <c r="AI174" s="35"/>
      <c r="AJ174" s="35"/>
      <c r="AK174" s="35"/>
      <c r="AL174" s="35"/>
      <c r="AM174" s="35"/>
      <c r="AN174" s="35"/>
      <c r="AO174" s="35"/>
      <c r="AP174" s="35"/>
      <c r="AQ174" s="35"/>
      <c r="AR174" s="35"/>
      <c r="AS174" s="35"/>
      <c r="AT174" s="35"/>
      <c r="AU174" s="35"/>
      <c r="AV174" s="35"/>
      <c r="AW174" s="35"/>
      <c r="AX174" s="35"/>
      <c r="AY174" s="35"/>
      <c r="AZ174" s="35"/>
      <c r="BA174" s="35"/>
      <c r="BB174" s="35"/>
    </row>
    <row r="175" spans="1:54" s="5" customFormat="1" x14ac:dyDescent="0.25">
      <c r="A175" s="32"/>
      <c r="B175" s="32"/>
      <c r="C175" s="32"/>
      <c r="D175" s="33"/>
      <c r="E175" s="33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F175" s="33"/>
      <c r="AG175" s="33"/>
      <c r="AH175" s="33"/>
      <c r="AI175" s="33"/>
      <c r="AJ175" s="33"/>
      <c r="AK175" s="33"/>
      <c r="AL175" s="33"/>
      <c r="AM175" s="33"/>
      <c r="AN175" s="33"/>
      <c r="AO175" s="33"/>
      <c r="AP175" s="33"/>
      <c r="AQ175" s="33"/>
      <c r="AR175" s="33"/>
      <c r="AS175" s="33"/>
      <c r="AT175" s="33"/>
      <c r="AU175" s="36"/>
      <c r="AV175" s="33"/>
      <c r="AW175" s="33"/>
      <c r="AX175" s="36"/>
      <c r="AY175" s="36"/>
      <c r="AZ175" s="33"/>
      <c r="BA175" s="33"/>
      <c r="BB175" s="36"/>
    </row>
    <row r="176" spans="1:54" x14ac:dyDescent="0.25">
      <c r="A176" s="34"/>
      <c r="B176" s="34"/>
      <c r="C176" s="34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  <c r="AB176" s="35"/>
      <c r="AC176" s="35"/>
      <c r="AD176" s="35"/>
      <c r="AE176" s="35"/>
      <c r="AF176" s="35"/>
      <c r="AG176" s="35"/>
      <c r="AH176" s="35"/>
      <c r="AI176" s="35"/>
      <c r="AJ176" s="35"/>
      <c r="AK176" s="35"/>
      <c r="AL176" s="35"/>
      <c r="AM176" s="35"/>
      <c r="AN176" s="35"/>
      <c r="AO176" s="35"/>
      <c r="AP176" s="35"/>
      <c r="AQ176" s="35"/>
      <c r="AR176" s="35"/>
      <c r="AS176" s="35"/>
      <c r="AT176" s="35"/>
      <c r="AU176" s="35"/>
      <c r="AV176" s="35"/>
      <c r="AW176" s="35"/>
      <c r="AX176" s="37"/>
      <c r="AY176" s="37"/>
      <c r="AZ176" s="37"/>
      <c r="BA176" s="37"/>
      <c r="BB176" s="37"/>
    </row>
    <row r="177" spans="1:54" s="5" customFormat="1" x14ac:dyDescent="0.25">
      <c r="A177" s="34"/>
      <c r="B177" s="32"/>
      <c r="C177" s="32"/>
      <c r="D177" s="33"/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F177" s="33"/>
      <c r="AG177" s="33"/>
      <c r="AH177" s="33"/>
      <c r="AI177" s="33"/>
      <c r="AJ177" s="33"/>
      <c r="AK177" s="33"/>
      <c r="AL177" s="33"/>
      <c r="AM177" s="33"/>
      <c r="AN177" s="33"/>
      <c r="AO177" s="33"/>
      <c r="AP177" s="33"/>
      <c r="AQ177" s="33"/>
      <c r="AR177" s="33"/>
      <c r="AS177" s="33"/>
      <c r="AT177" s="33"/>
      <c r="AU177" s="33"/>
      <c r="AV177" s="33"/>
      <c r="AW177" s="33"/>
      <c r="AX177" s="36"/>
      <c r="AY177" s="36"/>
      <c r="AZ177" s="36"/>
      <c r="BA177" s="36"/>
      <c r="BB177" s="36"/>
    </row>
    <row r="178" spans="1:54" x14ac:dyDescent="0.25">
      <c r="A178" s="34"/>
      <c r="B178" s="34"/>
      <c r="C178" s="34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35"/>
      <c r="AE178" s="35"/>
      <c r="AF178" s="35"/>
      <c r="AG178" s="35"/>
      <c r="AH178" s="35"/>
      <c r="AI178" s="35"/>
      <c r="AJ178" s="35"/>
      <c r="AK178" s="35"/>
      <c r="AL178" s="35"/>
      <c r="AM178" s="35"/>
      <c r="AN178" s="35"/>
      <c r="AO178" s="35"/>
      <c r="AP178" s="35"/>
      <c r="AQ178" s="35"/>
      <c r="AR178" s="35"/>
      <c r="AS178" s="35"/>
      <c r="AT178" s="35"/>
      <c r="AU178" s="35"/>
      <c r="AV178" s="35"/>
      <c r="AW178" s="35"/>
      <c r="AX178" s="37"/>
      <c r="AY178" s="37"/>
      <c r="AZ178" s="37"/>
      <c r="BA178" s="37"/>
      <c r="BB178" s="37"/>
    </row>
    <row r="179" spans="1:54" s="5" customFormat="1" x14ac:dyDescent="0.25">
      <c r="A179" s="34"/>
      <c r="B179" s="32"/>
      <c r="C179" s="32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F179" s="33"/>
      <c r="AG179" s="33"/>
      <c r="AH179" s="33"/>
      <c r="AI179" s="33"/>
      <c r="AJ179" s="33"/>
      <c r="AK179" s="33"/>
      <c r="AL179" s="33"/>
      <c r="AM179" s="33"/>
      <c r="AN179" s="33"/>
      <c r="AO179" s="33"/>
      <c r="AP179" s="33"/>
      <c r="AQ179" s="33"/>
      <c r="AR179" s="33"/>
      <c r="AS179" s="33"/>
      <c r="AT179" s="33"/>
      <c r="AU179" s="33"/>
      <c r="AV179" s="33"/>
      <c r="AW179" s="33"/>
      <c r="AX179" s="36"/>
      <c r="AY179" s="36"/>
      <c r="AZ179" s="36"/>
      <c r="BA179" s="36"/>
      <c r="BB179" s="36"/>
    </row>
    <row r="180" spans="1:54" s="5" customFormat="1" x14ac:dyDescent="0.25">
      <c r="A180" s="32"/>
      <c r="B180" s="32"/>
      <c r="C180" s="32"/>
      <c r="D180" s="33"/>
      <c r="E180" s="33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  <c r="AA180" s="33"/>
      <c r="AB180" s="33"/>
      <c r="AC180" s="33"/>
      <c r="AD180" s="33"/>
      <c r="AE180" s="33"/>
      <c r="AF180" s="33"/>
      <c r="AG180" s="33"/>
      <c r="AH180" s="33"/>
      <c r="AI180" s="33"/>
      <c r="AJ180" s="33"/>
      <c r="AK180" s="33"/>
      <c r="AL180" s="33"/>
      <c r="AM180" s="33"/>
      <c r="AN180" s="33"/>
      <c r="AO180" s="33"/>
      <c r="AP180" s="33"/>
      <c r="AQ180" s="36"/>
      <c r="AR180" s="36"/>
      <c r="AS180" s="36"/>
      <c r="AT180" s="36"/>
      <c r="AU180" s="36"/>
      <c r="AV180" s="36"/>
      <c r="AW180" s="36"/>
      <c r="AX180" s="36"/>
      <c r="AY180" s="36"/>
      <c r="AZ180" s="36"/>
      <c r="BA180" s="36"/>
      <c r="BB180" s="36"/>
    </row>
    <row r="181" spans="1:54" x14ac:dyDescent="0.25">
      <c r="A181" s="34"/>
      <c r="B181" s="34"/>
      <c r="C181" s="34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  <c r="AB181" s="35"/>
      <c r="AC181" s="35"/>
      <c r="AD181" s="35"/>
      <c r="AE181" s="35"/>
      <c r="AF181" s="35"/>
      <c r="AG181" s="35"/>
      <c r="AH181" s="35"/>
      <c r="AI181" s="35"/>
      <c r="AJ181" s="35"/>
      <c r="AK181" s="35"/>
      <c r="AL181" s="35"/>
      <c r="AM181" s="35"/>
      <c r="AN181" s="35"/>
      <c r="AO181" s="35"/>
      <c r="AP181" s="35"/>
      <c r="AQ181" s="37"/>
      <c r="AR181" s="37"/>
      <c r="AS181" s="37"/>
      <c r="AT181" s="37"/>
      <c r="AU181" s="37"/>
      <c r="AV181" s="37"/>
      <c r="AW181" s="37"/>
      <c r="AX181" s="37"/>
      <c r="AY181" s="37"/>
      <c r="AZ181" s="37"/>
      <c r="BA181" s="37"/>
      <c r="BB181" s="37"/>
    </row>
    <row r="182" spans="1:54" s="5" customFormat="1" x14ac:dyDescent="0.25">
      <c r="A182" s="32"/>
      <c r="B182" s="32"/>
      <c r="C182" s="32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F182" s="33"/>
      <c r="AG182" s="33"/>
      <c r="AH182" s="33"/>
      <c r="AI182" s="33"/>
      <c r="AJ182" s="33"/>
      <c r="AK182" s="33"/>
      <c r="AL182" s="33"/>
      <c r="AM182" s="33"/>
      <c r="AN182" s="33"/>
      <c r="AO182" s="33"/>
      <c r="AP182" s="33"/>
      <c r="AQ182" s="36"/>
      <c r="AR182" s="36"/>
      <c r="AS182" s="36"/>
      <c r="AT182" s="36"/>
      <c r="AU182" s="36"/>
      <c r="AV182" s="36"/>
      <c r="AW182" s="36"/>
      <c r="AX182" s="36"/>
      <c r="AY182" s="36"/>
      <c r="AZ182" s="36"/>
      <c r="BA182" s="36"/>
      <c r="BB182" s="36"/>
    </row>
    <row r="183" spans="1:54" x14ac:dyDescent="0.25">
      <c r="A183" s="34"/>
      <c r="B183" s="34"/>
      <c r="C183" s="34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35"/>
      <c r="AE183" s="35"/>
      <c r="AF183" s="35"/>
      <c r="AG183" s="35"/>
      <c r="AH183" s="35"/>
      <c r="AI183" s="35"/>
      <c r="AJ183" s="35"/>
      <c r="AK183" s="35"/>
      <c r="AL183" s="35"/>
      <c r="AM183" s="35"/>
      <c r="AN183" s="35"/>
      <c r="AO183" s="35"/>
      <c r="AP183" s="35"/>
      <c r="AQ183" s="37"/>
      <c r="AR183" s="37"/>
      <c r="AS183" s="37"/>
      <c r="AT183" s="37"/>
      <c r="AU183" s="37"/>
      <c r="AV183" s="37"/>
      <c r="AW183" s="37"/>
      <c r="AX183" s="37"/>
      <c r="AY183" s="37"/>
      <c r="AZ183" s="37"/>
      <c r="BA183" s="37"/>
      <c r="BB183" s="37"/>
    </row>
    <row r="184" spans="1:54" s="5" customFormat="1" x14ac:dyDescent="0.25">
      <c r="A184" s="32"/>
      <c r="B184" s="32"/>
      <c r="C184" s="32"/>
      <c r="D184" s="36"/>
      <c r="E184" s="36"/>
      <c r="F184" s="36"/>
      <c r="G184" s="36"/>
      <c r="H184" s="36"/>
      <c r="I184" s="36"/>
      <c r="J184" s="36"/>
      <c r="K184" s="36"/>
      <c r="L184" s="36"/>
      <c r="M184" s="36"/>
      <c r="N184" s="36"/>
      <c r="O184" s="36"/>
      <c r="P184" s="36"/>
      <c r="Q184" s="36"/>
      <c r="R184" s="36"/>
      <c r="S184" s="36"/>
      <c r="T184" s="36"/>
      <c r="U184" s="36"/>
      <c r="V184" s="36"/>
      <c r="W184" s="36"/>
      <c r="X184" s="36"/>
      <c r="Y184" s="36"/>
      <c r="Z184" s="36"/>
      <c r="AA184" s="36"/>
      <c r="AB184" s="36"/>
      <c r="AC184" s="36"/>
      <c r="AD184" s="36"/>
      <c r="AE184" s="36"/>
      <c r="AF184" s="36"/>
      <c r="AG184" s="36"/>
      <c r="AH184" s="36"/>
      <c r="AI184" s="36"/>
      <c r="AJ184" s="36"/>
      <c r="AK184" s="36"/>
      <c r="AL184" s="36"/>
      <c r="AM184" s="36"/>
      <c r="AN184" s="36"/>
      <c r="AO184" s="36"/>
      <c r="AP184" s="36"/>
      <c r="AQ184" s="36"/>
      <c r="AR184" s="36"/>
      <c r="AS184" s="36"/>
      <c r="AT184" s="36"/>
      <c r="AU184" s="36"/>
      <c r="AV184" s="36"/>
      <c r="AW184" s="36"/>
      <c r="AX184" s="36"/>
      <c r="AY184" s="36"/>
      <c r="AZ184" s="36"/>
      <c r="BA184" s="36"/>
      <c r="BB184" s="36"/>
    </row>
    <row r="185" spans="1:54" x14ac:dyDescent="0.25">
      <c r="A185" s="34"/>
      <c r="B185" s="34"/>
      <c r="C185" s="34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35"/>
      <c r="AE185" s="35"/>
      <c r="AF185" s="35"/>
      <c r="AG185" s="35"/>
      <c r="AH185" s="35"/>
      <c r="AI185" s="35"/>
      <c r="AJ185" s="35"/>
      <c r="AK185" s="35"/>
      <c r="AL185" s="35"/>
      <c r="AM185" s="35"/>
      <c r="AN185" s="35"/>
      <c r="AO185" s="35"/>
      <c r="AP185" s="35"/>
      <c r="AQ185" s="35"/>
      <c r="AR185" s="35"/>
      <c r="AS185" s="35"/>
      <c r="AT185" s="35"/>
      <c r="AU185" s="35"/>
      <c r="AV185" s="35"/>
      <c r="AW185" s="35"/>
      <c r="AX185" s="35"/>
      <c r="AY185" s="35"/>
      <c r="AZ185" s="35"/>
      <c r="BA185" s="35"/>
      <c r="BB185" s="35"/>
    </row>
    <row r="186" spans="1:54" s="5" customFormat="1" x14ac:dyDescent="0.25">
      <c r="A186" s="32"/>
      <c r="B186" s="32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F186" s="33"/>
      <c r="AG186" s="33"/>
      <c r="AH186" s="33"/>
      <c r="AI186" s="33"/>
      <c r="AJ186" s="33"/>
      <c r="AK186" s="33"/>
      <c r="AL186" s="33"/>
      <c r="AM186" s="33"/>
      <c r="AN186" s="33"/>
      <c r="AO186" s="33"/>
      <c r="AP186" s="33"/>
      <c r="AQ186" s="33"/>
      <c r="AR186" s="33"/>
      <c r="AS186" s="33"/>
      <c r="AT186" s="33"/>
      <c r="AU186" s="36"/>
      <c r="AV186" s="33"/>
      <c r="AW186" s="33"/>
      <c r="AX186" s="36"/>
      <c r="AY186" s="36"/>
      <c r="AZ186" s="36"/>
      <c r="BA186" s="36"/>
      <c r="BB186" s="36"/>
    </row>
    <row r="187" spans="1:54" x14ac:dyDescent="0.25">
      <c r="A187" s="34"/>
      <c r="B187" s="34"/>
      <c r="C187" s="34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37"/>
      <c r="AA187" s="37"/>
      <c r="AB187" s="37"/>
      <c r="AC187" s="37"/>
      <c r="AD187" s="37"/>
      <c r="AE187" s="37"/>
      <c r="AF187" s="37"/>
      <c r="AG187" s="37"/>
      <c r="AH187" s="37"/>
      <c r="AI187" s="37"/>
      <c r="AJ187" s="37"/>
      <c r="AK187" s="37"/>
      <c r="AL187" s="37"/>
      <c r="AM187" s="37"/>
      <c r="AN187" s="37"/>
      <c r="AO187" s="37"/>
      <c r="AP187" s="37"/>
      <c r="AQ187" s="37"/>
      <c r="AR187" s="37"/>
      <c r="AS187" s="37"/>
      <c r="AT187" s="37"/>
      <c r="AU187" s="37"/>
      <c r="AV187" s="37"/>
      <c r="AW187" s="37"/>
      <c r="AX187" s="37"/>
      <c r="AY187" s="37"/>
      <c r="AZ187" s="37"/>
      <c r="BA187" s="37"/>
      <c r="BB187" s="37"/>
    </row>
    <row r="188" spans="1:54" s="5" customFormat="1" x14ac:dyDescent="0.25">
      <c r="A188" s="32"/>
      <c r="B188" s="32"/>
      <c r="C188" s="32"/>
      <c r="D188" s="36"/>
      <c r="E188" s="36"/>
      <c r="F188" s="36"/>
      <c r="G188" s="36"/>
      <c r="H188" s="36"/>
      <c r="I188" s="36"/>
      <c r="J188" s="36"/>
      <c r="K188" s="36"/>
      <c r="L188" s="36"/>
      <c r="M188" s="36"/>
      <c r="N188" s="36"/>
      <c r="O188" s="36"/>
      <c r="P188" s="36"/>
      <c r="Q188" s="36"/>
      <c r="R188" s="36"/>
      <c r="S188" s="36"/>
      <c r="T188" s="36"/>
      <c r="U188" s="36"/>
      <c r="V188" s="36"/>
      <c r="W188" s="36"/>
      <c r="X188" s="36"/>
      <c r="Y188" s="36"/>
      <c r="Z188" s="36"/>
      <c r="AA188" s="36"/>
      <c r="AB188" s="36"/>
      <c r="AC188" s="36"/>
      <c r="AD188" s="36"/>
      <c r="AE188" s="36"/>
      <c r="AF188" s="36"/>
      <c r="AG188" s="36"/>
      <c r="AH188" s="36"/>
      <c r="AI188" s="36"/>
      <c r="AJ188" s="36"/>
      <c r="AK188" s="36"/>
      <c r="AL188" s="36"/>
      <c r="AM188" s="36"/>
      <c r="AN188" s="36"/>
      <c r="AO188" s="36"/>
      <c r="AP188" s="36"/>
      <c r="AQ188" s="36"/>
      <c r="AR188" s="36"/>
      <c r="AS188" s="36"/>
      <c r="AT188" s="36"/>
      <c r="AU188" s="36"/>
      <c r="AV188" s="36"/>
      <c r="AW188" s="36"/>
      <c r="AX188" s="36"/>
      <c r="AY188" s="36"/>
      <c r="AZ188" s="36"/>
      <c r="BA188" s="36"/>
      <c r="BB188" s="36"/>
    </row>
    <row r="189" spans="1:54" x14ac:dyDescent="0.25">
      <c r="A189" s="34"/>
      <c r="B189" s="34"/>
      <c r="C189" s="34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35"/>
      <c r="AE189" s="35"/>
      <c r="AF189" s="35"/>
      <c r="AG189" s="35"/>
      <c r="AH189" s="35"/>
      <c r="AI189" s="35"/>
      <c r="AJ189" s="35"/>
      <c r="AK189" s="35"/>
      <c r="AL189" s="35"/>
      <c r="AM189" s="35"/>
      <c r="AN189" s="35"/>
      <c r="AO189" s="35"/>
      <c r="AP189" s="35"/>
      <c r="AQ189" s="37"/>
      <c r="AR189" s="37"/>
      <c r="AS189" s="37"/>
      <c r="AT189" s="37"/>
      <c r="AU189" s="35"/>
      <c r="AV189" s="37"/>
      <c r="AW189" s="35"/>
      <c r="AX189" s="35"/>
      <c r="AY189" s="35"/>
      <c r="AZ189" s="35"/>
      <c r="BA189" s="35"/>
      <c r="BB189" s="35"/>
    </row>
  </sheetData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60"/>
  <sheetViews>
    <sheetView workbookViewId="0">
      <pane xSplit="6" ySplit="15" topLeftCell="V19" activePane="bottomRight" state="frozen"/>
      <selection pane="topRight" activeCell="G1" sqref="G1"/>
      <selection pane="bottomLeft" activeCell="A16" sqref="A16"/>
      <selection pane="bottomRight" activeCell="AA5" sqref="AA5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45" width="11.28515625" customWidth="1"/>
    <col min="46" max="46" width="11.28515625" hidden="1" customWidth="1"/>
    <col min="47" max="47" width="18" hidden="1" customWidth="1"/>
    <col min="48" max="52" width="9.140625" hidden="1" customWidth="1"/>
    <col min="53" max="53" width="0" hidden="1" customWidth="1"/>
    <col min="54" max="54" width="11.28515625" hidden="1" customWidth="1"/>
  </cols>
  <sheetData>
    <row r="1" spans="1:29" s="1" customFormat="1" ht="10.5" x14ac:dyDescent="0.15">
      <c r="A1" s="9" t="s">
        <v>0</v>
      </c>
      <c r="B1" s="10" t="s">
        <v>1</v>
      </c>
      <c r="C1" s="10" t="s">
        <v>2</v>
      </c>
      <c r="D1" s="10">
        <v>1988</v>
      </c>
      <c r="E1" s="10">
        <v>1989</v>
      </c>
      <c r="F1" s="10">
        <v>1990</v>
      </c>
      <c r="G1" s="10">
        <v>1991</v>
      </c>
      <c r="H1" s="10">
        <v>1992</v>
      </c>
      <c r="I1" s="10">
        <v>1993</v>
      </c>
      <c r="J1" s="10">
        <v>1994</v>
      </c>
      <c r="K1" s="10">
        <v>1995</v>
      </c>
      <c r="L1" s="10">
        <v>1996</v>
      </c>
      <c r="M1" s="10">
        <v>1997</v>
      </c>
      <c r="N1" s="10">
        <v>1998</v>
      </c>
      <c r="O1" s="10">
        <v>1999</v>
      </c>
      <c r="P1" s="10">
        <v>2000</v>
      </c>
      <c r="Q1" s="10">
        <v>2001</v>
      </c>
      <c r="R1" s="10">
        <v>2002</v>
      </c>
      <c r="S1" s="10">
        <v>2003</v>
      </c>
      <c r="T1" s="10">
        <v>2004</v>
      </c>
      <c r="U1" s="10">
        <v>2005</v>
      </c>
      <c r="V1" s="10">
        <v>2006</v>
      </c>
      <c r="W1" s="10">
        <v>2007</v>
      </c>
      <c r="X1" s="10">
        <v>2008</v>
      </c>
      <c r="Y1" s="10">
        <v>2009</v>
      </c>
      <c r="Z1" s="10">
        <v>2010</v>
      </c>
      <c r="AA1" s="10">
        <v>2011</v>
      </c>
      <c r="AB1" s="10">
        <v>2012</v>
      </c>
      <c r="AC1" s="10">
        <v>2013</v>
      </c>
    </row>
    <row r="2" spans="1:29" s="5" customFormat="1" x14ac:dyDescent="0.25">
      <c r="A2" s="14" t="s">
        <v>29</v>
      </c>
      <c r="B2" s="6" t="s">
        <v>5</v>
      </c>
      <c r="C2" s="6" t="s">
        <v>6</v>
      </c>
      <c r="D2" s="8">
        <v>3844</v>
      </c>
      <c r="E2" s="8">
        <v>3814</v>
      </c>
      <c r="F2" s="8">
        <v>4663</v>
      </c>
      <c r="G2" s="8">
        <v>2451</v>
      </c>
      <c r="H2" s="8">
        <v>1969</v>
      </c>
      <c r="I2" s="8">
        <v>2135</v>
      </c>
      <c r="J2" s="8">
        <v>2447</v>
      </c>
      <c r="K2" s="7">
        <v>900</v>
      </c>
      <c r="L2" s="8">
        <v>1700</v>
      </c>
      <c r="M2" s="8">
        <v>1081</v>
      </c>
      <c r="N2" s="8">
        <v>2652</v>
      </c>
      <c r="O2" s="7">
        <v>800</v>
      </c>
      <c r="P2" s="8">
        <v>1034</v>
      </c>
      <c r="Q2" s="8">
        <v>1489</v>
      </c>
      <c r="R2" s="7">
        <v>808</v>
      </c>
      <c r="S2" s="8">
        <v>1499</v>
      </c>
      <c r="T2" s="8">
        <v>2031</v>
      </c>
      <c r="U2" s="8">
        <v>3373</v>
      </c>
      <c r="V2" s="8">
        <v>3060</v>
      </c>
      <c r="W2" s="8">
        <v>3510</v>
      </c>
      <c r="X2" s="8">
        <v>3798</v>
      </c>
      <c r="Y2" s="8">
        <v>6682</v>
      </c>
      <c r="Z2" s="8">
        <v>3963</v>
      </c>
      <c r="AA2" s="47">
        <f>6962440/1000</f>
        <v>6962.44</v>
      </c>
      <c r="AB2" s="43">
        <f>8212924/1000</f>
        <v>8212.9240000000009</v>
      </c>
      <c r="AC2" s="43">
        <f>11634943/1000</f>
        <v>11634.942999999999</v>
      </c>
    </row>
    <row r="3" spans="1:29" x14ac:dyDescent="0.25">
      <c r="A3" s="12"/>
      <c r="B3" s="2"/>
      <c r="C3" s="2" t="s">
        <v>7</v>
      </c>
      <c r="D3" s="3">
        <v>5000</v>
      </c>
      <c r="E3" s="3">
        <v>13575</v>
      </c>
      <c r="F3" s="3">
        <v>10750</v>
      </c>
      <c r="G3" s="3">
        <v>6050</v>
      </c>
      <c r="H3" s="3">
        <v>6025</v>
      </c>
      <c r="I3" s="3">
        <v>4271</v>
      </c>
      <c r="J3" s="3">
        <v>2765</v>
      </c>
      <c r="K3" s="4">
        <v>111</v>
      </c>
      <c r="L3" s="4">
        <v>112</v>
      </c>
      <c r="M3" s="4">
        <v>231</v>
      </c>
      <c r="N3" s="4">
        <v>85</v>
      </c>
      <c r="O3" s="4">
        <v>524</v>
      </c>
      <c r="P3" s="4">
        <v>870</v>
      </c>
      <c r="Q3" s="4">
        <v>150</v>
      </c>
      <c r="R3" s="4">
        <v>534</v>
      </c>
      <c r="S3" s="4">
        <v>99</v>
      </c>
      <c r="T3" s="4">
        <v>496</v>
      </c>
      <c r="U3" s="4">
        <v>226</v>
      </c>
      <c r="V3" s="4">
        <v>306</v>
      </c>
      <c r="W3" s="4">
        <v>108</v>
      </c>
      <c r="X3" s="4">
        <v>341</v>
      </c>
      <c r="Y3" s="4">
        <v>51</v>
      </c>
      <c r="Z3" s="4">
        <v>50</v>
      </c>
      <c r="AA3" s="44">
        <f>114224/1000</f>
        <v>114.224</v>
      </c>
      <c r="AB3" s="42"/>
      <c r="AC3" s="42"/>
    </row>
    <row r="4" spans="1:29" s="5" customFormat="1" x14ac:dyDescent="0.25">
      <c r="A4" s="14"/>
      <c r="B4" s="6"/>
      <c r="C4" s="6" t="s">
        <v>8</v>
      </c>
      <c r="D4" s="7">
        <v>500</v>
      </c>
      <c r="E4" s="7">
        <v>100</v>
      </c>
      <c r="F4" s="7">
        <v>150</v>
      </c>
      <c r="G4" s="7">
        <v>400</v>
      </c>
      <c r="H4" s="7">
        <v>300</v>
      </c>
      <c r="I4" s="7">
        <v>100</v>
      </c>
      <c r="J4" s="7">
        <v>4</v>
      </c>
      <c r="K4" s="7">
        <v>1</v>
      </c>
      <c r="L4" s="7">
        <v>0</v>
      </c>
      <c r="M4" s="7">
        <v>0</v>
      </c>
      <c r="N4" s="7">
        <v>16</v>
      </c>
      <c r="O4" s="7">
        <v>13</v>
      </c>
      <c r="P4" s="7">
        <v>0</v>
      </c>
      <c r="Q4" s="7">
        <v>1</v>
      </c>
      <c r="R4" s="7">
        <v>0</v>
      </c>
      <c r="S4" s="7">
        <v>12</v>
      </c>
      <c r="T4" s="7">
        <v>0</v>
      </c>
      <c r="U4" s="7">
        <v>44</v>
      </c>
      <c r="V4" s="7">
        <v>53</v>
      </c>
      <c r="W4" s="7">
        <v>77</v>
      </c>
      <c r="X4" s="7">
        <v>49</v>
      </c>
      <c r="Y4" s="8">
        <v>1331</v>
      </c>
      <c r="Z4" s="7">
        <v>427</v>
      </c>
      <c r="AA4" s="47">
        <f>721626/1000</f>
        <v>721.62599999999998</v>
      </c>
      <c r="AB4" s="43"/>
      <c r="AC4" s="43"/>
    </row>
    <row r="5" spans="1:29" x14ac:dyDescent="0.25">
      <c r="A5" s="12"/>
      <c r="B5" s="2"/>
      <c r="C5" s="2" t="s">
        <v>9</v>
      </c>
      <c r="D5" s="3">
        <v>7400</v>
      </c>
      <c r="E5" s="3">
        <v>15665</v>
      </c>
      <c r="F5" s="3">
        <v>15775</v>
      </c>
      <c r="G5" s="3">
        <v>8600</v>
      </c>
      <c r="H5" s="3">
        <v>8295</v>
      </c>
      <c r="I5" s="3">
        <v>6175</v>
      </c>
      <c r="J5" s="3">
        <v>5650</v>
      </c>
      <c r="K5" s="3">
        <v>1800</v>
      </c>
      <c r="L5" s="3">
        <v>1800</v>
      </c>
      <c r="M5" s="3">
        <v>1330</v>
      </c>
      <c r="N5" s="3">
        <v>2370</v>
      </c>
      <c r="O5" s="3">
        <v>1710</v>
      </c>
      <c r="P5" s="3">
        <v>1845</v>
      </c>
      <c r="Q5" s="3">
        <v>1700</v>
      </c>
      <c r="R5" s="3">
        <v>1350</v>
      </c>
      <c r="S5" s="3">
        <v>1600</v>
      </c>
      <c r="T5" s="3">
        <v>2550</v>
      </c>
      <c r="U5" s="3">
        <v>3500</v>
      </c>
      <c r="V5" s="3">
        <v>3300</v>
      </c>
      <c r="W5" s="3">
        <v>3600</v>
      </c>
      <c r="X5" s="3">
        <v>4100</v>
      </c>
      <c r="Y5" s="3">
        <v>5200</v>
      </c>
      <c r="Z5" s="3">
        <v>3700</v>
      </c>
      <c r="AA5" s="44">
        <f>AA2+AA3-AA4</f>
        <v>6355.0379999999996</v>
      </c>
      <c r="AB5" s="42"/>
      <c r="AC5" s="42"/>
    </row>
    <row r="6" spans="1:29" s="5" customFormat="1" x14ac:dyDescent="0.25">
      <c r="A6" s="14"/>
      <c r="B6" s="6" t="s">
        <v>10</v>
      </c>
      <c r="C6" s="6" t="s">
        <v>7</v>
      </c>
      <c r="D6" s="8">
        <v>5395</v>
      </c>
      <c r="E6" s="8">
        <v>5827</v>
      </c>
      <c r="F6" s="8">
        <v>5878</v>
      </c>
      <c r="G6" s="8">
        <v>5290</v>
      </c>
      <c r="H6" s="8">
        <v>3900</v>
      </c>
      <c r="I6" s="8">
        <v>2650</v>
      </c>
      <c r="J6" s="8">
        <v>3000</v>
      </c>
      <c r="K6" s="8">
        <v>2159</v>
      </c>
      <c r="L6" s="8">
        <v>1100</v>
      </c>
      <c r="M6" s="8">
        <v>1000</v>
      </c>
      <c r="N6" s="8">
        <v>1225</v>
      </c>
      <c r="O6" s="7">
        <v>850</v>
      </c>
      <c r="P6" s="8">
        <v>1600</v>
      </c>
      <c r="Q6" s="8">
        <v>1650</v>
      </c>
      <c r="R6" s="8">
        <v>1800</v>
      </c>
      <c r="S6" s="8">
        <v>1650</v>
      </c>
      <c r="T6" s="8">
        <v>1475</v>
      </c>
      <c r="U6" s="8">
        <v>1450</v>
      </c>
      <c r="V6" s="8">
        <v>1375</v>
      </c>
      <c r="W6" s="8">
        <v>1325</v>
      </c>
      <c r="X6" s="8">
        <v>1125</v>
      </c>
      <c r="Y6" s="7">
        <v>845</v>
      </c>
      <c r="Z6" s="7">
        <v>600</v>
      </c>
      <c r="AA6" s="47">
        <v>550</v>
      </c>
      <c r="AB6" s="43">
        <f>90366/1000</f>
        <v>90.366</v>
      </c>
      <c r="AC6" s="43"/>
    </row>
    <row r="7" spans="1:29" s="5" customFormat="1" x14ac:dyDescent="0.25">
      <c r="A7" s="14"/>
      <c r="B7" s="6"/>
      <c r="C7" s="6" t="s">
        <v>9</v>
      </c>
      <c r="D7" s="8">
        <v>5665</v>
      </c>
      <c r="E7" s="8">
        <v>5600</v>
      </c>
      <c r="F7" s="8">
        <v>5831</v>
      </c>
      <c r="G7" s="8">
        <v>5469</v>
      </c>
      <c r="H7" s="8">
        <v>4539</v>
      </c>
      <c r="I7" s="8">
        <v>2200</v>
      </c>
      <c r="J7" s="8">
        <v>2200</v>
      </c>
      <c r="K7" s="8">
        <v>1263</v>
      </c>
      <c r="L7" s="8">
        <v>1150</v>
      </c>
      <c r="M7" s="8">
        <v>1150</v>
      </c>
      <c r="N7" s="8">
        <v>1200</v>
      </c>
      <c r="O7" s="7">
        <v>920</v>
      </c>
      <c r="P7" s="8">
        <v>1550</v>
      </c>
      <c r="Q7" s="8">
        <v>1600</v>
      </c>
      <c r="R7" s="8">
        <v>1800</v>
      </c>
      <c r="S7" s="8">
        <v>1650</v>
      </c>
      <c r="T7" s="8">
        <v>1500</v>
      </c>
      <c r="U7" s="8">
        <v>1425</v>
      </c>
      <c r="V7" s="8">
        <v>1375</v>
      </c>
      <c r="W7" s="8">
        <v>1325</v>
      </c>
      <c r="X7" s="8">
        <v>1150</v>
      </c>
      <c r="Y7" s="7">
        <v>900</v>
      </c>
      <c r="Z7" s="7">
        <v>650</v>
      </c>
      <c r="AA7" s="47">
        <v>550</v>
      </c>
      <c r="AB7" s="43">
        <f>AB6</f>
        <v>90.366</v>
      </c>
      <c r="AC7" s="43"/>
    </row>
    <row r="8" spans="1:29" x14ac:dyDescent="0.25">
      <c r="A8" s="12"/>
      <c r="B8" s="2" t="s">
        <v>11</v>
      </c>
      <c r="C8" s="2" t="s">
        <v>6</v>
      </c>
      <c r="D8" s="4">
        <v>541</v>
      </c>
      <c r="E8" s="4">
        <v>675</v>
      </c>
      <c r="F8" s="4">
        <v>738</v>
      </c>
      <c r="G8" s="4">
        <v>717</v>
      </c>
      <c r="H8" s="4">
        <v>624</v>
      </c>
      <c r="I8" s="4">
        <v>505</v>
      </c>
      <c r="J8" s="4">
        <v>497</v>
      </c>
      <c r="K8" s="4">
        <v>421</v>
      </c>
      <c r="L8" s="4">
        <v>290</v>
      </c>
      <c r="M8" s="4">
        <v>279</v>
      </c>
      <c r="N8" s="4">
        <v>280</v>
      </c>
      <c r="O8" s="4">
        <v>297</v>
      </c>
      <c r="P8" s="4">
        <v>334</v>
      </c>
      <c r="Q8" s="4">
        <v>342</v>
      </c>
      <c r="R8" s="4">
        <v>350</v>
      </c>
      <c r="S8" s="4">
        <v>423</v>
      </c>
      <c r="T8" s="4">
        <v>393</v>
      </c>
      <c r="U8" s="4">
        <v>555</v>
      </c>
      <c r="V8" s="4">
        <v>689</v>
      </c>
      <c r="W8" s="4">
        <v>807</v>
      </c>
      <c r="X8" s="4">
        <v>652</v>
      </c>
      <c r="Y8" s="4">
        <v>744</v>
      </c>
      <c r="Z8" s="4">
        <v>942</v>
      </c>
      <c r="AA8" s="44">
        <v>1200</v>
      </c>
      <c r="AB8" s="42">
        <f>1756010/1000</f>
        <v>1756.01</v>
      </c>
      <c r="AC8" s="42">
        <f>1806203/1000</f>
        <v>1806.203</v>
      </c>
    </row>
    <row r="9" spans="1:29" s="5" customFormat="1" x14ac:dyDescent="0.25">
      <c r="A9" s="14"/>
      <c r="B9" s="6"/>
      <c r="C9" s="6" t="s">
        <v>7</v>
      </c>
      <c r="D9" s="7">
        <v>425</v>
      </c>
      <c r="E9" s="7">
        <v>200</v>
      </c>
      <c r="F9" s="7">
        <v>200</v>
      </c>
      <c r="G9" s="7">
        <v>180</v>
      </c>
      <c r="H9" s="7">
        <v>75</v>
      </c>
      <c r="I9" s="7">
        <v>167</v>
      </c>
      <c r="J9" s="7">
        <v>68</v>
      </c>
      <c r="K9" s="7">
        <v>35</v>
      </c>
      <c r="L9" s="7">
        <v>35</v>
      </c>
      <c r="M9" s="7">
        <v>4</v>
      </c>
      <c r="N9" s="7">
        <v>14</v>
      </c>
      <c r="O9" s="7">
        <v>200</v>
      </c>
      <c r="P9" s="7">
        <v>65</v>
      </c>
      <c r="Q9" s="7">
        <v>22</v>
      </c>
      <c r="R9" s="7">
        <v>64</v>
      </c>
      <c r="S9" s="7">
        <v>15</v>
      </c>
      <c r="T9" s="7">
        <v>1</v>
      </c>
      <c r="U9" s="7">
        <v>40</v>
      </c>
      <c r="V9" s="7">
        <v>2</v>
      </c>
      <c r="W9" s="7">
        <v>34</v>
      </c>
      <c r="X9" s="7">
        <v>442</v>
      </c>
      <c r="Y9" s="7">
        <v>837</v>
      </c>
      <c r="Z9" s="8">
        <v>1037</v>
      </c>
      <c r="AA9" s="47">
        <v>1150</v>
      </c>
      <c r="AB9" s="43">
        <f>890537/1000</f>
        <v>890.53700000000003</v>
      </c>
      <c r="AC9" s="43"/>
    </row>
    <row r="10" spans="1:29" s="5" customFormat="1" x14ac:dyDescent="0.25">
      <c r="A10" s="14"/>
      <c r="B10" s="6"/>
      <c r="C10" s="6" t="s">
        <v>9</v>
      </c>
      <c r="D10" s="7">
        <v>966</v>
      </c>
      <c r="E10" s="7">
        <v>875</v>
      </c>
      <c r="F10" s="7">
        <v>938</v>
      </c>
      <c r="G10" s="7">
        <v>897</v>
      </c>
      <c r="H10" s="7">
        <v>644</v>
      </c>
      <c r="I10" s="7">
        <v>668</v>
      </c>
      <c r="J10" s="7">
        <v>542</v>
      </c>
      <c r="K10" s="7">
        <v>400</v>
      </c>
      <c r="L10" s="7">
        <v>301</v>
      </c>
      <c r="M10" s="7">
        <v>207</v>
      </c>
      <c r="N10" s="7">
        <v>232</v>
      </c>
      <c r="O10" s="7">
        <v>397</v>
      </c>
      <c r="P10" s="7">
        <v>369</v>
      </c>
      <c r="Q10" s="7">
        <v>367</v>
      </c>
      <c r="R10" s="7">
        <v>415</v>
      </c>
      <c r="S10" s="7">
        <v>452</v>
      </c>
      <c r="T10" s="7">
        <v>390</v>
      </c>
      <c r="U10" s="7">
        <v>564</v>
      </c>
      <c r="V10" s="7">
        <v>695</v>
      </c>
      <c r="W10" s="7">
        <v>825</v>
      </c>
      <c r="X10" s="8">
        <v>1071</v>
      </c>
      <c r="Y10" s="8">
        <v>1527</v>
      </c>
      <c r="Z10" s="8">
        <v>1980</v>
      </c>
      <c r="AA10" s="47">
        <v>2280</v>
      </c>
      <c r="AB10" s="43">
        <f>AB8+AB9</f>
        <v>2646.547</v>
      </c>
      <c r="AC10" s="43"/>
    </row>
    <row r="11" spans="1:29" x14ac:dyDescent="0.25">
      <c r="A11" s="12"/>
      <c r="B11" s="2" t="s">
        <v>12</v>
      </c>
      <c r="C11" s="2" t="s">
        <v>6</v>
      </c>
      <c r="D11" s="4">
        <v>697</v>
      </c>
      <c r="E11" s="4">
        <v>745</v>
      </c>
      <c r="F11" s="4">
        <v>641</v>
      </c>
      <c r="G11" s="4">
        <v>582</v>
      </c>
      <c r="H11" s="4">
        <v>502</v>
      </c>
      <c r="I11" s="4">
        <v>491</v>
      </c>
      <c r="J11" s="4">
        <v>447</v>
      </c>
      <c r="K11" s="4">
        <v>340</v>
      </c>
      <c r="L11" s="4">
        <v>300</v>
      </c>
      <c r="M11" s="4">
        <v>253</v>
      </c>
      <c r="N11" s="4">
        <v>213</v>
      </c>
      <c r="O11" s="4">
        <v>268</v>
      </c>
      <c r="P11" s="4">
        <v>289</v>
      </c>
      <c r="Q11" s="4">
        <v>381</v>
      </c>
      <c r="R11" s="4">
        <v>323</v>
      </c>
      <c r="S11" s="4">
        <v>314</v>
      </c>
      <c r="T11" s="4">
        <v>293</v>
      </c>
      <c r="U11" s="4">
        <v>306</v>
      </c>
      <c r="V11" s="4">
        <v>372</v>
      </c>
      <c r="W11" s="4">
        <v>445</v>
      </c>
      <c r="X11" s="4">
        <v>460</v>
      </c>
      <c r="Y11" s="4">
        <v>480</v>
      </c>
      <c r="Z11" s="4">
        <v>590</v>
      </c>
      <c r="AA11" s="44">
        <v>690</v>
      </c>
      <c r="AB11" s="42">
        <f>1055570/1000</f>
        <v>1055.57</v>
      </c>
      <c r="AC11" s="42">
        <f>1051891/1000</f>
        <v>1051.8910000000001</v>
      </c>
    </row>
    <row r="12" spans="1:29" s="5" customFormat="1" x14ac:dyDescent="0.25">
      <c r="A12" s="14"/>
      <c r="B12" s="6"/>
      <c r="C12" s="6" t="s">
        <v>7</v>
      </c>
      <c r="D12" s="7">
        <v>175</v>
      </c>
      <c r="E12" s="7">
        <v>185</v>
      </c>
      <c r="F12" s="7">
        <v>100</v>
      </c>
      <c r="G12" s="7">
        <v>100</v>
      </c>
      <c r="H12" s="7">
        <v>500</v>
      </c>
      <c r="I12" s="7">
        <v>128</v>
      </c>
      <c r="J12" s="7">
        <v>50</v>
      </c>
      <c r="K12" s="7">
        <v>129</v>
      </c>
      <c r="L12" s="7">
        <v>408</v>
      </c>
      <c r="M12" s="7">
        <v>290</v>
      </c>
      <c r="N12" s="7">
        <v>224</v>
      </c>
      <c r="O12" s="7">
        <v>580</v>
      </c>
      <c r="P12" s="7">
        <v>400</v>
      </c>
      <c r="Q12" s="7">
        <v>247</v>
      </c>
      <c r="R12" s="7">
        <v>406</v>
      </c>
      <c r="S12" s="7">
        <v>385</v>
      </c>
      <c r="T12" s="7">
        <v>350</v>
      </c>
      <c r="U12" s="7">
        <v>350</v>
      </c>
      <c r="V12" s="7">
        <v>358</v>
      </c>
      <c r="W12" s="7">
        <v>221</v>
      </c>
      <c r="X12" s="7">
        <v>237</v>
      </c>
      <c r="Y12" s="7">
        <v>230</v>
      </c>
      <c r="Z12" s="7">
        <v>220</v>
      </c>
      <c r="AA12" s="47">
        <v>200</v>
      </c>
      <c r="AB12" s="43">
        <f>190397/1000</f>
        <v>190.39699999999999</v>
      </c>
      <c r="AC12" s="43"/>
    </row>
    <row r="13" spans="1:29" x14ac:dyDescent="0.25">
      <c r="A13" s="12"/>
      <c r="B13" s="2"/>
      <c r="C13" s="2" t="s">
        <v>8</v>
      </c>
      <c r="D13" s="4">
        <v>166</v>
      </c>
      <c r="E13" s="4">
        <v>150</v>
      </c>
      <c r="F13" s="4">
        <v>150</v>
      </c>
      <c r="G13" s="4">
        <v>150</v>
      </c>
      <c r="H13" s="4">
        <v>25</v>
      </c>
      <c r="I13" s="4">
        <v>25</v>
      </c>
      <c r="J13" s="4">
        <v>90</v>
      </c>
      <c r="K13" s="4">
        <v>91</v>
      </c>
      <c r="L13" s="4">
        <v>33</v>
      </c>
      <c r="M13" s="4">
        <v>12</v>
      </c>
      <c r="N13" s="4">
        <v>14</v>
      </c>
      <c r="O13" s="4">
        <v>7</v>
      </c>
      <c r="P13" s="4">
        <v>25</v>
      </c>
      <c r="Q13" s="4">
        <v>10</v>
      </c>
      <c r="R13" s="4">
        <v>6</v>
      </c>
      <c r="S13" s="4">
        <v>20</v>
      </c>
      <c r="T13" s="4">
        <v>45</v>
      </c>
      <c r="U13" s="4">
        <v>10</v>
      </c>
      <c r="V13" s="4">
        <v>18</v>
      </c>
      <c r="W13" s="4">
        <v>12</v>
      </c>
      <c r="X13" s="4">
        <v>21</v>
      </c>
      <c r="Y13" s="4">
        <v>90</v>
      </c>
      <c r="Z13" s="4">
        <v>154</v>
      </c>
      <c r="AA13" s="44">
        <v>120</v>
      </c>
      <c r="AB13" s="42">
        <f>132124/1000</f>
        <v>132.124</v>
      </c>
      <c r="AC13" s="42"/>
    </row>
    <row r="14" spans="1:29" s="5" customFormat="1" x14ac:dyDescent="0.25">
      <c r="A14" s="14"/>
      <c r="B14" s="6"/>
      <c r="C14" s="6" t="s">
        <v>9</v>
      </c>
      <c r="D14" s="7">
        <v>706</v>
      </c>
      <c r="E14" s="7">
        <v>780</v>
      </c>
      <c r="F14" s="7">
        <v>591</v>
      </c>
      <c r="G14" s="7">
        <v>532</v>
      </c>
      <c r="H14" s="7">
        <v>977</v>
      </c>
      <c r="I14" s="7">
        <v>594</v>
      </c>
      <c r="J14" s="7">
        <v>407</v>
      </c>
      <c r="K14" s="7">
        <v>378</v>
      </c>
      <c r="L14" s="7">
        <v>560</v>
      </c>
      <c r="M14" s="7">
        <v>471</v>
      </c>
      <c r="N14" s="7">
        <v>550</v>
      </c>
      <c r="O14" s="7">
        <v>600</v>
      </c>
      <c r="P14" s="7">
        <v>625</v>
      </c>
      <c r="Q14" s="7">
        <v>650</v>
      </c>
      <c r="R14" s="7">
        <v>680</v>
      </c>
      <c r="S14" s="7">
        <v>710</v>
      </c>
      <c r="T14" s="7">
        <v>715</v>
      </c>
      <c r="U14" s="7">
        <v>720</v>
      </c>
      <c r="V14" s="7">
        <v>725</v>
      </c>
      <c r="W14" s="7">
        <v>689</v>
      </c>
      <c r="X14" s="7">
        <v>676</v>
      </c>
      <c r="Y14" s="7">
        <v>640</v>
      </c>
      <c r="Z14" s="7">
        <v>650</v>
      </c>
      <c r="AA14" s="47">
        <v>720</v>
      </c>
      <c r="AB14" s="43">
        <f>AB11+AB12-AB13</f>
        <v>1113.8429999999998</v>
      </c>
      <c r="AC14" s="43"/>
    </row>
    <row r="15" spans="1:29" x14ac:dyDescent="0.25">
      <c r="A15" s="14"/>
      <c r="B15" s="6" t="s">
        <v>14</v>
      </c>
      <c r="C15" s="6" t="s">
        <v>42</v>
      </c>
      <c r="D15" s="7">
        <v>0</v>
      </c>
      <c r="E15" s="7">
        <v>0</v>
      </c>
      <c r="F15" s="8">
        <v>3200</v>
      </c>
      <c r="G15" s="8">
        <v>2600</v>
      </c>
      <c r="H15" s="8">
        <v>2200</v>
      </c>
      <c r="I15" s="8">
        <v>2540</v>
      </c>
      <c r="J15" s="8">
        <v>2700</v>
      </c>
      <c r="K15" s="8">
        <v>1655</v>
      </c>
      <c r="L15" s="8">
        <v>2060</v>
      </c>
      <c r="M15" s="8">
        <v>1300</v>
      </c>
      <c r="N15" s="8">
        <v>1300</v>
      </c>
      <c r="O15" s="8">
        <v>1300</v>
      </c>
      <c r="P15" s="8">
        <v>1500</v>
      </c>
      <c r="Q15" s="8">
        <v>1550</v>
      </c>
      <c r="R15" s="8">
        <v>1630</v>
      </c>
      <c r="S15" s="8">
        <v>1580</v>
      </c>
      <c r="T15" s="8">
        <v>1930</v>
      </c>
      <c r="U15" s="8">
        <v>2250</v>
      </c>
      <c r="V15" s="8">
        <v>2500</v>
      </c>
      <c r="W15" s="8">
        <v>3150</v>
      </c>
      <c r="X15" s="8">
        <v>3200</v>
      </c>
      <c r="Y15" s="8">
        <v>3481</v>
      </c>
      <c r="Z15" s="8">
        <v>3313</v>
      </c>
      <c r="AA15" s="48">
        <v>2850</v>
      </c>
      <c r="AB15" s="42"/>
      <c r="AC15" s="42"/>
    </row>
    <row r="16" spans="1:29" s="5" customFormat="1" x14ac:dyDescent="0.25">
      <c r="A16" s="14"/>
      <c r="B16" s="2"/>
      <c r="C16" s="2" t="s">
        <v>45</v>
      </c>
      <c r="D16" s="4">
        <v>0</v>
      </c>
      <c r="E16" s="4">
        <v>0</v>
      </c>
      <c r="F16" s="3">
        <v>2161</v>
      </c>
      <c r="G16" s="3">
        <v>3580</v>
      </c>
      <c r="H16" s="3">
        <v>3850</v>
      </c>
      <c r="I16" s="3">
        <v>3500</v>
      </c>
      <c r="J16" s="3">
        <v>3150</v>
      </c>
      <c r="K16" s="3">
        <v>2700</v>
      </c>
      <c r="L16" s="3">
        <v>3200</v>
      </c>
      <c r="M16" s="3">
        <v>3600</v>
      </c>
      <c r="N16" s="3">
        <v>4210</v>
      </c>
      <c r="O16" s="3">
        <v>5400</v>
      </c>
      <c r="P16" s="3">
        <v>5170</v>
      </c>
      <c r="Q16" s="3">
        <v>5650</v>
      </c>
      <c r="R16" s="3">
        <v>4850</v>
      </c>
      <c r="S16" s="3">
        <v>4000</v>
      </c>
      <c r="T16" s="3">
        <v>3670</v>
      </c>
      <c r="U16" s="3">
        <v>4300</v>
      </c>
      <c r="V16" s="3">
        <v>2900</v>
      </c>
      <c r="W16" s="3">
        <v>2950</v>
      </c>
      <c r="X16" s="3">
        <v>3100</v>
      </c>
      <c r="Y16" s="3">
        <v>2150</v>
      </c>
      <c r="Z16" s="3">
        <v>2380</v>
      </c>
      <c r="AA16" s="45">
        <v>3050</v>
      </c>
      <c r="AB16" s="43">
        <f>2331492/1000</f>
        <v>2331.4920000000002</v>
      </c>
      <c r="AC16" s="43"/>
    </row>
    <row r="17" spans="1:53" x14ac:dyDescent="0.25">
      <c r="A17" s="14"/>
      <c r="B17" s="6"/>
      <c r="C17" s="6" t="s">
        <v>44</v>
      </c>
      <c r="D17" s="7">
        <v>0</v>
      </c>
      <c r="E17" s="7">
        <v>0</v>
      </c>
      <c r="F17" s="7">
        <v>130</v>
      </c>
      <c r="G17" s="7">
        <v>120</v>
      </c>
      <c r="H17" s="7">
        <v>100</v>
      </c>
      <c r="I17" s="7">
        <v>80</v>
      </c>
      <c r="J17" s="7">
        <v>80</v>
      </c>
      <c r="K17" s="7">
        <v>100</v>
      </c>
      <c r="L17" s="7">
        <v>100</v>
      </c>
      <c r="M17" s="7">
        <v>130</v>
      </c>
      <c r="N17" s="7">
        <v>150</v>
      </c>
      <c r="O17" s="7">
        <v>160</v>
      </c>
      <c r="P17" s="7">
        <v>190</v>
      </c>
      <c r="Q17" s="7">
        <v>260</v>
      </c>
      <c r="R17" s="7">
        <v>410</v>
      </c>
      <c r="S17" s="7">
        <v>260</v>
      </c>
      <c r="T17" s="7">
        <v>110</v>
      </c>
      <c r="U17" s="7">
        <v>110</v>
      </c>
      <c r="V17" s="7">
        <v>110</v>
      </c>
      <c r="W17" s="7">
        <v>180</v>
      </c>
      <c r="X17" s="7">
        <v>200</v>
      </c>
      <c r="Y17" s="7">
        <v>200</v>
      </c>
      <c r="Z17" s="7">
        <v>100</v>
      </c>
      <c r="AA17" s="48">
        <v>100</v>
      </c>
      <c r="AB17" s="42">
        <f>3853/100</f>
        <v>38.53</v>
      </c>
      <c r="AC17" s="42"/>
    </row>
    <row r="18" spans="1:53" s="5" customFormat="1" ht="30" x14ac:dyDescent="0.25">
      <c r="A18" s="14"/>
      <c r="B18" s="2"/>
      <c r="C18" s="2" t="s">
        <v>43</v>
      </c>
      <c r="D18" s="4">
        <v>0</v>
      </c>
      <c r="E18" s="4">
        <v>0</v>
      </c>
      <c r="F18" s="3">
        <v>7600</v>
      </c>
      <c r="G18" s="3">
        <v>6350</v>
      </c>
      <c r="H18" s="3">
        <v>5800</v>
      </c>
      <c r="I18" s="3">
        <v>5800</v>
      </c>
      <c r="J18" s="3">
        <v>5400</v>
      </c>
      <c r="K18" s="3">
        <v>4900</v>
      </c>
      <c r="L18" s="3">
        <v>5000</v>
      </c>
      <c r="M18" s="3">
        <v>5100</v>
      </c>
      <c r="N18" s="3">
        <v>4960</v>
      </c>
      <c r="O18" s="3">
        <v>4995</v>
      </c>
      <c r="P18" s="3">
        <v>6130</v>
      </c>
      <c r="Q18" s="3">
        <v>6840</v>
      </c>
      <c r="R18" s="3">
        <v>7040</v>
      </c>
      <c r="S18" s="3">
        <v>6400</v>
      </c>
      <c r="T18" s="3">
        <v>6100</v>
      </c>
      <c r="U18" s="3">
        <v>6300</v>
      </c>
      <c r="V18" s="3">
        <v>5400</v>
      </c>
      <c r="W18" s="3">
        <v>5950</v>
      </c>
      <c r="X18" s="3">
        <v>5990</v>
      </c>
      <c r="Y18" s="3">
        <v>5500</v>
      </c>
      <c r="Z18" s="3">
        <v>5694</v>
      </c>
      <c r="AA18" s="45">
        <v>5736</v>
      </c>
      <c r="AB18" s="43"/>
      <c r="AC18" s="43"/>
    </row>
    <row r="19" spans="1:53" x14ac:dyDescent="0.25">
      <c r="A19" s="12"/>
      <c r="B19" s="2" t="s">
        <v>15</v>
      </c>
      <c r="C19" s="2" t="s">
        <v>6</v>
      </c>
      <c r="D19" s="3">
        <v>36868</v>
      </c>
      <c r="E19" s="3">
        <v>39864</v>
      </c>
      <c r="F19" s="3">
        <v>44004</v>
      </c>
      <c r="G19" s="3">
        <v>49596</v>
      </c>
      <c r="H19" s="3">
        <v>38900</v>
      </c>
      <c r="I19" s="3">
        <v>46170</v>
      </c>
      <c r="J19" s="3">
        <v>43500</v>
      </c>
      <c r="K19" s="3">
        <v>32100</v>
      </c>
      <c r="L19" s="3">
        <v>30100</v>
      </c>
      <c r="M19" s="3">
        <v>34900</v>
      </c>
      <c r="N19" s="3">
        <v>44250</v>
      </c>
      <c r="O19" s="3">
        <v>27012</v>
      </c>
      <c r="P19" s="3">
        <v>30995</v>
      </c>
      <c r="Q19" s="3">
        <v>34455</v>
      </c>
      <c r="R19" s="3">
        <v>46982</v>
      </c>
      <c r="S19" s="3">
        <v>50609</v>
      </c>
      <c r="T19" s="3">
        <v>34070</v>
      </c>
      <c r="U19" s="3">
        <v>45434</v>
      </c>
      <c r="V19" s="3">
        <v>47615</v>
      </c>
      <c r="W19" s="3">
        <v>44927</v>
      </c>
      <c r="X19" s="3">
        <v>49368</v>
      </c>
      <c r="Y19" s="3">
        <v>63765</v>
      </c>
      <c r="Z19" s="3">
        <v>61770</v>
      </c>
      <c r="AA19" s="44">
        <v>41508</v>
      </c>
      <c r="AB19" s="42">
        <f>56239990/1000</f>
        <v>56239.99</v>
      </c>
      <c r="AC19" s="42">
        <f>37719640/1000</f>
        <v>37719.64</v>
      </c>
    </row>
    <row r="20" spans="1:53" s="5" customFormat="1" x14ac:dyDescent="0.25">
      <c r="A20" s="14"/>
      <c r="B20" s="6"/>
      <c r="C20" s="6" t="s">
        <v>7</v>
      </c>
      <c r="D20" s="8">
        <v>14900</v>
      </c>
      <c r="E20" s="8">
        <v>9860</v>
      </c>
      <c r="F20" s="8">
        <v>9100</v>
      </c>
      <c r="G20" s="8">
        <v>10849</v>
      </c>
      <c r="H20" s="8">
        <v>13645</v>
      </c>
      <c r="I20" s="8">
        <v>14470</v>
      </c>
      <c r="J20" s="8">
        <v>5000</v>
      </c>
      <c r="K20" s="8">
        <v>2167</v>
      </c>
      <c r="L20" s="8">
        <v>5316</v>
      </c>
      <c r="M20" s="8">
        <v>2631</v>
      </c>
      <c r="N20" s="8">
        <v>3120</v>
      </c>
      <c r="O20" s="8">
        <v>2490</v>
      </c>
      <c r="P20" s="8">
        <v>5083</v>
      </c>
      <c r="Q20" s="8">
        <v>1604</v>
      </c>
      <c r="R20" s="7">
        <v>629</v>
      </c>
      <c r="S20" s="8">
        <v>1045</v>
      </c>
      <c r="T20" s="8">
        <v>1026</v>
      </c>
      <c r="U20" s="8">
        <v>1197</v>
      </c>
      <c r="V20" s="8">
        <v>1321</v>
      </c>
      <c r="W20" s="7">
        <v>928</v>
      </c>
      <c r="X20" s="7">
        <v>440</v>
      </c>
      <c r="Y20" s="7">
        <v>203</v>
      </c>
      <c r="Z20" s="7">
        <v>164</v>
      </c>
      <c r="AA20" s="47">
        <v>500</v>
      </c>
      <c r="AB20" s="43">
        <f>120143/1000</f>
        <v>120.143</v>
      </c>
      <c r="AC20" s="43"/>
    </row>
    <row r="21" spans="1:53" x14ac:dyDescent="0.25">
      <c r="A21" s="12"/>
      <c r="B21" s="2"/>
      <c r="C21" s="2" t="s">
        <v>8</v>
      </c>
      <c r="D21" s="4">
        <v>800</v>
      </c>
      <c r="E21" s="4">
        <v>970</v>
      </c>
      <c r="F21" s="3">
        <v>1150</v>
      </c>
      <c r="G21" s="3">
        <v>1200</v>
      </c>
      <c r="H21" s="4">
        <v>555</v>
      </c>
      <c r="I21" s="4">
        <v>900</v>
      </c>
      <c r="J21" s="4">
        <v>500</v>
      </c>
      <c r="K21" s="4">
        <v>619</v>
      </c>
      <c r="L21" s="4">
        <v>206</v>
      </c>
      <c r="M21" s="4">
        <v>697</v>
      </c>
      <c r="N21" s="3">
        <v>1111</v>
      </c>
      <c r="O21" s="3">
        <v>1652</v>
      </c>
      <c r="P21" s="4">
        <v>518</v>
      </c>
      <c r="Q21" s="4">
        <v>696</v>
      </c>
      <c r="R21" s="3">
        <v>4372</v>
      </c>
      <c r="S21" s="3">
        <v>12621</v>
      </c>
      <c r="T21" s="3">
        <v>3114</v>
      </c>
      <c r="U21" s="3">
        <v>8456</v>
      </c>
      <c r="V21" s="3">
        <v>10664</v>
      </c>
      <c r="W21" s="3">
        <v>10790</v>
      </c>
      <c r="X21" s="3">
        <v>12220</v>
      </c>
      <c r="Y21" s="3">
        <v>18393</v>
      </c>
      <c r="Z21" s="3">
        <v>18556</v>
      </c>
      <c r="AA21" s="44">
        <v>4000</v>
      </c>
      <c r="AB21" s="42">
        <f>15185953/1000</f>
        <v>15185.953</v>
      </c>
      <c r="AC21" s="42"/>
    </row>
    <row r="22" spans="1:53" s="5" customFormat="1" x14ac:dyDescent="0.25">
      <c r="A22" s="14"/>
      <c r="B22" s="6"/>
      <c r="C22" s="6" t="s">
        <v>9</v>
      </c>
      <c r="D22" s="8">
        <v>50981</v>
      </c>
      <c r="E22" s="8">
        <v>48840</v>
      </c>
      <c r="F22" s="8">
        <v>51960</v>
      </c>
      <c r="G22" s="8">
        <v>57260</v>
      </c>
      <c r="H22" s="8">
        <v>53823</v>
      </c>
      <c r="I22" s="8">
        <v>56617</v>
      </c>
      <c r="J22" s="8">
        <v>48945</v>
      </c>
      <c r="K22" s="8">
        <v>42873</v>
      </c>
      <c r="L22" s="8">
        <v>39810</v>
      </c>
      <c r="M22" s="8">
        <v>38134</v>
      </c>
      <c r="N22" s="8">
        <v>39809</v>
      </c>
      <c r="O22" s="8">
        <v>34838</v>
      </c>
      <c r="P22" s="8">
        <v>35365</v>
      </c>
      <c r="Q22" s="8">
        <v>35158</v>
      </c>
      <c r="R22" s="8">
        <v>37078</v>
      </c>
      <c r="S22" s="8">
        <v>38320</v>
      </c>
      <c r="T22" s="8">
        <v>35500</v>
      </c>
      <c r="U22" s="8">
        <v>37400</v>
      </c>
      <c r="V22" s="8">
        <v>38400</v>
      </c>
      <c r="W22" s="8">
        <v>36400</v>
      </c>
      <c r="X22" s="8">
        <v>37650</v>
      </c>
      <c r="Y22" s="8">
        <v>38900</v>
      </c>
      <c r="Z22" s="8">
        <v>42000</v>
      </c>
      <c r="AA22" s="47">
        <v>45800</v>
      </c>
      <c r="AB22" s="43">
        <f>AB19+AB20-AB21</f>
        <v>41174.179999999993</v>
      </c>
      <c r="AC22" s="43"/>
    </row>
    <row r="29" spans="1:53" s="5" customFormat="1" x14ac:dyDescent="0.25">
      <c r="A29" s="32"/>
      <c r="B29" s="32"/>
      <c r="C29" s="32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0">
        <v>0</v>
      </c>
      <c r="AU29" s="21" t="e">
        <f t="shared" ref="AU29:AU42" si="0">AN29/AN522</f>
        <v>#DIV/0!</v>
      </c>
      <c r="AV29" s="21" t="e">
        <f t="shared" ref="AV29:AV42" si="1">AO29/AO522</f>
        <v>#DIV/0!</v>
      </c>
      <c r="AW29" s="21" t="e">
        <f t="shared" ref="AW29:AW42" si="2">AP29/AP522</f>
        <v>#DIV/0!</v>
      </c>
      <c r="AX29" s="21" t="e">
        <f t="shared" ref="AX29:AX42" si="3">AQ29/AQ522</f>
        <v>#DIV/0!</v>
      </c>
      <c r="AY29" s="21" t="e">
        <f t="shared" ref="AY29:AY42" si="4">AR29/AR522</f>
        <v>#DIV/0!</v>
      </c>
      <c r="AZ29" s="21" t="e">
        <f t="shared" ref="AZ29:AZ42" si="5">AS29/AS522</f>
        <v>#DIV/0!</v>
      </c>
      <c r="BA29" s="23" t="e">
        <f t="shared" ref="BA29:BA91" si="6">AVERAGE(AY29,AZ29,AX29)</f>
        <v>#DIV/0!</v>
      </c>
    </row>
    <row r="30" spans="1:53" x14ac:dyDescent="0.25">
      <c r="A30" s="34"/>
      <c r="B30" s="34"/>
      <c r="C30" s="34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1">
        <v>0</v>
      </c>
      <c r="AU30" s="20" t="e">
        <f t="shared" si="0"/>
        <v>#DIV/0!</v>
      </c>
      <c r="AV30" s="20" t="e">
        <f t="shared" si="1"/>
        <v>#DIV/0!</v>
      </c>
      <c r="AW30" s="20" t="e">
        <f t="shared" si="2"/>
        <v>#DIV/0!</v>
      </c>
      <c r="AX30" s="20" t="e">
        <f t="shared" si="3"/>
        <v>#DIV/0!</v>
      </c>
      <c r="AY30" s="20" t="e">
        <f t="shared" si="4"/>
        <v>#DIV/0!</v>
      </c>
      <c r="AZ30" s="20" t="e">
        <f t="shared" si="5"/>
        <v>#DIV/0!</v>
      </c>
      <c r="BA30" s="23" t="e">
        <f t="shared" si="6"/>
        <v>#DIV/0!</v>
      </c>
    </row>
    <row r="31" spans="1:53" s="5" customFormat="1" x14ac:dyDescent="0.25">
      <c r="A31" s="32"/>
      <c r="B31" s="32"/>
      <c r="C31" s="32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  <c r="AT31" s="30">
        <v>0</v>
      </c>
      <c r="AU31" s="21" t="e">
        <f t="shared" si="0"/>
        <v>#DIV/0!</v>
      </c>
      <c r="AV31" s="21" t="e">
        <f t="shared" si="1"/>
        <v>#DIV/0!</v>
      </c>
      <c r="AW31" s="21" t="e">
        <f t="shared" si="2"/>
        <v>#DIV/0!</v>
      </c>
      <c r="AX31" s="21" t="e">
        <f t="shared" si="3"/>
        <v>#DIV/0!</v>
      </c>
      <c r="AY31" s="21" t="e">
        <f t="shared" si="4"/>
        <v>#DIV/0!</v>
      </c>
      <c r="AZ31" s="21" t="e">
        <f t="shared" si="5"/>
        <v>#DIV/0!</v>
      </c>
      <c r="BA31" s="23" t="e">
        <f t="shared" si="6"/>
        <v>#DIV/0!</v>
      </c>
    </row>
    <row r="32" spans="1:53" x14ac:dyDescent="0.25">
      <c r="A32" s="34"/>
      <c r="B32" s="34"/>
      <c r="C32" s="34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1">
        <v>0</v>
      </c>
      <c r="AU32" s="20" t="e">
        <f t="shared" si="0"/>
        <v>#DIV/0!</v>
      </c>
      <c r="AV32" s="20" t="e">
        <f t="shared" si="1"/>
        <v>#DIV/0!</v>
      </c>
      <c r="AW32" s="20" t="e">
        <f t="shared" si="2"/>
        <v>#DIV/0!</v>
      </c>
      <c r="AX32" s="20" t="e">
        <f t="shared" si="3"/>
        <v>#DIV/0!</v>
      </c>
      <c r="AY32" s="20" t="e">
        <f t="shared" si="4"/>
        <v>#DIV/0!</v>
      </c>
      <c r="AZ32" s="20" t="e">
        <f t="shared" si="5"/>
        <v>#DIV/0!</v>
      </c>
      <c r="BA32" s="23" t="e">
        <f t="shared" si="6"/>
        <v>#DIV/0!</v>
      </c>
    </row>
    <row r="33" spans="1:53" s="5" customFormat="1" x14ac:dyDescent="0.25">
      <c r="A33" s="32"/>
      <c r="B33" s="32"/>
      <c r="C33" s="32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0">
        <v>0</v>
      </c>
      <c r="AU33" s="21" t="e">
        <f t="shared" si="0"/>
        <v>#DIV/0!</v>
      </c>
      <c r="AV33" s="21" t="e">
        <f t="shared" si="1"/>
        <v>#DIV/0!</v>
      </c>
      <c r="AW33" s="21" t="e">
        <f t="shared" si="2"/>
        <v>#DIV/0!</v>
      </c>
      <c r="AX33" s="21" t="e">
        <f t="shared" si="3"/>
        <v>#DIV/0!</v>
      </c>
      <c r="AY33" s="21" t="e">
        <f t="shared" si="4"/>
        <v>#DIV/0!</v>
      </c>
      <c r="AZ33" s="21" t="e">
        <f t="shared" si="5"/>
        <v>#DIV/0!</v>
      </c>
      <c r="BA33" s="23" t="e">
        <f t="shared" si="6"/>
        <v>#DIV/0!</v>
      </c>
    </row>
    <row r="34" spans="1:53" x14ac:dyDescent="0.25">
      <c r="A34" s="34"/>
      <c r="B34" s="34"/>
      <c r="C34" s="34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1">
        <v>0</v>
      </c>
      <c r="AU34" s="20" t="e">
        <f t="shared" si="0"/>
        <v>#DIV/0!</v>
      </c>
      <c r="AV34" s="20" t="e">
        <f t="shared" si="1"/>
        <v>#DIV/0!</v>
      </c>
      <c r="AW34" s="20" t="e">
        <f t="shared" si="2"/>
        <v>#DIV/0!</v>
      </c>
      <c r="AX34" s="20" t="e">
        <f t="shared" si="3"/>
        <v>#DIV/0!</v>
      </c>
      <c r="AY34" s="20" t="e">
        <f t="shared" si="4"/>
        <v>#DIV/0!</v>
      </c>
      <c r="AZ34" s="20" t="e">
        <f t="shared" si="5"/>
        <v>#DIV/0!</v>
      </c>
      <c r="BA34" s="23" t="e">
        <f t="shared" si="6"/>
        <v>#DIV/0!</v>
      </c>
    </row>
    <row r="35" spans="1:53" s="5" customFormat="1" x14ac:dyDescent="0.25">
      <c r="A35" s="32"/>
      <c r="B35" s="32"/>
      <c r="C35" s="32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6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0">
        <v>0</v>
      </c>
      <c r="AU35" s="21" t="e">
        <f t="shared" si="0"/>
        <v>#DIV/0!</v>
      </c>
      <c r="AV35" s="21" t="e">
        <f t="shared" si="1"/>
        <v>#DIV/0!</v>
      </c>
      <c r="AW35" s="21" t="e">
        <f t="shared" si="2"/>
        <v>#DIV/0!</v>
      </c>
      <c r="AX35" s="21" t="e">
        <f t="shared" si="3"/>
        <v>#DIV/0!</v>
      </c>
      <c r="AY35" s="21" t="e">
        <f t="shared" si="4"/>
        <v>#DIV/0!</v>
      </c>
      <c r="AZ35" s="21" t="e">
        <f t="shared" si="5"/>
        <v>#DIV/0!</v>
      </c>
      <c r="BA35" s="23" t="e">
        <f t="shared" si="6"/>
        <v>#DIV/0!</v>
      </c>
    </row>
    <row r="36" spans="1:53" x14ac:dyDescent="0.25">
      <c r="A36" s="34"/>
      <c r="B36" s="34"/>
      <c r="C36" s="34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1">
        <v>0</v>
      </c>
      <c r="AU36" s="20" t="e">
        <f t="shared" si="0"/>
        <v>#DIV/0!</v>
      </c>
      <c r="AV36" s="20" t="e">
        <f t="shared" si="1"/>
        <v>#DIV/0!</v>
      </c>
      <c r="AW36" s="20" t="e">
        <f t="shared" si="2"/>
        <v>#DIV/0!</v>
      </c>
      <c r="AX36" s="20" t="e">
        <f t="shared" si="3"/>
        <v>#DIV/0!</v>
      </c>
      <c r="AY36" s="20" t="e">
        <f t="shared" si="4"/>
        <v>#DIV/0!</v>
      </c>
      <c r="AZ36" s="20" t="e">
        <f t="shared" si="5"/>
        <v>#DIV/0!</v>
      </c>
      <c r="BA36" s="23" t="e">
        <f t="shared" si="6"/>
        <v>#DIV/0!</v>
      </c>
    </row>
    <row r="37" spans="1:53" s="5" customFormat="1" x14ac:dyDescent="0.25">
      <c r="A37" s="32"/>
      <c r="B37" s="32"/>
      <c r="C37" s="32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0">
        <v>0</v>
      </c>
      <c r="AU37" s="21" t="e">
        <f t="shared" si="0"/>
        <v>#DIV/0!</v>
      </c>
      <c r="AV37" s="21" t="e">
        <f t="shared" si="1"/>
        <v>#DIV/0!</v>
      </c>
      <c r="AW37" s="21" t="e">
        <f t="shared" si="2"/>
        <v>#DIV/0!</v>
      </c>
      <c r="AX37" s="21" t="e">
        <f t="shared" si="3"/>
        <v>#DIV/0!</v>
      </c>
      <c r="AY37" s="21" t="e">
        <f t="shared" si="4"/>
        <v>#DIV/0!</v>
      </c>
      <c r="AZ37" s="21" t="e">
        <f t="shared" si="5"/>
        <v>#DIV/0!</v>
      </c>
      <c r="BA37" s="23" t="e">
        <f t="shared" si="6"/>
        <v>#DIV/0!</v>
      </c>
    </row>
    <row r="38" spans="1:53" x14ac:dyDescent="0.25">
      <c r="A38" s="34"/>
      <c r="B38" s="34"/>
      <c r="C38" s="34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  <c r="AM38" s="35"/>
      <c r="AN38" s="35"/>
      <c r="AO38" s="35"/>
      <c r="AP38" s="35"/>
      <c r="AQ38" s="35"/>
      <c r="AR38" s="35"/>
      <c r="AS38" s="35"/>
      <c r="AT38" s="31">
        <v>0</v>
      </c>
      <c r="AU38" s="20" t="e">
        <f t="shared" si="0"/>
        <v>#DIV/0!</v>
      </c>
      <c r="AV38" s="20" t="e">
        <f t="shared" si="1"/>
        <v>#DIV/0!</v>
      </c>
      <c r="AW38" s="20" t="e">
        <f t="shared" si="2"/>
        <v>#DIV/0!</v>
      </c>
      <c r="AX38" s="20" t="e">
        <f t="shared" si="3"/>
        <v>#DIV/0!</v>
      </c>
      <c r="AY38" s="20" t="e">
        <f t="shared" si="4"/>
        <v>#DIV/0!</v>
      </c>
      <c r="AZ38" s="20" t="e">
        <f t="shared" si="5"/>
        <v>#DIV/0!</v>
      </c>
      <c r="BA38" s="23" t="e">
        <f t="shared" si="6"/>
        <v>#DIV/0!</v>
      </c>
    </row>
    <row r="39" spans="1:53" s="5" customFormat="1" x14ac:dyDescent="0.25">
      <c r="A39" s="32"/>
      <c r="B39" s="32"/>
      <c r="C39" s="32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6"/>
      <c r="O39" s="36"/>
      <c r="P39" s="36"/>
      <c r="Q39" s="36"/>
      <c r="R39" s="33"/>
      <c r="S39" s="36"/>
      <c r="T39" s="33"/>
      <c r="U39" s="33"/>
      <c r="V39" s="36"/>
      <c r="W39" s="33"/>
      <c r="X39" s="36"/>
      <c r="Y39" s="36"/>
      <c r="Z39" s="33"/>
      <c r="AA39" s="36"/>
      <c r="AB39" s="33"/>
      <c r="AC39" s="33"/>
      <c r="AD39" s="36"/>
      <c r="AE39" s="36"/>
      <c r="AF39" s="36"/>
      <c r="AG39" s="36"/>
      <c r="AH39" s="36"/>
      <c r="AI39" s="36"/>
      <c r="AJ39" s="36"/>
      <c r="AK39" s="36"/>
      <c r="AL39" s="36"/>
      <c r="AM39" s="36"/>
      <c r="AN39" s="36"/>
      <c r="AO39" s="36"/>
      <c r="AP39" s="36"/>
      <c r="AQ39" s="36"/>
      <c r="AR39" s="36"/>
      <c r="AS39" s="36"/>
      <c r="AT39" s="30">
        <v>0</v>
      </c>
      <c r="AU39" s="21" t="e">
        <f t="shared" si="0"/>
        <v>#DIV/0!</v>
      </c>
      <c r="AV39" s="21" t="e">
        <f t="shared" si="1"/>
        <v>#DIV/0!</v>
      </c>
      <c r="AW39" s="21" t="e">
        <f t="shared" si="2"/>
        <v>#DIV/0!</v>
      </c>
      <c r="AX39" s="21" t="e">
        <f t="shared" si="3"/>
        <v>#DIV/0!</v>
      </c>
      <c r="AY39" s="21" t="e">
        <f t="shared" si="4"/>
        <v>#DIV/0!</v>
      </c>
      <c r="AZ39" s="21" t="e">
        <f t="shared" si="5"/>
        <v>#DIV/0!</v>
      </c>
      <c r="BA39" s="23" t="e">
        <f t="shared" si="6"/>
        <v>#DIV/0!</v>
      </c>
    </row>
    <row r="40" spans="1:53" x14ac:dyDescent="0.25">
      <c r="A40" s="34"/>
      <c r="B40" s="34"/>
      <c r="C40" s="34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  <c r="AN40" s="35"/>
      <c r="AO40" s="35"/>
      <c r="AP40" s="35"/>
      <c r="AQ40" s="35"/>
      <c r="AR40" s="35"/>
      <c r="AS40" s="35"/>
      <c r="AT40" s="31">
        <v>0</v>
      </c>
      <c r="AU40" s="20" t="e">
        <f t="shared" si="0"/>
        <v>#DIV/0!</v>
      </c>
      <c r="AV40" s="20" t="e">
        <f t="shared" si="1"/>
        <v>#DIV/0!</v>
      </c>
      <c r="AW40" s="20" t="e">
        <f t="shared" si="2"/>
        <v>#DIV/0!</v>
      </c>
      <c r="AX40" s="20" t="e">
        <f t="shared" si="3"/>
        <v>#DIV/0!</v>
      </c>
      <c r="AY40" s="20" t="e">
        <f t="shared" si="4"/>
        <v>#DIV/0!</v>
      </c>
      <c r="AZ40" s="20" t="e">
        <f t="shared" si="5"/>
        <v>#DIV/0!</v>
      </c>
      <c r="BA40" s="23" t="e">
        <f t="shared" si="6"/>
        <v>#DIV/0!</v>
      </c>
    </row>
    <row r="41" spans="1:53" s="5" customFormat="1" x14ac:dyDescent="0.25">
      <c r="A41" s="32"/>
      <c r="B41" s="32"/>
      <c r="C41" s="32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6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6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6"/>
      <c r="AR41" s="33"/>
      <c r="AS41" s="36"/>
      <c r="AT41" s="30">
        <v>0</v>
      </c>
      <c r="AU41" s="21" t="e">
        <f t="shared" si="0"/>
        <v>#DIV/0!</v>
      </c>
      <c r="AV41" s="21" t="e">
        <f t="shared" si="1"/>
        <v>#DIV/0!</v>
      </c>
      <c r="AW41" s="21" t="e">
        <f t="shared" si="2"/>
        <v>#DIV/0!</v>
      </c>
      <c r="AX41" s="21" t="e">
        <f t="shared" si="3"/>
        <v>#DIV/0!</v>
      </c>
      <c r="AY41" s="21" t="e">
        <f t="shared" si="4"/>
        <v>#DIV/0!</v>
      </c>
      <c r="AZ41" s="21" t="e">
        <f t="shared" si="5"/>
        <v>#DIV/0!</v>
      </c>
      <c r="BA41" s="23" t="e">
        <f t="shared" si="6"/>
        <v>#DIV/0!</v>
      </c>
    </row>
    <row r="42" spans="1:53" x14ac:dyDescent="0.25">
      <c r="A42" s="34"/>
      <c r="B42" s="34"/>
      <c r="C42" s="34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7"/>
      <c r="AE42" s="37"/>
      <c r="AF42" s="35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1">
        <v>0</v>
      </c>
      <c r="AU42" s="20" t="e">
        <f t="shared" si="0"/>
        <v>#DIV/0!</v>
      </c>
      <c r="AV42" s="20" t="e">
        <f t="shared" si="1"/>
        <v>#DIV/0!</v>
      </c>
      <c r="AW42" s="20" t="e">
        <f t="shared" si="2"/>
        <v>#DIV/0!</v>
      </c>
      <c r="AX42" s="20" t="e">
        <f t="shared" si="3"/>
        <v>#DIV/0!</v>
      </c>
      <c r="AY42" s="20" t="e">
        <f t="shared" si="4"/>
        <v>#DIV/0!</v>
      </c>
      <c r="AZ42" s="20" t="e">
        <f t="shared" si="5"/>
        <v>#DIV/0!</v>
      </c>
      <c r="BA42" s="23" t="e">
        <f t="shared" si="6"/>
        <v>#DIV/0!</v>
      </c>
    </row>
    <row r="43" spans="1:53" s="5" customFormat="1" x14ac:dyDescent="0.25">
      <c r="A43" s="34"/>
      <c r="B43" s="34"/>
      <c r="C43" s="34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7"/>
      <c r="AO43" s="37"/>
      <c r="AP43" s="37"/>
      <c r="AQ43" s="37"/>
      <c r="AR43" s="37"/>
      <c r="AS43" s="37"/>
      <c r="AT43" s="21" t="e">
        <f t="shared" ref="AT43:AY43" si="7">AN43/AO$79</f>
        <v>#DIV/0!</v>
      </c>
      <c r="AU43" s="21" t="e">
        <f t="shared" si="7"/>
        <v>#DIV/0!</v>
      </c>
      <c r="AV43" s="21" t="e">
        <f t="shared" si="7"/>
        <v>#DIV/0!</v>
      </c>
      <c r="AW43" s="21" t="e">
        <f t="shared" si="7"/>
        <v>#DIV/0!</v>
      </c>
      <c r="AX43" s="21" t="e">
        <f t="shared" si="7"/>
        <v>#DIV/0!</v>
      </c>
      <c r="AY43" s="21" t="e">
        <f t="shared" si="7"/>
        <v>#DIV/0!</v>
      </c>
      <c r="BA43" s="23" t="e">
        <f>AVERAGE(AW43,AX43,AY43)</f>
        <v>#DIV/0!</v>
      </c>
    </row>
    <row r="44" spans="1:53" x14ac:dyDescent="0.25">
      <c r="A44" s="34"/>
      <c r="B44" s="32"/>
      <c r="C44" s="32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21" t="e">
        <f t="shared" ref="AT44:AY44" si="8">AN44/AO$58</f>
        <v>#DIV/0!</v>
      </c>
      <c r="AU44" s="21" t="e">
        <f t="shared" si="8"/>
        <v>#DIV/0!</v>
      </c>
      <c r="AV44" s="21" t="e">
        <f t="shared" si="8"/>
        <v>#DIV/0!</v>
      </c>
      <c r="AW44" s="21" t="e">
        <f t="shared" si="8"/>
        <v>#DIV/0!</v>
      </c>
      <c r="AX44" s="21" t="e">
        <f t="shared" si="8"/>
        <v>#DIV/0!</v>
      </c>
      <c r="AY44" s="21" t="e">
        <f t="shared" si="8"/>
        <v>#DIV/0!</v>
      </c>
      <c r="BA44" s="23" t="e">
        <f>AVERAGE(AW44,AX44,AY44)</f>
        <v>#DIV/0!</v>
      </c>
    </row>
    <row r="45" spans="1:53" s="5" customFormat="1" x14ac:dyDescent="0.25">
      <c r="A45" s="34"/>
      <c r="B45" s="34"/>
      <c r="C45" s="34"/>
      <c r="D45" s="35"/>
      <c r="E45" s="35"/>
      <c r="F45" s="35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21" t="e">
        <f t="shared" ref="AT45:AY45" si="9">AN45/AO$37</f>
        <v>#DIV/0!</v>
      </c>
      <c r="AU45" s="21" t="e">
        <f t="shared" si="9"/>
        <v>#DIV/0!</v>
      </c>
      <c r="AV45" s="21" t="e">
        <f t="shared" si="9"/>
        <v>#DIV/0!</v>
      </c>
      <c r="AW45" s="21" t="e">
        <f t="shared" si="9"/>
        <v>#DIV/0!</v>
      </c>
      <c r="AX45" s="21" t="e">
        <f t="shared" si="9"/>
        <v>#DIV/0!</v>
      </c>
      <c r="AY45" s="21" t="e">
        <f t="shared" si="9"/>
        <v>#DIV/0!</v>
      </c>
      <c r="AZ45"/>
      <c r="BA45" s="23" t="e">
        <f>AVERAGE(AW45,AX45,AY45)</f>
        <v>#DIV/0!</v>
      </c>
    </row>
    <row r="46" spans="1:53" x14ac:dyDescent="0.25">
      <c r="A46" s="34"/>
      <c r="B46" s="32"/>
      <c r="C46" s="32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20">
        <f t="shared" ref="AT46:AY46" si="10">AN46/V$20</f>
        <v>0</v>
      </c>
      <c r="AU46" s="20">
        <f t="shared" si="10"/>
        <v>0</v>
      </c>
      <c r="AV46" s="20">
        <f t="shared" si="10"/>
        <v>0</v>
      </c>
      <c r="AW46" s="20">
        <f t="shared" si="10"/>
        <v>0</v>
      </c>
      <c r="AX46" s="20">
        <f t="shared" si="10"/>
        <v>0</v>
      </c>
      <c r="AY46" s="20">
        <f t="shared" si="10"/>
        <v>0</v>
      </c>
      <c r="AZ46" s="5"/>
      <c r="BA46" s="23">
        <f>AVERAGE(AW46,AX46,AY46)</f>
        <v>0</v>
      </c>
    </row>
    <row r="47" spans="1:53" x14ac:dyDescent="0.25">
      <c r="A47" s="34"/>
      <c r="B47" s="34"/>
      <c r="C47" s="34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7"/>
      <c r="AO47" s="37"/>
      <c r="AP47" s="37"/>
      <c r="AQ47" s="37"/>
      <c r="AR47" s="37"/>
      <c r="AS47" s="37"/>
      <c r="AT47" s="31">
        <v>0</v>
      </c>
      <c r="AU47" s="20" t="e">
        <f t="shared" ref="AU47:AZ50" si="11">AN47/AN540</f>
        <v>#DIV/0!</v>
      </c>
      <c r="AV47" s="20" t="e">
        <f t="shared" si="11"/>
        <v>#DIV/0!</v>
      </c>
      <c r="AW47" s="20" t="e">
        <f t="shared" si="11"/>
        <v>#DIV/0!</v>
      </c>
      <c r="AX47" s="20" t="e">
        <f t="shared" si="11"/>
        <v>#DIV/0!</v>
      </c>
      <c r="AY47" s="20" t="e">
        <f t="shared" si="11"/>
        <v>#DIV/0!</v>
      </c>
      <c r="AZ47" s="20" t="e">
        <f t="shared" si="11"/>
        <v>#DIV/0!</v>
      </c>
      <c r="BA47" s="23" t="e">
        <f t="shared" si="6"/>
        <v>#DIV/0!</v>
      </c>
    </row>
    <row r="48" spans="1:53" s="5" customFormat="1" x14ac:dyDescent="0.25">
      <c r="A48" s="32"/>
      <c r="B48" s="32"/>
      <c r="C48" s="32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0">
        <v>0</v>
      </c>
      <c r="AU48" s="21" t="e">
        <f t="shared" si="11"/>
        <v>#DIV/0!</v>
      </c>
      <c r="AV48" s="21" t="e">
        <f t="shared" si="11"/>
        <v>#DIV/0!</v>
      </c>
      <c r="AW48" s="21" t="e">
        <f t="shared" si="11"/>
        <v>#DIV/0!</v>
      </c>
      <c r="AX48" s="21" t="e">
        <f t="shared" si="11"/>
        <v>#DIV/0!</v>
      </c>
      <c r="AY48" s="21" t="e">
        <f t="shared" si="11"/>
        <v>#DIV/0!</v>
      </c>
      <c r="AZ48" s="21" t="e">
        <f t="shared" si="11"/>
        <v>#DIV/0!</v>
      </c>
      <c r="BA48" s="23" t="e">
        <f t="shared" si="6"/>
        <v>#DIV/0!</v>
      </c>
    </row>
    <row r="49" spans="1:53" x14ac:dyDescent="0.25">
      <c r="A49" s="34"/>
      <c r="B49" s="34"/>
      <c r="C49" s="34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1">
        <v>0</v>
      </c>
      <c r="AU49" s="20" t="e">
        <f t="shared" si="11"/>
        <v>#DIV/0!</v>
      </c>
      <c r="AV49" s="20" t="e">
        <f t="shared" si="11"/>
        <v>#DIV/0!</v>
      </c>
      <c r="AW49" s="20" t="e">
        <f t="shared" si="11"/>
        <v>#DIV/0!</v>
      </c>
      <c r="AX49" s="20" t="e">
        <f t="shared" si="11"/>
        <v>#DIV/0!</v>
      </c>
      <c r="AY49" s="20" t="e">
        <f t="shared" si="11"/>
        <v>#DIV/0!</v>
      </c>
      <c r="AZ49" s="20" t="e">
        <f t="shared" si="11"/>
        <v>#DIV/0!</v>
      </c>
      <c r="BA49" s="23" t="e">
        <f t="shared" si="6"/>
        <v>#DIV/0!</v>
      </c>
    </row>
    <row r="50" spans="1:53" s="5" customFormat="1" x14ac:dyDescent="0.25">
      <c r="A50" s="32"/>
      <c r="B50" s="32"/>
      <c r="C50" s="32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36"/>
      <c r="AM50" s="36"/>
      <c r="AN50" s="36"/>
      <c r="AO50" s="36"/>
      <c r="AP50" s="36"/>
      <c r="AQ50" s="36"/>
      <c r="AR50" s="36"/>
      <c r="AS50" s="36"/>
      <c r="AT50" s="30">
        <v>0</v>
      </c>
      <c r="AU50" s="21" t="e">
        <f t="shared" si="11"/>
        <v>#DIV/0!</v>
      </c>
      <c r="AV50" s="21" t="e">
        <f t="shared" si="11"/>
        <v>#DIV/0!</v>
      </c>
      <c r="AW50" s="21" t="e">
        <f t="shared" si="11"/>
        <v>#DIV/0!</v>
      </c>
      <c r="AX50" s="21" t="e">
        <f t="shared" si="11"/>
        <v>#DIV/0!</v>
      </c>
      <c r="AY50" s="21" t="e">
        <f t="shared" si="11"/>
        <v>#DIV/0!</v>
      </c>
      <c r="AZ50" s="21" t="e">
        <f t="shared" si="11"/>
        <v>#DIV/0!</v>
      </c>
      <c r="BA50" s="23" t="e">
        <f t="shared" si="6"/>
        <v>#DIV/0!</v>
      </c>
    </row>
    <row r="51" spans="1:53" x14ac:dyDescent="0.25">
      <c r="A51" s="34"/>
      <c r="B51" s="34"/>
      <c r="C51" s="34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  <c r="AP51" s="37"/>
      <c r="AQ51" s="37"/>
      <c r="AR51" s="37"/>
      <c r="AS51" s="37"/>
      <c r="AT51" s="31">
        <v>0</v>
      </c>
      <c r="AU51" s="20" t="e">
        <f t="shared" ref="AU51:AU70" si="12">AN51/AN516</f>
        <v>#DIV/0!</v>
      </c>
      <c r="AV51" s="20" t="e">
        <f t="shared" ref="AV51:AV70" si="13">AO51/AO516</f>
        <v>#DIV/0!</v>
      </c>
      <c r="AW51" s="20" t="e">
        <f t="shared" ref="AW51:AW70" si="14">AP51/AP516</f>
        <v>#DIV/0!</v>
      </c>
      <c r="AX51" s="20" t="e">
        <f t="shared" ref="AX51:AX70" si="15">AQ51/AQ516</f>
        <v>#DIV/0!</v>
      </c>
      <c r="AY51" s="20" t="e">
        <f t="shared" ref="AY51:AY70" si="16">AR51/AR516</f>
        <v>#DIV/0!</v>
      </c>
      <c r="AZ51" s="20" t="e">
        <f t="shared" ref="AZ51:AZ70" si="17">AS51/AS516</f>
        <v>#DIV/0!</v>
      </c>
      <c r="BA51" s="23" t="e">
        <f t="shared" si="6"/>
        <v>#DIV/0!</v>
      </c>
    </row>
    <row r="52" spans="1:53" s="5" customFormat="1" x14ac:dyDescent="0.25">
      <c r="A52" s="32"/>
      <c r="B52" s="32"/>
      <c r="C52" s="32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6"/>
      <c r="V52" s="36"/>
      <c r="W52" s="36"/>
      <c r="X52" s="33"/>
      <c r="Y52" s="33"/>
      <c r="Z52" s="33"/>
      <c r="AA52" s="33"/>
      <c r="AB52" s="36"/>
      <c r="AC52" s="36"/>
      <c r="AD52" s="33"/>
      <c r="AE52" s="33"/>
      <c r="AF52" s="36"/>
      <c r="AG52" s="36"/>
      <c r="AH52" s="36"/>
      <c r="AI52" s="33"/>
      <c r="AJ52" s="33"/>
      <c r="AK52" s="33"/>
      <c r="AL52" s="33"/>
      <c r="AM52" s="33"/>
      <c r="AN52" s="36"/>
      <c r="AO52" s="36"/>
      <c r="AP52" s="33"/>
      <c r="AQ52" s="36"/>
      <c r="AR52" s="33"/>
      <c r="AS52" s="36"/>
      <c r="AT52" s="30">
        <v>0</v>
      </c>
      <c r="AU52" s="21" t="e">
        <f t="shared" si="12"/>
        <v>#DIV/0!</v>
      </c>
      <c r="AV52" s="21" t="e">
        <f t="shared" si="13"/>
        <v>#DIV/0!</v>
      </c>
      <c r="AW52" s="21" t="e">
        <f t="shared" si="14"/>
        <v>#DIV/0!</v>
      </c>
      <c r="AX52" s="21" t="e">
        <f t="shared" si="15"/>
        <v>#DIV/0!</v>
      </c>
      <c r="AY52" s="21" t="e">
        <f t="shared" si="16"/>
        <v>#DIV/0!</v>
      </c>
      <c r="AZ52" s="21" t="e">
        <f t="shared" si="17"/>
        <v>#DIV/0!</v>
      </c>
      <c r="BA52" s="23" t="e">
        <f t="shared" si="6"/>
        <v>#DIV/0!</v>
      </c>
    </row>
    <row r="53" spans="1:53" x14ac:dyDescent="0.25">
      <c r="A53" s="34"/>
      <c r="B53" s="34"/>
      <c r="C53" s="34"/>
      <c r="D53" s="35"/>
      <c r="E53" s="35"/>
      <c r="F53" s="35"/>
      <c r="G53" s="35"/>
      <c r="H53" s="35"/>
      <c r="I53" s="35"/>
      <c r="J53" s="35"/>
      <c r="K53" s="37"/>
      <c r="L53" s="35"/>
      <c r="M53" s="37"/>
      <c r="N53" s="35"/>
      <c r="O53" s="35"/>
      <c r="P53" s="35"/>
      <c r="Q53" s="37"/>
      <c r="R53" s="35"/>
      <c r="S53" s="37"/>
      <c r="T53" s="37"/>
      <c r="U53" s="35"/>
      <c r="V53" s="35"/>
      <c r="W53" s="35"/>
      <c r="X53" s="35"/>
      <c r="Y53" s="35"/>
      <c r="Z53" s="35"/>
      <c r="AA53" s="35"/>
      <c r="AB53" s="35"/>
      <c r="AC53" s="35"/>
      <c r="AD53" s="35"/>
      <c r="AE53" s="35"/>
      <c r="AF53" s="35"/>
      <c r="AG53" s="35"/>
      <c r="AH53" s="35"/>
      <c r="AI53" s="37"/>
      <c r="AJ53" s="37"/>
      <c r="AK53" s="37"/>
      <c r="AL53" s="37"/>
      <c r="AM53" s="35"/>
      <c r="AN53" s="37"/>
      <c r="AO53" s="37"/>
      <c r="AP53" s="37"/>
      <c r="AQ53" s="37"/>
      <c r="AR53" s="37"/>
      <c r="AS53" s="37"/>
      <c r="AT53" s="31">
        <v>0</v>
      </c>
      <c r="AU53" s="20" t="e">
        <f t="shared" si="12"/>
        <v>#DIV/0!</v>
      </c>
      <c r="AV53" s="20" t="e">
        <f t="shared" si="13"/>
        <v>#DIV/0!</v>
      </c>
      <c r="AW53" s="20" t="e">
        <f t="shared" si="14"/>
        <v>#DIV/0!</v>
      </c>
      <c r="AX53" s="20" t="e">
        <f t="shared" si="15"/>
        <v>#DIV/0!</v>
      </c>
      <c r="AY53" s="20" t="e">
        <f t="shared" si="16"/>
        <v>#DIV/0!</v>
      </c>
      <c r="AZ53" s="20" t="e">
        <f t="shared" si="17"/>
        <v>#DIV/0!</v>
      </c>
      <c r="BA53" s="23" t="e">
        <f t="shared" si="6"/>
        <v>#DIV/0!</v>
      </c>
    </row>
    <row r="54" spans="1:53" s="5" customFormat="1" x14ac:dyDescent="0.25">
      <c r="A54" s="32"/>
      <c r="B54" s="32"/>
      <c r="C54" s="32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0">
        <v>0</v>
      </c>
      <c r="AU54" s="21" t="e">
        <f t="shared" si="12"/>
        <v>#DIV/0!</v>
      </c>
      <c r="AV54" s="21" t="e">
        <f t="shared" si="13"/>
        <v>#DIV/0!</v>
      </c>
      <c r="AW54" s="21" t="e">
        <f t="shared" si="14"/>
        <v>#DIV/0!</v>
      </c>
      <c r="AX54" s="21" t="e">
        <f t="shared" si="15"/>
        <v>#DIV/0!</v>
      </c>
      <c r="AY54" s="21" t="e">
        <f t="shared" si="16"/>
        <v>#DIV/0!</v>
      </c>
      <c r="AZ54" s="21" t="e">
        <f t="shared" si="17"/>
        <v>#DIV/0!</v>
      </c>
      <c r="BA54" s="23" t="e">
        <f t="shared" si="6"/>
        <v>#DIV/0!</v>
      </c>
    </row>
    <row r="55" spans="1:53" x14ac:dyDescent="0.25">
      <c r="A55" s="34"/>
      <c r="B55" s="34"/>
      <c r="C55" s="34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  <c r="AP55" s="37"/>
      <c r="AQ55" s="37"/>
      <c r="AR55" s="37"/>
      <c r="AS55" s="37"/>
      <c r="AT55" s="31">
        <v>0</v>
      </c>
      <c r="AU55" s="20" t="e">
        <f t="shared" si="12"/>
        <v>#DIV/0!</v>
      </c>
      <c r="AV55" s="20" t="e">
        <f t="shared" si="13"/>
        <v>#DIV/0!</v>
      </c>
      <c r="AW55" s="20" t="e">
        <f t="shared" si="14"/>
        <v>#DIV/0!</v>
      </c>
      <c r="AX55" s="20" t="e">
        <f t="shared" si="15"/>
        <v>#DIV/0!</v>
      </c>
      <c r="AY55" s="20" t="e">
        <f t="shared" si="16"/>
        <v>#DIV/0!</v>
      </c>
      <c r="AZ55" s="20" t="e">
        <f t="shared" si="17"/>
        <v>#DIV/0!</v>
      </c>
      <c r="BA55" s="23" t="e">
        <f t="shared" si="6"/>
        <v>#DIV/0!</v>
      </c>
    </row>
    <row r="56" spans="1:53" s="5" customFormat="1" x14ac:dyDescent="0.25">
      <c r="A56" s="32"/>
      <c r="B56" s="32"/>
      <c r="C56" s="32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6"/>
      <c r="AC56" s="36"/>
      <c r="AD56" s="36"/>
      <c r="AE56" s="36"/>
      <c r="AF56" s="36"/>
      <c r="AG56" s="36"/>
      <c r="AH56" s="36"/>
      <c r="AI56" s="33"/>
      <c r="AJ56" s="33"/>
      <c r="AK56" s="33"/>
      <c r="AL56" s="33"/>
      <c r="AM56" s="33"/>
      <c r="AN56" s="33"/>
      <c r="AO56" s="33"/>
      <c r="AP56" s="33"/>
      <c r="AQ56" s="33"/>
      <c r="AR56" s="33"/>
      <c r="AS56" s="33"/>
      <c r="AT56" s="30">
        <v>0</v>
      </c>
      <c r="AU56" s="21" t="e">
        <f t="shared" si="12"/>
        <v>#DIV/0!</v>
      </c>
      <c r="AV56" s="21" t="e">
        <f t="shared" si="13"/>
        <v>#DIV/0!</v>
      </c>
      <c r="AW56" s="21" t="e">
        <f t="shared" si="14"/>
        <v>#DIV/0!</v>
      </c>
      <c r="AX56" s="21" t="e">
        <f t="shared" si="15"/>
        <v>#DIV/0!</v>
      </c>
      <c r="AY56" s="21" t="e">
        <f t="shared" si="16"/>
        <v>#DIV/0!</v>
      </c>
      <c r="AZ56" s="21" t="e">
        <f t="shared" si="17"/>
        <v>#DIV/0!</v>
      </c>
      <c r="BA56" s="23" t="e">
        <f t="shared" si="6"/>
        <v>#DIV/0!</v>
      </c>
    </row>
    <row r="57" spans="1:53" x14ac:dyDescent="0.25">
      <c r="A57" s="34"/>
      <c r="B57" s="34"/>
      <c r="C57" s="34"/>
      <c r="D57" s="35"/>
      <c r="E57" s="35"/>
      <c r="F57" s="37"/>
      <c r="G57" s="37"/>
      <c r="H57" s="37"/>
      <c r="I57" s="35"/>
      <c r="J57" s="37"/>
      <c r="K57" s="35"/>
      <c r="L57" s="37"/>
      <c r="M57" s="37"/>
      <c r="N57" s="37"/>
      <c r="O57" s="37"/>
      <c r="P57" s="37"/>
      <c r="Q57" s="35"/>
      <c r="R57" s="35"/>
      <c r="S57" s="35"/>
      <c r="T57" s="35"/>
      <c r="U57" s="35"/>
      <c r="V57" s="35"/>
      <c r="W57" s="35"/>
      <c r="X57" s="35"/>
      <c r="Y57" s="35"/>
      <c r="Z57" s="37"/>
      <c r="AA57" s="35"/>
      <c r="AB57" s="35"/>
      <c r="AC57" s="35"/>
      <c r="AD57" s="35"/>
      <c r="AE57" s="35"/>
      <c r="AF57" s="35"/>
      <c r="AG57" s="35"/>
      <c r="AH57" s="35"/>
      <c r="AI57" s="35"/>
      <c r="AJ57" s="35"/>
      <c r="AK57" s="35"/>
      <c r="AL57" s="35"/>
      <c r="AM57" s="37"/>
      <c r="AN57" s="37"/>
      <c r="AO57" s="37"/>
      <c r="AP57" s="37"/>
      <c r="AQ57" s="37"/>
      <c r="AR57" s="37"/>
      <c r="AS57" s="37"/>
      <c r="AT57" s="31">
        <v>0</v>
      </c>
      <c r="AU57" s="20" t="e">
        <f t="shared" si="12"/>
        <v>#DIV/0!</v>
      </c>
      <c r="AV57" s="20" t="e">
        <f t="shared" si="13"/>
        <v>#DIV/0!</v>
      </c>
      <c r="AW57" s="20" t="e">
        <f t="shared" si="14"/>
        <v>#DIV/0!</v>
      </c>
      <c r="AX57" s="20" t="e">
        <f t="shared" si="15"/>
        <v>#DIV/0!</v>
      </c>
      <c r="AY57" s="20" t="e">
        <f t="shared" si="16"/>
        <v>#DIV/0!</v>
      </c>
      <c r="AZ57" s="20" t="e">
        <f t="shared" si="17"/>
        <v>#DIV/0!</v>
      </c>
      <c r="BA57" s="23" t="e">
        <f t="shared" si="6"/>
        <v>#DIV/0!</v>
      </c>
    </row>
    <row r="58" spans="1:53" s="5" customFormat="1" x14ac:dyDescent="0.25">
      <c r="A58" s="32"/>
      <c r="B58" s="32"/>
      <c r="C58" s="32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36"/>
      <c r="AN58" s="36"/>
      <c r="AO58" s="36"/>
      <c r="AP58" s="36"/>
      <c r="AQ58" s="36"/>
      <c r="AR58" s="36"/>
      <c r="AS58" s="36"/>
      <c r="AT58" s="30">
        <v>0</v>
      </c>
      <c r="AU58" s="21" t="e">
        <f t="shared" si="12"/>
        <v>#DIV/0!</v>
      </c>
      <c r="AV58" s="21" t="e">
        <f t="shared" si="13"/>
        <v>#DIV/0!</v>
      </c>
      <c r="AW58" s="21" t="e">
        <f t="shared" si="14"/>
        <v>#DIV/0!</v>
      </c>
      <c r="AX58" s="21" t="e">
        <f t="shared" si="15"/>
        <v>#DIV/0!</v>
      </c>
      <c r="AY58" s="21" t="e">
        <f t="shared" si="16"/>
        <v>#DIV/0!</v>
      </c>
      <c r="AZ58" s="21" t="e">
        <f t="shared" si="17"/>
        <v>#DIV/0!</v>
      </c>
      <c r="BA58" s="23" t="e">
        <f t="shared" si="6"/>
        <v>#DIV/0!</v>
      </c>
    </row>
    <row r="59" spans="1:53" x14ac:dyDescent="0.25">
      <c r="A59" s="34"/>
      <c r="B59" s="34"/>
      <c r="C59" s="34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7"/>
      <c r="AN59" s="37"/>
      <c r="AO59" s="37"/>
      <c r="AP59" s="37"/>
      <c r="AQ59" s="37"/>
      <c r="AR59" s="37"/>
      <c r="AS59" s="37"/>
      <c r="AT59" s="31">
        <v>0</v>
      </c>
      <c r="AU59" s="20" t="e">
        <f t="shared" si="12"/>
        <v>#DIV/0!</v>
      </c>
      <c r="AV59" s="20" t="e">
        <f t="shared" si="13"/>
        <v>#DIV/0!</v>
      </c>
      <c r="AW59" s="20" t="e">
        <f t="shared" si="14"/>
        <v>#DIV/0!</v>
      </c>
      <c r="AX59" s="20" t="e">
        <f t="shared" si="15"/>
        <v>#DIV/0!</v>
      </c>
      <c r="AY59" s="20" t="e">
        <f t="shared" si="16"/>
        <v>#DIV/0!</v>
      </c>
      <c r="AZ59" s="20" t="e">
        <f t="shared" si="17"/>
        <v>#DIV/0!</v>
      </c>
      <c r="BA59" s="23" t="e">
        <f t="shared" si="6"/>
        <v>#DIV/0!</v>
      </c>
    </row>
    <row r="60" spans="1:53" s="5" customFormat="1" x14ac:dyDescent="0.25">
      <c r="A60" s="32"/>
      <c r="B60" s="32"/>
      <c r="C60" s="32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6"/>
      <c r="AE60" s="33"/>
      <c r="AF60" s="36"/>
      <c r="AG60" s="33"/>
      <c r="AH60" s="33"/>
      <c r="AI60" s="33"/>
      <c r="AJ60" s="36"/>
      <c r="AK60" s="36"/>
      <c r="AL60" s="33"/>
      <c r="AM60" s="33"/>
      <c r="AN60" s="33"/>
      <c r="AO60" s="33"/>
      <c r="AP60" s="33"/>
      <c r="AQ60" s="33"/>
      <c r="AR60" s="33"/>
      <c r="AS60" s="33"/>
      <c r="AT60" s="30">
        <v>0</v>
      </c>
      <c r="AU60" s="21" t="e">
        <f t="shared" si="12"/>
        <v>#DIV/0!</v>
      </c>
      <c r="AV60" s="21" t="e">
        <f t="shared" si="13"/>
        <v>#DIV/0!</v>
      </c>
      <c r="AW60" s="21" t="e">
        <f t="shared" si="14"/>
        <v>#DIV/0!</v>
      </c>
      <c r="AX60" s="21" t="e">
        <f t="shared" si="15"/>
        <v>#DIV/0!</v>
      </c>
      <c r="AY60" s="21" t="e">
        <f t="shared" si="16"/>
        <v>#DIV/0!</v>
      </c>
      <c r="AZ60" s="21" t="e">
        <f t="shared" si="17"/>
        <v>#DIV/0!</v>
      </c>
      <c r="BA60" s="23" t="e">
        <f t="shared" si="6"/>
        <v>#DIV/0!</v>
      </c>
    </row>
    <row r="61" spans="1:53" x14ac:dyDescent="0.25">
      <c r="A61" s="34"/>
      <c r="B61" s="34"/>
      <c r="C61" s="34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7"/>
      <c r="AC61" s="37"/>
      <c r="AD61" s="37"/>
      <c r="AE61" s="37"/>
      <c r="AF61" s="37"/>
      <c r="AG61" s="37"/>
      <c r="AH61" s="37"/>
      <c r="AI61" s="37"/>
      <c r="AJ61" s="37"/>
      <c r="AK61" s="37"/>
      <c r="AL61" s="37"/>
      <c r="AM61" s="37"/>
      <c r="AN61" s="37"/>
      <c r="AO61" s="37"/>
      <c r="AP61" s="37"/>
      <c r="AQ61" s="37"/>
      <c r="AR61" s="37"/>
      <c r="AS61" s="37"/>
      <c r="AT61" s="31">
        <v>0</v>
      </c>
      <c r="AU61" s="20" t="e">
        <f t="shared" si="12"/>
        <v>#DIV/0!</v>
      </c>
      <c r="AV61" s="20" t="e">
        <f t="shared" si="13"/>
        <v>#DIV/0!</v>
      </c>
      <c r="AW61" s="20" t="e">
        <f t="shared" si="14"/>
        <v>#DIV/0!</v>
      </c>
      <c r="AX61" s="20" t="e">
        <f t="shared" si="15"/>
        <v>#DIV/0!</v>
      </c>
      <c r="AY61" s="20" t="e">
        <f t="shared" si="16"/>
        <v>#DIV/0!</v>
      </c>
      <c r="AZ61" s="20" t="e">
        <f t="shared" si="17"/>
        <v>#DIV/0!</v>
      </c>
      <c r="BA61" s="23" t="e">
        <f t="shared" si="6"/>
        <v>#DIV/0!</v>
      </c>
    </row>
    <row r="62" spans="1:53" s="5" customFormat="1" x14ac:dyDescent="0.25">
      <c r="A62" s="32"/>
      <c r="B62" s="32"/>
      <c r="C62" s="32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  <c r="AB62" s="36"/>
      <c r="AC62" s="36"/>
      <c r="AD62" s="36"/>
      <c r="AE62" s="36"/>
      <c r="AF62" s="36"/>
      <c r="AG62" s="36"/>
      <c r="AH62" s="36"/>
      <c r="AI62" s="36"/>
      <c r="AJ62" s="36"/>
      <c r="AK62" s="36"/>
      <c r="AL62" s="36"/>
      <c r="AM62" s="36"/>
      <c r="AN62" s="36"/>
      <c r="AO62" s="36"/>
      <c r="AP62" s="36"/>
      <c r="AQ62" s="36"/>
      <c r="AR62" s="36"/>
      <c r="AS62" s="36"/>
      <c r="AT62" s="30">
        <v>0</v>
      </c>
      <c r="AU62" s="21" t="e">
        <f t="shared" si="12"/>
        <v>#DIV/0!</v>
      </c>
      <c r="AV62" s="21" t="e">
        <f t="shared" si="13"/>
        <v>#DIV/0!</v>
      </c>
      <c r="AW62" s="21" t="e">
        <f t="shared" si="14"/>
        <v>#DIV/0!</v>
      </c>
      <c r="AX62" s="21" t="e">
        <f t="shared" si="15"/>
        <v>#DIV/0!</v>
      </c>
      <c r="AY62" s="21" t="e">
        <f t="shared" si="16"/>
        <v>#DIV/0!</v>
      </c>
      <c r="AZ62" s="21" t="e">
        <f t="shared" si="17"/>
        <v>#DIV/0!</v>
      </c>
      <c r="BA62" s="23" t="e">
        <f t="shared" si="6"/>
        <v>#DIV/0!</v>
      </c>
    </row>
    <row r="63" spans="1:53" x14ac:dyDescent="0.25">
      <c r="A63" s="34"/>
      <c r="B63" s="34"/>
      <c r="C63" s="34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  <c r="AB63" s="37"/>
      <c r="AC63" s="37"/>
      <c r="AD63" s="37"/>
      <c r="AE63" s="37"/>
      <c r="AF63" s="37"/>
      <c r="AG63" s="37"/>
      <c r="AH63" s="37"/>
      <c r="AI63" s="37"/>
      <c r="AJ63" s="37"/>
      <c r="AK63" s="37"/>
      <c r="AL63" s="37"/>
      <c r="AM63" s="37"/>
      <c r="AN63" s="37"/>
      <c r="AO63" s="37"/>
      <c r="AP63" s="37"/>
      <c r="AQ63" s="37"/>
      <c r="AR63" s="37"/>
      <c r="AS63" s="37"/>
      <c r="AT63" s="31">
        <v>0</v>
      </c>
      <c r="AU63" s="20" t="e">
        <f t="shared" si="12"/>
        <v>#DIV/0!</v>
      </c>
      <c r="AV63" s="20" t="e">
        <f t="shared" si="13"/>
        <v>#DIV/0!</v>
      </c>
      <c r="AW63" s="20" t="e">
        <f t="shared" si="14"/>
        <v>#DIV/0!</v>
      </c>
      <c r="AX63" s="20" t="e">
        <f t="shared" si="15"/>
        <v>#DIV/0!</v>
      </c>
      <c r="AY63" s="20" t="e">
        <f t="shared" si="16"/>
        <v>#DIV/0!</v>
      </c>
      <c r="AZ63" s="20" t="e">
        <f t="shared" si="17"/>
        <v>#DIV/0!</v>
      </c>
      <c r="BA63" s="23" t="e">
        <f t="shared" si="6"/>
        <v>#DIV/0!</v>
      </c>
    </row>
    <row r="64" spans="1:53" s="5" customFormat="1" x14ac:dyDescent="0.25">
      <c r="A64" s="32"/>
      <c r="B64" s="32"/>
      <c r="C64" s="32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6"/>
      <c r="AG64" s="33"/>
      <c r="AH64" s="33"/>
      <c r="AI64" s="33"/>
      <c r="AJ64" s="33"/>
      <c r="AK64" s="36"/>
      <c r="AL64" s="33"/>
      <c r="AM64" s="33"/>
      <c r="AN64" s="33"/>
      <c r="AO64" s="33"/>
      <c r="AP64" s="33"/>
      <c r="AQ64" s="33"/>
      <c r="AR64" s="33"/>
      <c r="AS64" s="33"/>
      <c r="AT64" s="30">
        <v>0</v>
      </c>
      <c r="AU64" s="21" t="e">
        <f t="shared" si="12"/>
        <v>#DIV/0!</v>
      </c>
      <c r="AV64" s="21" t="e">
        <f t="shared" si="13"/>
        <v>#DIV/0!</v>
      </c>
      <c r="AW64" s="21" t="e">
        <f t="shared" si="14"/>
        <v>#DIV/0!</v>
      </c>
      <c r="AX64" s="21" t="e">
        <f t="shared" si="15"/>
        <v>#DIV/0!</v>
      </c>
      <c r="AY64" s="21" t="e">
        <f t="shared" si="16"/>
        <v>#DIV/0!</v>
      </c>
      <c r="AZ64" s="21" t="e">
        <f t="shared" si="17"/>
        <v>#DIV/0!</v>
      </c>
      <c r="BA64" s="23" t="e">
        <f t="shared" si="6"/>
        <v>#DIV/0!</v>
      </c>
    </row>
    <row r="65" spans="1:53" x14ac:dyDescent="0.25">
      <c r="A65" s="34"/>
      <c r="B65" s="34"/>
      <c r="C65" s="34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5"/>
      <c r="AS65" s="35"/>
      <c r="AT65" s="31">
        <v>0</v>
      </c>
      <c r="AU65" s="20" t="e">
        <f t="shared" si="12"/>
        <v>#DIV/0!</v>
      </c>
      <c r="AV65" s="20" t="e">
        <f t="shared" si="13"/>
        <v>#DIV/0!</v>
      </c>
      <c r="AW65" s="20" t="e">
        <f t="shared" si="14"/>
        <v>#DIV/0!</v>
      </c>
      <c r="AX65" s="20" t="e">
        <f t="shared" si="15"/>
        <v>#DIV/0!</v>
      </c>
      <c r="AY65" s="20" t="e">
        <f t="shared" si="16"/>
        <v>#DIV/0!</v>
      </c>
      <c r="AZ65" s="20" t="e">
        <f t="shared" si="17"/>
        <v>#DIV/0!</v>
      </c>
      <c r="BA65" s="23" t="e">
        <f t="shared" si="6"/>
        <v>#DIV/0!</v>
      </c>
    </row>
    <row r="66" spans="1:53" s="5" customFormat="1" x14ac:dyDescent="0.25">
      <c r="A66" s="32"/>
      <c r="B66" s="32"/>
      <c r="C66" s="32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  <c r="X66" s="36"/>
      <c r="Y66" s="36"/>
      <c r="Z66" s="36"/>
      <c r="AA66" s="36"/>
      <c r="AB66" s="36"/>
      <c r="AC66" s="36"/>
      <c r="AD66" s="36"/>
      <c r="AE66" s="36"/>
      <c r="AF66" s="36"/>
      <c r="AG66" s="36"/>
      <c r="AH66" s="36"/>
      <c r="AI66" s="36"/>
      <c r="AJ66" s="36"/>
      <c r="AK66" s="36"/>
      <c r="AL66" s="36"/>
      <c r="AM66" s="36"/>
      <c r="AN66" s="36"/>
      <c r="AO66" s="36"/>
      <c r="AP66" s="36"/>
      <c r="AQ66" s="36"/>
      <c r="AR66" s="36"/>
      <c r="AS66" s="36"/>
      <c r="AT66" s="30">
        <v>0</v>
      </c>
      <c r="AU66" s="21" t="e">
        <f t="shared" si="12"/>
        <v>#DIV/0!</v>
      </c>
      <c r="AV66" s="21" t="e">
        <f t="shared" si="13"/>
        <v>#DIV/0!</v>
      </c>
      <c r="AW66" s="21" t="e">
        <f t="shared" si="14"/>
        <v>#DIV/0!</v>
      </c>
      <c r="AX66" s="21" t="e">
        <f t="shared" si="15"/>
        <v>#DIV/0!</v>
      </c>
      <c r="AY66" s="21" t="e">
        <f t="shared" si="16"/>
        <v>#DIV/0!</v>
      </c>
      <c r="AZ66" s="21" t="e">
        <f t="shared" si="17"/>
        <v>#DIV/0!</v>
      </c>
      <c r="BA66" s="23" t="e">
        <f t="shared" si="6"/>
        <v>#DIV/0!</v>
      </c>
    </row>
    <row r="67" spans="1:53" x14ac:dyDescent="0.25">
      <c r="A67" s="34"/>
      <c r="B67" s="34"/>
      <c r="C67" s="34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5"/>
      <c r="AF67" s="35"/>
      <c r="AG67" s="35"/>
      <c r="AH67" s="35"/>
      <c r="AI67" s="35"/>
      <c r="AJ67" s="35"/>
      <c r="AK67" s="35"/>
      <c r="AL67" s="37"/>
      <c r="AM67" s="37"/>
      <c r="AN67" s="37"/>
      <c r="AO67" s="37"/>
      <c r="AP67" s="37"/>
      <c r="AQ67" s="37"/>
      <c r="AR67" s="37"/>
      <c r="AS67" s="37"/>
      <c r="AT67" s="31">
        <v>0</v>
      </c>
      <c r="AU67" s="20" t="e">
        <f t="shared" si="12"/>
        <v>#DIV/0!</v>
      </c>
      <c r="AV67" s="20" t="e">
        <f t="shared" si="13"/>
        <v>#DIV/0!</v>
      </c>
      <c r="AW67" s="20" t="e">
        <f t="shared" si="14"/>
        <v>#DIV/0!</v>
      </c>
      <c r="AX67" s="20" t="e">
        <f t="shared" si="15"/>
        <v>#DIV/0!</v>
      </c>
      <c r="AY67" s="20" t="e">
        <f t="shared" si="16"/>
        <v>#DIV/0!</v>
      </c>
      <c r="AZ67" s="20" t="e">
        <f t="shared" si="17"/>
        <v>#DIV/0!</v>
      </c>
      <c r="BA67" s="23" t="e">
        <f t="shared" si="6"/>
        <v>#DIV/0!</v>
      </c>
    </row>
    <row r="68" spans="1:53" s="5" customFormat="1" x14ac:dyDescent="0.25">
      <c r="A68" s="32"/>
      <c r="B68" s="32"/>
      <c r="C68" s="32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  <c r="AG68" s="33"/>
      <c r="AH68" s="33"/>
      <c r="AI68" s="33"/>
      <c r="AJ68" s="33"/>
      <c r="AK68" s="33"/>
      <c r="AL68" s="33"/>
      <c r="AM68" s="33"/>
      <c r="AN68" s="33"/>
      <c r="AO68" s="33"/>
      <c r="AP68" s="33"/>
      <c r="AQ68" s="33"/>
      <c r="AR68" s="33"/>
      <c r="AS68" s="33"/>
      <c r="AT68" s="30">
        <v>0</v>
      </c>
      <c r="AU68" s="21" t="e">
        <f t="shared" si="12"/>
        <v>#DIV/0!</v>
      </c>
      <c r="AV68" s="21" t="e">
        <f t="shared" si="13"/>
        <v>#DIV/0!</v>
      </c>
      <c r="AW68" s="21" t="e">
        <f t="shared" si="14"/>
        <v>#DIV/0!</v>
      </c>
      <c r="AX68" s="21" t="e">
        <f t="shared" si="15"/>
        <v>#DIV/0!</v>
      </c>
      <c r="AY68" s="21" t="e">
        <f t="shared" si="16"/>
        <v>#DIV/0!</v>
      </c>
      <c r="AZ68" s="21" t="e">
        <f t="shared" si="17"/>
        <v>#DIV/0!</v>
      </c>
      <c r="BA68" s="23" t="e">
        <f t="shared" si="6"/>
        <v>#DIV/0!</v>
      </c>
    </row>
    <row r="69" spans="1:53" x14ac:dyDescent="0.25">
      <c r="A69" s="34"/>
      <c r="B69" s="34"/>
      <c r="C69" s="34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35"/>
      <c r="AE69" s="35"/>
      <c r="AF69" s="35"/>
      <c r="AG69" s="35"/>
      <c r="AH69" s="35"/>
      <c r="AI69" s="35"/>
      <c r="AJ69" s="35"/>
      <c r="AK69" s="35"/>
      <c r="AL69" s="35"/>
      <c r="AM69" s="35"/>
      <c r="AN69" s="35"/>
      <c r="AO69" s="35"/>
      <c r="AP69" s="35"/>
      <c r="AQ69" s="35"/>
      <c r="AR69" s="35"/>
      <c r="AS69" s="35"/>
      <c r="AT69" s="31">
        <v>0</v>
      </c>
      <c r="AU69" s="20" t="e">
        <f t="shared" si="12"/>
        <v>#DIV/0!</v>
      </c>
      <c r="AV69" s="20" t="e">
        <f t="shared" si="13"/>
        <v>#DIV/0!</v>
      </c>
      <c r="AW69" s="20" t="e">
        <f t="shared" si="14"/>
        <v>#DIV/0!</v>
      </c>
      <c r="AX69" s="20" t="e">
        <f t="shared" si="15"/>
        <v>#DIV/0!</v>
      </c>
      <c r="AY69" s="20" t="e">
        <f t="shared" si="16"/>
        <v>#DIV/0!</v>
      </c>
      <c r="AZ69" s="20" t="e">
        <f t="shared" si="17"/>
        <v>#DIV/0!</v>
      </c>
      <c r="BA69" s="23" t="e">
        <f t="shared" si="6"/>
        <v>#DIV/0!</v>
      </c>
    </row>
    <row r="70" spans="1:53" s="5" customFormat="1" x14ac:dyDescent="0.25">
      <c r="A70" s="32"/>
      <c r="B70" s="32"/>
      <c r="C70" s="32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  <c r="AG70" s="33"/>
      <c r="AH70" s="36"/>
      <c r="AI70" s="33"/>
      <c r="AJ70" s="33"/>
      <c r="AK70" s="33"/>
      <c r="AL70" s="36"/>
      <c r="AM70" s="36"/>
      <c r="AN70" s="36"/>
      <c r="AO70" s="36"/>
      <c r="AP70" s="36"/>
      <c r="AQ70" s="36"/>
      <c r="AR70" s="36"/>
      <c r="AS70" s="36"/>
      <c r="AT70" s="30">
        <v>0</v>
      </c>
      <c r="AU70" s="21" t="e">
        <f t="shared" si="12"/>
        <v>#DIV/0!</v>
      </c>
      <c r="AV70" s="21" t="e">
        <f t="shared" si="13"/>
        <v>#DIV/0!</v>
      </c>
      <c r="AW70" s="21" t="e">
        <f t="shared" si="14"/>
        <v>#DIV/0!</v>
      </c>
      <c r="AX70" s="21" t="e">
        <f t="shared" si="15"/>
        <v>#DIV/0!</v>
      </c>
      <c r="AY70" s="21" t="e">
        <f t="shared" si="16"/>
        <v>#DIV/0!</v>
      </c>
      <c r="AZ70" s="21" t="e">
        <f t="shared" si="17"/>
        <v>#DIV/0!</v>
      </c>
      <c r="BA70" s="23" t="e">
        <f t="shared" si="6"/>
        <v>#DIV/0!</v>
      </c>
    </row>
    <row r="71" spans="1:53" s="5" customFormat="1" x14ac:dyDescent="0.25">
      <c r="A71" s="34"/>
      <c r="B71" s="34"/>
      <c r="C71" s="34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37"/>
      <c r="AB71" s="37"/>
      <c r="AC71" s="37"/>
      <c r="AD71" s="37"/>
      <c r="AE71" s="37"/>
      <c r="AF71" s="37"/>
      <c r="AG71" s="37"/>
      <c r="AH71" s="37"/>
      <c r="AI71" s="37"/>
      <c r="AJ71" s="37"/>
      <c r="AK71" s="37"/>
      <c r="AL71" s="37"/>
      <c r="AM71" s="37"/>
      <c r="AN71" s="37"/>
      <c r="AO71" s="37"/>
      <c r="AP71" s="37"/>
      <c r="AQ71" s="37"/>
      <c r="AR71" s="37"/>
      <c r="AS71" s="37"/>
      <c r="AT71" s="21" t="e">
        <f>AN71/#REF!</f>
        <v>#REF!</v>
      </c>
      <c r="AU71" s="21" t="e">
        <f>AO71/#REF!</f>
        <v>#REF!</v>
      </c>
      <c r="AV71" s="21" t="e">
        <f>AP71/#REF!</f>
        <v>#REF!</v>
      </c>
      <c r="AW71" s="21" t="e">
        <f>AQ71/#REF!</f>
        <v>#REF!</v>
      </c>
      <c r="AX71" s="21" t="e">
        <f>AR71/#REF!</f>
        <v>#REF!</v>
      </c>
      <c r="AY71" s="21" t="e">
        <f>AS71/#REF!</f>
        <v>#REF!</v>
      </c>
      <c r="AZ71"/>
      <c r="BA71" s="23" t="e">
        <f>AVERAGE(AW71,AX71,AY71)</f>
        <v>#REF!</v>
      </c>
    </row>
    <row r="72" spans="1:53" x14ac:dyDescent="0.25">
      <c r="A72" s="34"/>
      <c r="B72" s="32"/>
      <c r="C72" s="32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  <c r="AG72" s="33"/>
      <c r="AH72" s="33"/>
      <c r="AI72" s="33"/>
      <c r="AJ72" s="33"/>
      <c r="AK72" s="33"/>
      <c r="AL72" s="33"/>
      <c r="AM72" s="33"/>
      <c r="AN72" s="33"/>
      <c r="AO72" s="33"/>
      <c r="AP72" s="33"/>
      <c r="AQ72" s="33"/>
      <c r="AR72" s="33"/>
      <c r="AS72" s="33"/>
      <c r="AT72" s="21" t="e">
        <f t="shared" ref="AT72:AY72" si="18">AN72/AO$58</f>
        <v>#DIV/0!</v>
      </c>
      <c r="AU72" s="21" t="e">
        <f t="shared" si="18"/>
        <v>#DIV/0!</v>
      </c>
      <c r="AV72" s="21" t="e">
        <f t="shared" si="18"/>
        <v>#DIV/0!</v>
      </c>
      <c r="AW72" s="21" t="e">
        <f t="shared" si="18"/>
        <v>#DIV/0!</v>
      </c>
      <c r="AX72" s="21" t="e">
        <f t="shared" si="18"/>
        <v>#DIV/0!</v>
      </c>
      <c r="AY72" s="21" t="e">
        <f t="shared" si="18"/>
        <v>#DIV/0!</v>
      </c>
      <c r="AZ72" s="5"/>
      <c r="BA72" s="23" t="e">
        <f>AVERAGE(AW72,AX72,AY72)</f>
        <v>#DIV/0!</v>
      </c>
    </row>
    <row r="73" spans="1:53" s="5" customFormat="1" x14ac:dyDescent="0.25">
      <c r="A73" s="34"/>
      <c r="B73" s="34"/>
      <c r="C73" s="34"/>
      <c r="D73" s="35"/>
      <c r="E73" s="35"/>
      <c r="F73" s="35"/>
      <c r="G73" s="35"/>
      <c r="H73" s="35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  <c r="AE73" s="37"/>
      <c r="AF73" s="37"/>
      <c r="AG73" s="37"/>
      <c r="AH73" s="37"/>
      <c r="AI73" s="37"/>
      <c r="AJ73" s="37"/>
      <c r="AK73" s="37"/>
      <c r="AL73" s="37"/>
      <c r="AM73" s="37"/>
      <c r="AN73" s="37"/>
      <c r="AO73" s="37"/>
      <c r="AP73" s="37"/>
      <c r="AQ73" s="37"/>
      <c r="AR73" s="37"/>
      <c r="AS73" s="37"/>
      <c r="AT73" s="21" t="e">
        <f t="shared" ref="AT73:AY73" si="19">AN73/AO$37</f>
        <v>#DIV/0!</v>
      </c>
      <c r="AU73" s="21" t="e">
        <f t="shared" si="19"/>
        <v>#DIV/0!</v>
      </c>
      <c r="AV73" s="21" t="e">
        <f t="shared" si="19"/>
        <v>#DIV/0!</v>
      </c>
      <c r="AW73" s="21" t="e">
        <f t="shared" si="19"/>
        <v>#DIV/0!</v>
      </c>
      <c r="AX73" s="21" t="e">
        <f t="shared" si="19"/>
        <v>#DIV/0!</v>
      </c>
      <c r="AY73" s="21" t="e">
        <f t="shared" si="19"/>
        <v>#DIV/0!</v>
      </c>
      <c r="BA73" s="23" t="e">
        <f>AVERAGE(AW73,AX73,AY73)</f>
        <v>#DIV/0!</v>
      </c>
    </row>
    <row r="74" spans="1:53" x14ac:dyDescent="0.25">
      <c r="A74" s="34"/>
      <c r="B74" s="32"/>
      <c r="C74" s="32"/>
      <c r="D74" s="36"/>
      <c r="E74" s="36"/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6"/>
      <c r="Z74" s="36"/>
      <c r="AA74" s="36"/>
      <c r="AB74" s="36"/>
      <c r="AC74" s="36"/>
      <c r="AD74" s="36"/>
      <c r="AE74" s="36"/>
      <c r="AF74" s="36"/>
      <c r="AG74" s="36"/>
      <c r="AH74" s="36"/>
      <c r="AI74" s="36"/>
      <c r="AJ74" s="36"/>
      <c r="AK74" s="36"/>
      <c r="AL74" s="36"/>
      <c r="AM74" s="36"/>
      <c r="AN74" s="36"/>
      <c r="AO74" s="36"/>
      <c r="AP74" s="36"/>
      <c r="AQ74" s="36"/>
      <c r="AR74" s="36"/>
      <c r="AS74" s="36"/>
      <c r="AT74" s="20">
        <f t="shared" ref="AT74:AY74" si="20">AN74/V$20</f>
        <v>0</v>
      </c>
      <c r="AU74" s="20">
        <f t="shared" si="20"/>
        <v>0</v>
      </c>
      <c r="AV74" s="20">
        <f t="shared" si="20"/>
        <v>0</v>
      </c>
      <c r="AW74" s="20">
        <f t="shared" si="20"/>
        <v>0</v>
      </c>
      <c r="AX74" s="20">
        <f t="shared" si="20"/>
        <v>0</v>
      </c>
      <c r="AY74" s="20">
        <f t="shared" si="20"/>
        <v>0</v>
      </c>
      <c r="BA74" s="23">
        <f>AVERAGE(AW74,AX74,AY74)</f>
        <v>0</v>
      </c>
    </row>
    <row r="75" spans="1:53" s="5" customFormat="1" x14ac:dyDescent="0.25">
      <c r="A75" s="32"/>
      <c r="B75" s="32"/>
      <c r="C75" s="32"/>
      <c r="D75" s="33"/>
      <c r="E75" s="33"/>
      <c r="F75" s="33"/>
      <c r="G75" s="33"/>
      <c r="H75" s="33"/>
      <c r="I75" s="33"/>
      <c r="J75" s="33"/>
      <c r="K75" s="33"/>
      <c r="L75" s="33"/>
      <c r="M75" s="36"/>
      <c r="N75" s="36"/>
      <c r="O75" s="36"/>
      <c r="P75" s="33"/>
      <c r="Q75" s="36"/>
      <c r="R75" s="36"/>
      <c r="S75" s="36"/>
      <c r="T75" s="36"/>
      <c r="U75" s="36"/>
      <c r="V75" s="36"/>
      <c r="W75" s="36"/>
      <c r="X75" s="36"/>
      <c r="Y75" s="36"/>
      <c r="Z75" s="36"/>
      <c r="AA75" s="36"/>
      <c r="AB75" s="36"/>
      <c r="AC75" s="36"/>
      <c r="AD75" s="36"/>
      <c r="AE75" s="36"/>
      <c r="AF75" s="36"/>
      <c r="AG75" s="36"/>
      <c r="AH75" s="36"/>
      <c r="AI75" s="36"/>
      <c r="AJ75" s="36"/>
      <c r="AK75" s="36"/>
      <c r="AL75" s="36"/>
      <c r="AM75" s="36"/>
      <c r="AN75" s="36"/>
      <c r="AO75" s="36"/>
      <c r="AP75" s="36"/>
      <c r="AQ75" s="36"/>
      <c r="AR75" s="36"/>
      <c r="AS75" s="36"/>
      <c r="AT75" s="30">
        <v>0</v>
      </c>
      <c r="AU75" s="21" t="e">
        <f t="shared" ref="AU75:AZ78" si="21">AN75/AN540</f>
        <v>#DIV/0!</v>
      </c>
      <c r="AV75" s="21" t="e">
        <f t="shared" si="21"/>
        <v>#DIV/0!</v>
      </c>
      <c r="AW75" s="21" t="e">
        <f t="shared" si="21"/>
        <v>#DIV/0!</v>
      </c>
      <c r="AX75" s="21" t="e">
        <f t="shared" si="21"/>
        <v>#DIV/0!</v>
      </c>
      <c r="AY75" s="21" t="e">
        <f t="shared" si="21"/>
        <v>#DIV/0!</v>
      </c>
      <c r="AZ75" s="21" t="e">
        <f t="shared" si="21"/>
        <v>#DIV/0!</v>
      </c>
      <c r="BA75" s="23" t="e">
        <f t="shared" si="6"/>
        <v>#DIV/0!</v>
      </c>
    </row>
    <row r="76" spans="1:53" x14ac:dyDescent="0.25">
      <c r="A76" s="34"/>
      <c r="B76" s="34"/>
      <c r="C76" s="34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1">
        <v>0</v>
      </c>
      <c r="AU76" s="20" t="e">
        <f t="shared" si="21"/>
        <v>#DIV/0!</v>
      </c>
      <c r="AV76" s="20" t="e">
        <f t="shared" si="21"/>
        <v>#DIV/0!</v>
      </c>
      <c r="AW76" s="20" t="e">
        <f t="shared" si="21"/>
        <v>#DIV/0!</v>
      </c>
      <c r="AX76" s="20" t="e">
        <f t="shared" si="21"/>
        <v>#DIV/0!</v>
      </c>
      <c r="AY76" s="20" t="e">
        <f t="shared" si="21"/>
        <v>#DIV/0!</v>
      </c>
      <c r="AZ76" s="20" t="e">
        <f t="shared" si="21"/>
        <v>#DIV/0!</v>
      </c>
      <c r="BA76" s="23" t="e">
        <f t="shared" si="6"/>
        <v>#DIV/0!</v>
      </c>
    </row>
    <row r="77" spans="1:53" s="5" customFormat="1" x14ac:dyDescent="0.25">
      <c r="A77" s="32"/>
      <c r="B77" s="32"/>
      <c r="C77" s="32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6"/>
      <c r="AM77" s="33"/>
      <c r="AN77" s="33"/>
      <c r="AO77" s="33"/>
      <c r="AP77" s="33"/>
      <c r="AQ77" s="33"/>
      <c r="AR77" s="36"/>
      <c r="AS77" s="36"/>
      <c r="AT77" s="30">
        <v>0</v>
      </c>
      <c r="AU77" s="21" t="e">
        <f t="shared" si="21"/>
        <v>#DIV/0!</v>
      </c>
      <c r="AV77" s="21" t="e">
        <f t="shared" si="21"/>
        <v>#DIV/0!</v>
      </c>
      <c r="AW77" s="21" t="e">
        <f t="shared" si="21"/>
        <v>#DIV/0!</v>
      </c>
      <c r="AX77" s="21" t="e">
        <f t="shared" si="21"/>
        <v>#DIV/0!</v>
      </c>
      <c r="AY77" s="21" t="e">
        <f t="shared" si="21"/>
        <v>#DIV/0!</v>
      </c>
      <c r="AZ77" s="21" t="e">
        <f t="shared" si="21"/>
        <v>#DIV/0!</v>
      </c>
      <c r="BA77" s="23" t="e">
        <f t="shared" si="6"/>
        <v>#DIV/0!</v>
      </c>
    </row>
    <row r="78" spans="1:53" x14ac:dyDescent="0.25">
      <c r="A78" s="34"/>
      <c r="B78" s="34"/>
      <c r="C78" s="34"/>
      <c r="D78" s="37"/>
      <c r="E78" s="37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  <c r="AP78" s="37"/>
      <c r="AQ78" s="37"/>
      <c r="AR78" s="37"/>
      <c r="AS78" s="37"/>
      <c r="AT78" s="31">
        <v>0</v>
      </c>
      <c r="AU78" s="20" t="e">
        <f t="shared" si="21"/>
        <v>#DIV/0!</v>
      </c>
      <c r="AV78" s="20" t="e">
        <f t="shared" si="21"/>
        <v>#DIV/0!</v>
      </c>
      <c r="AW78" s="20" t="e">
        <f t="shared" si="21"/>
        <v>#DIV/0!</v>
      </c>
      <c r="AX78" s="20" t="e">
        <f t="shared" si="21"/>
        <v>#DIV/0!</v>
      </c>
      <c r="AY78" s="20" t="e">
        <f t="shared" si="21"/>
        <v>#DIV/0!</v>
      </c>
      <c r="AZ78" s="20" t="e">
        <f t="shared" si="21"/>
        <v>#DIV/0!</v>
      </c>
      <c r="BA78" s="23" t="e">
        <f t="shared" si="6"/>
        <v>#DIV/0!</v>
      </c>
    </row>
    <row r="79" spans="1:53" s="5" customFormat="1" x14ac:dyDescent="0.25">
      <c r="A79" s="32"/>
      <c r="B79" s="32"/>
      <c r="C79" s="32"/>
      <c r="D79" s="33"/>
      <c r="E79" s="33"/>
      <c r="F79" s="33"/>
      <c r="G79" s="33"/>
      <c r="H79" s="3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  <c r="AJ79" s="36"/>
      <c r="AK79" s="36"/>
      <c r="AL79" s="36"/>
      <c r="AM79" s="36"/>
      <c r="AN79" s="36"/>
      <c r="AO79" s="36"/>
      <c r="AP79" s="36"/>
      <c r="AQ79" s="36"/>
      <c r="AR79" s="36"/>
      <c r="AS79" s="36"/>
      <c r="AT79" s="30">
        <v>0</v>
      </c>
      <c r="AU79" s="21" t="e">
        <f t="shared" ref="AU79:AZ82" si="22">AN79/AN516</f>
        <v>#DIV/0!</v>
      </c>
      <c r="AV79" s="21" t="e">
        <f t="shared" si="22"/>
        <v>#DIV/0!</v>
      </c>
      <c r="AW79" s="21" t="e">
        <f t="shared" si="22"/>
        <v>#DIV/0!</v>
      </c>
      <c r="AX79" s="21" t="e">
        <f t="shared" si="22"/>
        <v>#DIV/0!</v>
      </c>
      <c r="AY79" s="21" t="e">
        <f t="shared" si="22"/>
        <v>#DIV/0!</v>
      </c>
      <c r="AZ79" s="21" t="e">
        <f t="shared" si="22"/>
        <v>#DIV/0!</v>
      </c>
      <c r="BA79" s="23" t="e">
        <f t="shared" si="6"/>
        <v>#DIV/0!</v>
      </c>
    </row>
    <row r="80" spans="1:53" x14ac:dyDescent="0.25">
      <c r="A80" s="34"/>
      <c r="B80" s="34"/>
      <c r="C80" s="34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7"/>
      <c r="R80" s="37"/>
      <c r="S80" s="35"/>
      <c r="T80" s="35"/>
      <c r="U80" s="35"/>
      <c r="V80" s="35"/>
      <c r="W80" s="35"/>
      <c r="X80" s="37"/>
      <c r="Y80" s="35"/>
      <c r="Z80" s="35"/>
      <c r="AA80" s="35"/>
      <c r="AB80" s="37"/>
      <c r="AC80" s="35"/>
      <c r="AD80" s="35"/>
      <c r="AE80" s="35"/>
      <c r="AF80" s="37"/>
      <c r="AG80" s="35"/>
      <c r="AH80" s="37"/>
      <c r="AI80" s="37"/>
      <c r="AJ80" s="37"/>
      <c r="AK80" s="37"/>
      <c r="AL80" s="37"/>
      <c r="AM80" s="37"/>
      <c r="AN80" s="37"/>
      <c r="AO80" s="37"/>
      <c r="AP80" s="37"/>
      <c r="AQ80" s="37"/>
      <c r="AR80" s="37"/>
      <c r="AS80" s="37"/>
      <c r="AT80" s="31">
        <v>0</v>
      </c>
      <c r="AU80" s="20" t="e">
        <f t="shared" si="22"/>
        <v>#DIV/0!</v>
      </c>
      <c r="AV80" s="20" t="e">
        <f t="shared" si="22"/>
        <v>#DIV/0!</v>
      </c>
      <c r="AW80" s="20" t="e">
        <f t="shared" si="22"/>
        <v>#DIV/0!</v>
      </c>
      <c r="AX80" s="20" t="e">
        <f t="shared" si="22"/>
        <v>#DIV/0!</v>
      </c>
      <c r="AY80" s="20" t="e">
        <f t="shared" si="22"/>
        <v>#DIV/0!</v>
      </c>
      <c r="AZ80" s="20" t="e">
        <f t="shared" si="22"/>
        <v>#DIV/0!</v>
      </c>
      <c r="BA80" s="23" t="e">
        <f t="shared" si="6"/>
        <v>#DIV/0!</v>
      </c>
    </row>
    <row r="81" spans="1:53" s="5" customFormat="1" x14ac:dyDescent="0.25">
      <c r="A81" s="32"/>
      <c r="B81" s="32"/>
      <c r="C81" s="32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  <c r="W81" s="33"/>
      <c r="X81" s="36"/>
      <c r="Y81" s="36"/>
      <c r="Z81" s="33"/>
      <c r="AA81" s="33"/>
      <c r="AB81" s="33"/>
      <c r="AC81" s="33"/>
      <c r="AD81" s="33"/>
      <c r="AE81" s="33"/>
      <c r="AF81" s="33"/>
      <c r="AG81" s="33"/>
      <c r="AH81" s="33"/>
      <c r="AI81" s="33"/>
      <c r="AJ81" s="33"/>
      <c r="AK81" s="33"/>
      <c r="AL81" s="33"/>
      <c r="AM81" s="33"/>
      <c r="AN81" s="33"/>
      <c r="AO81" s="33"/>
      <c r="AP81" s="33"/>
      <c r="AQ81" s="33"/>
      <c r="AR81" s="33"/>
      <c r="AS81" s="36"/>
      <c r="AT81" s="30">
        <v>0</v>
      </c>
      <c r="AU81" s="21" t="e">
        <f t="shared" si="22"/>
        <v>#DIV/0!</v>
      </c>
      <c r="AV81" s="21" t="e">
        <f t="shared" si="22"/>
        <v>#DIV/0!</v>
      </c>
      <c r="AW81" s="21" t="e">
        <f t="shared" si="22"/>
        <v>#DIV/0!</v>
      </c>
      <c r="AX81" s="21" t="e">
        <f t="shared" si="22"/>
        <v>#DIV/0!</v>
      </c>
      <c r="AY81" s="21" t="e">
        <f t="shared" si="22"/>
        <v>#DIV/0!</v>
      </c>
      <c r="AZ81" s="21" t="e">
        <f t="shared" si="22"/>
        <v>#DIV/0!</v>
      </c>
      <c r="BA81" s="23" t="e">
        <f t="shared" si="6"/>
        <v>#DIV/0!</v>
      </c>
    </row>
    <row r="82" spans="1:53" x14ac:dyDescent="0.25">
      <c r="A82" s="34"/>
      <c r="B82" s="34"/>
      <c r="C82" s="34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  <c r="AF82" s="37"/>
      <c r="AG82" s="37"/>
      <c r="AH82" s="37"/>
      <c r="AI82" s="37"/>
      <c r="AJ82" s="37"/>
      <c r="AK82" s="37"/>
      <c r="AL82" s="37"/>
      <c r="AM82" s="37"/>
      <c r="AN82" s="37"/>
      <c r="AO82" s="37"/>
      <c r="AP82" s="37"/>
      <c r="AQ82" s="37"/>
      <c r="AR82" s="37"/>
      <c r="AS82" s="37"/>
      <c r="AT82" s="31">
        <v>0</v>
      </c>
      <c r="AU82" s="20" t="e">
        <f t="shared" si="22"/>
        <v>#DIV/0!</v>
      </c>
      <c r="AV82" s="20" t="e">
        <f t="shared" si="22"/>
        <v>#DIV/0!</v>
      </c>
      <c r="AW82" s="20" t="e">
        <f t="shared" si="22"/>
        <v>#DIV/0!</v>
      </c>
      <c r="AX82" s="20" t="e">
        <f t="shared" si="22"/>
        <v>#DIV/0!</v>
      </c>
      <c r="AY82" s="20" t="e">
        <f t="shared" si="22"/>
        <v>#DIV/0!</v>
      </c>
      <c r="AZ82" s="20" t="e">
        <f t="shared" si="22"/>
        <v>#DIV/0!</v>
      </c>
      <c r="BA82" s="23" t="e">
        <f t="shared" si="6"/>
        <v>#DIV/0!</v>
      </c>
    </row>
    <row r="83" spans="1:53" s="5" customFormat="1" x14ac:dyDescent="0.25">
      <c r="A83" s="32"/>
      <c r="B83" s="32"/>
      <c r="C83" s="32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0">
        <v>0</v>
      </c>
      <c r="AU83" s="21" t="e">
        <f t="shared" ref="AU83:AZ89" si="23">AN83/AN521</f>
        <v>#DIV/0!</v>
      </c>
      <c r="AV83" s="21" t="e">
        <f t="shared" si="23"/>
        <v>#DIV/0!</v>
      </c>
      <c r="AW83" s="21" t="e">
        <f t="shared" si="23"/>
        <v>#DIV/0!</v>
      </c>
      <c r="AX83" s="21" t="e">
        <f t="shared" si="23"/>
        <v>#DIV/0!</v>
      </c>
      <c r="AY83" s="21" t="e">
        <f t="shared" si="23"/>
        <v>#DIV/0!</v>
      </c>
      <c r="AZ83" s="21" t="e">
        <f t="shared" si="23"/>
        <v>#DIV/0!</v>
      </c>
      <c r="BA83" s="23" t="e">
        <f t="shared" si="6"/>
        <v>#DIV/0!</v>
      </c>
    </row>
    <row r="84" spans="1:53" x14ac:dyDescent="0.25">
      <c r="A84" s="34"/>
      <c r="B84" s="34"/>
      <c r="C84" s="34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  <c r="X84" s="35"/>
      <c r="Y84" s="35"/>
      <c r="Z84" s="35"/>
      <c r="AA84" s="35"/>
      <c r="AB84" s="35"/>
      <c r="AC84" s="35"/>
      <c r="AD84" s="35"/>
      <c r="AE84" s="35"/>
      <c r="AF84" s="35"/>
      <c r="AG84" s="35"/>
      <c r="AH84" s="35"/>
      <c r="AI84" s="35"/>
      <c r="AJ84" s="35"/>
      <c r="AK84" s="35"/>
      <c r="AL84" s="35"/>
      <c r="AM84" s="35"/>
      <c r="AN84" s="35"/>
      <c r="AO84" s="35"/>
      <c r="AP84" s="35"/>
      <c r="AQ84" s="35"/>
      <c r="AR84" s="35"/>
      <c r="AS84" s="35"/>
      <c r="AT84" s="31">
        <v>0</v>
      </c>
      <c r="AU84" s="20" t="e">
        <f t="shared" si="23"/>
        <v>#DIV/0!</v>
      </c>
      <c r="AV84" s="20" t="e">
        <f t="shared" si="23"/>
        <v>#DIV/0!</v>
      </c>
      <c r="AW84" s="20" t="e">
        <f t="shared" si="23"/>
        <v>#DIV/0!</v>
      </c>
      <c r="AX84" s="20" t="e">
        <f t="shared" si="23"/>
        <v>#DIV/0!</v>
      </c>
      <c r="AY84" s="20" t="e">
        <f t="shared" si="23"/>
        <v>#DIV/0!</v>
      </c>
      <c r="AZ84" s="20" t="e">
        <f t="shared" si="23"/>
        <v>#DIV/0!</v>
      </c>
      <c r="BA84" s="23" t="e">
        <f t="shared" si="6"/>
        <v>#DIV/0!</v>
      </c>
    </row>
    <row r="85" spans="1:53" s="5" customFormat="1" x14ac:dyDescent="0.25">
      <c r="A85" s="32"/>
      <c r="B85" s="32"/>
      <c r="C85" s="32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0">
        <v>0</v>
      </c>
      <c r="AU85" s="21" t="e">
        <f t="shared" si="23"/>
        <v>#DIV/0!</v>
      </c>
      <c r="AV85" s="21" t="e">
        <f t="shared" si="23"/>
        <v>#DIV/0!</v>
      </c>
      <c r="AW85" s="21" t="e">
        <f t="shared" si="23"/>
        <v>#DIV/0!</v>
      </c>
      <c r="AX85" s="21" t="e">
        <f t="shared" si="23"/>
        <v>#DIV/0!</v>
      </c>
      <c r="AY85" s="21" t="e">
        <f t="shared" si="23"/>
        <v>#DIV/0!</v>
      </c>
      <c r="AZ85" s="21" t="e">
        <f t="shared" si="23"/>
        <v>#DIV/0!</v>
      </c>
      <c r="BA85" s="23" t="e">
        <f t="shared" si="6"/>
        <v>#DIV/0!</v>
      </c>
    </row>
    <row r="86" spans="1:53" x14ac:dyDescent="0.25">
      <c r="A86" s="34"/>
      <c r="B86" s="34"/>
      <c r="C86" s="34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  <c r="X86" s="35"/>
      <c r="Y86" s="35"/>
      <c r="Z86" s="35"/>
      <c r="AA86" s="35"/>
      <c r="AB86" s="37"/>
      <c r="AC86" s="37"/>
      <c r="AD86" s="37"/>
      <c r="AE86" s="37"/>
      <c r="AF86" s="37"/>
      <c r="AG86" s="37"/>
      <c r="AH86" s="37"/>
      <c r="AI86" s="37"/>
      <c r="AJ86" s="37"/>
      <c r="AK86" s="37"/>
      <c r="AL86" s="37"/>
      <c r="AM86" s="37"/>
      <c r="AN86" s="37"/>
      <c r="AO86" s="37"/>
      <c r="AP86" s="37"/>
      <c r="AQ86" s="37"/>
      <c r="AR86" s="37"/>
      <c r="AS86" s="37"/>
      <c r="AT86" s="31">
        <v>0</v>
      </c>
      <c r="AU86" s="20" t="e">
        <f t="shared" si="23"/>
        <v>#DIV/0!</v>
      </c>
      <c r="AV86" s="20" t="e">
        <f t="shared" si="23"/>
        <v>#DIV/0!</v>
      </c>
      <c r="AW86" s="20" t="e">
        <f t="shared" si="23"/>
        <v>#DIV/0!</v>
      </c>
      <c r="AX86" s="20" t="e">
        <f t="shared" si="23"/>
        <v>#DIV/0!</v>
      </c>
      <c r="AY86" s="20" t="e">
        <f t="shared" si="23"/>
        <v>#DIV/0!</v>
      </c>
      <c r="AZ86" s="20" t="e">
        <f t="shared" si="23"/>
        <v>#DIV/0!</v>
      </c>
      <c r="BA86" s="23" t="e">
        <f t="shared" si="6"/>
        <v>#DIV/0!</v>
      </c>
    </row>
    <row r="87" spans="1:53" s="5" customFormat="1" x14ac:dyDescent="0.25">
      <c r="A87" s="32"/>
      <c r="B87" s="32"/>
      <c r="C87" s="32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0">
        <v>0</v>
      </c>
      <c r="AU87" s="21" t="e">
        <f t="shared" si="23"/>
        <v>#DIV/0!</v>
      </c>
      <c r="AV87" s="21" t="e">
        <f t="shared" si="23"/>
        <v>#DIV/0!</v>
      </c>
      <c r="AW87" s="21" t="e">
        <f t="shared" si="23"/>
        <v>#DIV/0!</v>
      </c>
      <c r="AX87" s="21" t="e">
        <f t="shared" si="23"/>
        <v>#DIV/0!</v>
      </c>
      <c r="AY87" s="21" t="e">
        <f t="shared" si="23"/>
        <v>#DIV/0!</v>
      </c>
      <c r="AZ87" s="21" t="e">
        <f t="shared" si="23"/>
        <v>#DIV/0!</v>
      </c>
      <c r="BA87" s="23" t="e">
        <f t="shared" si="6"/>
        <v>#DIV/0!</v>
      </c>
    </row>
    <row r="88" spans="1:53" x14ac:dyDescent="0.25">
      <c r="A88" s="34"/>
      <c r="B88" s="34"/>
      <c r="C88" s="34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  <c r="X88" s="35"/>
      <c r="Y88" s="35"/>
      <c r="Z88" s="35"/>
      <c r="AA88" s="35"/>
      <c r="AB88" s="35"/>
      <c r="AC88" s="35"/>
      <c r="AD88" s="35"/>
      <c r="AE88" s="35"/>
      <c r="AF88" s="35"/>
      <c r="AG88" s="35"/>
      <c r="AH88" s="35"/>
      <c r="AI88" s="35"/>
      <c r="AJ88" s="35"/>
      <c r="AK88" s="35"/>
      <c r="AL88" s="35"/>
      <c r="AM88" s="37"/>
      <c r="AN88" s="37"/>
      <c r="AO88" s="37"/>
      <c r="AP88" s="37"/>
      <c r="AQ88" s="37"/>
      <c r="AR88" s="37"/>
      <c r="AS88" s="37"/>
      <c r="AT88" s="31">
        <v>0</v>
      </c>
      <c r="AU88" s="20" t="e">
        <f t="shared" si="23"/>
        <v>#DIV/0!</v>
      </c>
      <c r="AV88" s="20" t="e">
        <f t="shared" si="23"/>
        <v>#DIV/0!</v>
      </c>
      <c r="AW88" s="20" t="e">
        <f t="shared" si="23"/>
        <v>#DIV/0!</v>
      </c>
      <c r="AX88" s="20" t="e">
        <f t="shared" si="23"/>
        <v>#DIV/0!</v>
      </c>
      <c r="AY88" s="20" t="e">
        <f t="shared" si="23"/>
        <v>#DIV/0!</v>
      </c>
      <c r="AZ88" s="20" t="e">
        <f t="shared" si="23"/>
        <v>#DIV/0!</v>
      </c>
      <c r="BA88" s="23" t="e">
        <f t="shared" si="6"/>
        <v>#DIV/0!</v>
      </c>
    </row>
    <row r="89" spans="1:53" s="5" customFormat="1" x14ac:dyDescent="0.25">
      <c r="A89" s="32"/>
      <c r="B89" s="32"/>
      <c r="C89" s="32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6"/>
      <c r="AA89" s="33"/>
      <c r="AB89" s="36"/>
      <c r="AC89" s="36"/>
      <c r="AD89" s="36"/>
      <c r="AE89" s="36"/>
      <c r="AF89" s="36"/>
      <c r="AG89" s="36"/>
      <c r="AH89" s="36"/>
      <c r="AI89" s="36"/>
      <c r="AJ89" s="36"/>
      <c r="AK89" s="36"/>
      <c r="AL89" s="36"/>
      <c r="AM89" s="36"/>
      <c r="AN89" s="36"/>
      <c r="AO89" s="36"/>
      <c r="AP89" s="36"/>
      <c r="AQ89" s="36"/>
      <c r="AR89" s="36"/>
      <c r="AS89" s="36"/>
      <c r="AT89" s="30">
        <v>0</v>
      </c>
      <c r="AU89" s="21" t="e">
        <f t="shared" si="23"/>
        <v>#DIV/0!</v>
      </c>
      <c r="AV89" s="21" t="e">
        <f t="shared" si="23"/>
        <v>#DIV/0!</v>
      </c>
      <c r="AW89" s="21" t="e">
        <f t="shared" si="23"/>
        <v>#DIV/0!</v>
      </c>
      <c r="AX89" s="21" t="e">
        <f t="shared" si="23"/>
        <v>#DIV/0!</v>
      </c>
      <c r="AY89" s="21" t="e">
        <f t="shared" si="23"/>
        <v>#DIV/0!</v>
      </c>
      <c r="AZ89" s="21" t="e">
        <f t="shared" si="23"/>
        <v>#DIV/0!</v>
      </c>
      <c r="BA89" s="23" t="e">
        <f t="shared" si="6"/>
        <v>#DIV/0!</v>
      </c>
    </row>
    <row r="90" spans="1:53" x14ac:dyDescent="0.25">
      <c r="A90" s="34"/>
      <c r="B90" s="34"/>
      <c r="C90" s="34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  <c r="X90" s="35"/>
      <c r="Y90" s="35"/>
      <c r="Z90" s="35"/>
      <c r="AA90" s="35"/>
      <c r="AB90" s="35"/>
      <c r="AC90" s="35"/>
      <c r="AD90" s="35"/>
      <c r="AE90" s="35"/>
      <c r="AF90" s="35"/>
      <c r="AG90" s="35"/>
      <c r="AH90" s="35"/>
      <c r="AI90" s="35"/>
      <c r="AJ90" s="35"/>
      <c r="AK90" s="35"/>
      <c r="AL90" s="35"/>
      <c r="AM90" s="35"/>
      <c r="AN90" s="35"/>
      <c r="AO90" s="35"/>
      <c r="AP90" s="35"/>
      <c r="AQ90" s="35"/>
      <c r="AR90" s="35"/>
      <c r="AS90" s="35"/>
      <c r="AT90" s="31">
        <v>0</v>
      </c>
      <c r="AU90" s="20" t="e">
        <f t="shared" ref="AU90:AZ90" si="24">AN90/AN529</f>
        <v>#DIV/0!</v>
      </c>
      <c r="AV90" s="20" t="e">
        <f t="shared" si="24"/>
        <v>#DIV/0!</v>
      </c>
      <c r="AW90" s="20" t="e">
        <f t="shared" si="24"/>
        <v>#DIV/0!</v>
      </c>
      <c r="AX90" s="20" t="e">
        <f t="shared" si="24"/>
        <v>#DIV/0!</v>
      </c>
      <c r="AY90" s="20" t="e">
        <f t="shared" si="24"/>
        <v>#DIV/0!</v>
      </c>
      <c r="AZ90" s="20" t="e">
        <f t="shared" si="24"/>
        <v>#DIV/0!</v>
      </c>
      <c r="BA90" s="23" t="e">
        <f t="shared" si="6"/>
        <v>#DIV/0!</v>
      </c>
    </row>
    <row r="91" spans="1:53" s="5" customFormat="1" x14ac:dyDescent="0.25">
      <c r="A91" s="32"/>
      <c r="B91" s="32"/>
      <c r="C91" s="32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  <c r="AL91" s="33"/>
      <c r="AM91" s="33"/>
      <c r="AN91" s="33"/>
      <c r="AO91" s="33"/>
      <c r="AP91" s="33"/>
      <c r="AQ91" s="33"/>
      <c r="AR91" s="33"/>
      <c r="AS91" s="33"/>
      <c r="AT91" s="30">
        <v>0</v>
      </c>
      <c r="AU91" s="21" t="e">
        <f t="shared" ref="AU91:AZ91" si="25">AN91/AN531</f>
        <v>#DIV/0!</v>
      </c>
      <c r="AV91" s="21" t="e">
        <f t="shared" si="25"/>
        <v>#DIV/0!</v>
      </c>
      <c r="AW91" s="21" t="e">
        <f t="shared" si="25"/>
        <v>#DIV/0!</v>
      </c>
      <c r="AX91" s="21" t="e">
        <f t="shared" si="25"/>
        <v>#DIV/0!</v>
      </c>
      <c r="AY91" s="21" t="e">
        <f t="shared" si="25"/>
        <v>#DIV/0!</v>
      </c>
      <c r="AZ91" s="21" t="e">
        <f t="shared" si="25"/>
        <v>#DIV/0!</v>
      </c>
      <c r="BA91" s="23" t="e">
        <f t="shared" si="6"/>
        <v>#DIV/0!</v>
      </c>
    </row>
    <row r="92" spans="1:53" s="5" customFormat="1" x14ac:dyDescent="0.25">
      <c r="A92" s="34"/>
      <c r="B92" s="34"/>
      <c r="C92" s="34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  <c r="AB92" s="35"/>
      <c r="AC92" s="35"/>
      <c r="AD92" s="35"/>
      <c r="AE92" s="35"/>
      <c r="AF92" s="35"/>
      <c r="AG92" s="35"/>
      <c r="AH92" s="35"/>
      <c r="AI92" s="35"/>
      <c r="AJ92" s="35"/>
      <c r="AK92" s="35"/>
      <c r="AL92" s="35"/>
      <c r="AM92" s="35"/>
      <c r="AN92" s="35"/>
      <c r="AO92" s="35"/>
      <c r="AP92" s="35"/>
      <c r="AQ92" s="35"/>
      <c r="AR92" s="35"/>
      <c r="AS92" s="35"/>
      <c r="AT92" s="21" t="e">
        <f t="shared" ref="AT92:AY92" si="26">AN92/AO$78</f>
        <v>#DIV/0!</v>
      </c>
      <c r="AU92" s="21" t="e">
        <f t="shared" si="26"/>
        <v>#DIV/0!</v>
      </c>
      <c r="AV92" s="21" t="e">
        <f t="shared" si="26"/>
        <v>#DIV/0!</v>
      </c>
      <c r="AW92" s="21" t="e">
        <f t="shared" si="26"/>
        <v>#DIV/0!</v>
      </c>
      <c r="AX92" s="21" t="e">
        <f t="shared" si="26"/>
        <v>#DIV/0!</v>
      </c>
      <c r="AY92" s="21" t="e">
        <f t="shared" si="26"/>
        <v>#DIV/0!</v>
      </c>
      <c r="BA92" s="23" t="e">
        <f>AVERAGE(AW92,AX92,AY92)</f>
        <v>#DIV/0!</v>
      </c>
    </row>
    <row r="93" spans="1:53" x14ac:dyDescent="0.25">
      <c r="A93" s="34"/>
      <c r="B93" s="32"/>
      <c r="C93" s="32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6"/>
      <c r="T93" s="36"/>
      <c r="U93" s="36"/>
      <c r="V93" s="36"/>
      <c r="W93" s="33"/>
      <c r="X93" s="33"/>
      <c r="Y93" s="33"/>
      <c r="Z93" s="36"/>
      <c r="AA93" s="33"/>
      <c r="AB93" s="36"/>
      <c r="AC93" s="36"/>
      <c r="AD93" s="36"/>
      <c r="AE93" s="36"/>
      <c r="AF93" s="36"/>
      <c r="AG93" s="36"/>
      <c r="AH93" s="36"/>
      <c r="AI93" s="36"/>
      <c r="AJ93" s="36"/>
      <c r="AK93" s="36"/>
      <c r="AL93" s="36"/>
      <c r="AM93" s="36"/>
      <c r="AN93" s="36"/>
      <c r="AO93" s="36"/>
      <c r="AP93" s="36"/>
      <c r="AQ93" s="36"/>
      <c r="AR93" s="36"/>
      <c r="AS93" s="36"/>
      <c r="AT93" s="21" t="e">
        <f t="shared" ref="AT93:AY93" si="27">AN93/AO$58</f>
        <v>#DIV/0!</v>
      </c>
      <c r="AU93" s="21" t="e">
        <f t="shared" si="27"/>
        <v>#DIV/0!</v>
      </c>
      <c r="AV93" s="21" t="e">
        <f t="shared" si="27"/>
        <v>#DIV/0!</v>
      </c>
      <c r="AW93" s="21" t="e">
        <f t="shared" si="27"/>
        <v>#DIV/0!</v>
      </c>
      <c r="AX93" s="21" t="e">
        <f t="shared" si="27"/>
        <v>#DIV/0!</v>
      </c>
      <c r="AY93" s="21" t="e">
        <f t="shared" si="27"/>
        <v>#DIV/0!</v>
      </c>
      <c r="BA93" s="23" t="e">
        <f>AVERAGE(AW93,AX93,AY93)</f>
        <v>#DIV/0!</v>
      </c>
    </row>
    <row r="94" spans="1:53" s="5" customFormat="1" x14ac:dyDescent="0.25">
      <c r="A94" s="34"/>
      <c r="B94" s="34"/>
      <c r="C94" s="34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35"/>
      <c r="AE94" s="35"/>
      <c r="AF94" s="35"/>
      <c r="AG94" s="35"/>
      <c r="AH94" s="35"/>
      <c r="AI94" s="35"/>
      <c r="AJ94" s="35"/>
      <c r="AK94" s="35"/>
      <c r="AL94" s="35"/>
      <c r="AM94" s="35"/>
      <c r="AN94" s="35"/>
      <c r="AO94" s="35"/>
      <c r="AP94" s="35"/>
      <c r="AQ94" s="35"/>
      <c r="AR94" s="35"/>
      <c r="AS94" s="35"/>
      <c r="AT94" s="21" t="e">
        <f t="shared" ref="AT94:AY94" si="28">AN94/AO$37</f>
        <v>#DIV/0!</v>
      </c>
      <c r="AU94" s="21" t="e">
        <f t="shared" si="28"/>
        <v>#DIV/0!</v>
      </c>
      <c r="AV94" s="21" t="e">
        <f t="shared" si="28"/>
        <v>#DIV/0!</v>
      </c>
      <c r="AW94" s="21" t="e">
        <f t="shared" si="28"/>
        <v>#DIV/0!</v>
      </c>
      <c r="AX94" s="21" t="e">
        <f t="shared" si="28"/>
        <v>#DIV/0!</v>
      </c>
      <c r="AY94" s="21" t="e">
        <f t="shared" si="28"/>
        <v>#DIV/0!</v>
      </c>
      <c r="AZ94"/>
      <c r="BA94" s="23" t="e">
        <f>AVERAGE(AW94,AX94,AY94)</f>
        <v>#DIV/0!</v>
      </c>
    </row>
    <row r="95" spans="1:53" x14ac:dyDescent="0.25">
      <c r="A95" s="34"/>
      <c r="B95" s="32"/>
      <c r="C95" s="32"/>
      <c r="D95" s="33"/>
      <c r="E95" s="33"/>
      <c r="F95" s="33"/>
      <c r="G95" s="33"/>
      <c r="H95" s="33"/>
      <c r="I95" s="33"/>
      <c r="J95" s="36"/>
      <c r="K95" s="33"/>
      <c r="L95" s="36"/>
      <c r="M95" s="36"/>
      <c r="N95" s="36"/>
      <c r="O95" s="36"/>
      <c r="P95" s="36"/>
      <c r="Q95" s="36"/>
      <c r="R95" s="33"/>
      <c r="S95" s="36"/>
      <c r="T95" s="36"/>
      <c r="U95" s="36"/>
      <c r="V95" s="36"/>
      <c r="W95" s="36"/>
      <c r="X95" s="36"/>
      <c r="Y95" s="33"/>
      <c r="Z95" s="36"/>
      <c r="AA95" s="36"/>
      <c r="AB95" s="36"/>
      <c r="AC95" s="36"/>
      <c r="AD95" s="36"/>
      <c r="AE95" s="36"/>
      <c r="AF95" s="36"/>
      <c r="AG95" s="36"/>
      <c r="AH95" s="36"/>
      <c r="AI95" s="36"/>
      <c r="AJ95" s="36"/>
      <c r="AK95" s="36"/>
      <c r="AL95" s="36"/>
      <c r="AM95" s="36"/>
      <c r="AN95" s="36"/>
      <c r="AO95" s="36"/>
      <c r="AP95" s="36"/>
      <c r="AQ95" s="36"/>
      <c r="AR95" s="36"/>
      <c r="AS95" s="36"/>
      <c r="AT95" s="20">
        <f t="shared" ref="AT95:AY95" si="29">AN95/V$20</f>
        <v>0</v>
      </c>
      <c r="AU95" s="20">
        <f t="shared" si="29"/>
        <v>0</v>
      </c>
      <c r="AV95" s="20">
        <f t="shared" si="29"/>
        <v>0</v>
      </c>
      <c r="AW95" s="20">
        <f t="shared" si="29"/>
        <v>0</v>
      </c>
      <c r="AX95" s="20">
        <f t="shared" si="29"/>
        <v>0</v>
      </c>
      <c r="AY95" s="20">
        <f t="shared" si="29"/>
        <v>0</v>
      </c>
      <c r="AZ95" s="5"/>
      <c r="BA95" s="23">
        <f>AVERAGE(AW95,AX95,AY95)</f>
        <v>0</v>
      </c>
    </row>
    <row r="96" spans="1:53" s="5" customFormat="1" x14ac:dyDescent="0.25">
      <c r="A96" s="32"/>
      <c r="B96" s="32"/>
      <c r="C96" s="32"/>
      <c r="D96" s="36"/>
      <c r="E96" s="36"/>
      <c r="F96" s="36"/>
      <c r="G96" s="36"/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6"/>
      <c r="W96" s="36"/>
      <c r="X96" s="36"/>
      <c r="Y96" s="36"/>
      <c r="Z96" s="36"/>
      <c r="AA96" s="36"/>
      <c r="AB96" s="36"/>
      <c r="AC96" s="36"/>
      <c r="AD96" s="36"/>
      <c r="AE96" s="36"/>
      <c r="AF96" s="36"/>
      <c r="AG96" s="36"/>
      <c r="AH96" s="36"/>
      <c r="AI96" s="36"/>
      <c r="AJ96" s="36"/>
      <c r="AK96" s="36"/>
      <c r="AL96" s="36"/>
      <c r="AM96" s="36"/>
      <c r="AN96" s="36"/>
      <c r="AO96" s="36"/>
      <c r="AP96" s="36"/>
      <c r="AQ96" s="36"/>
      <c r="AR96" s="36"/>
      <c r="AS96" s="36"/>
      <c r="AT96" s="30">
        <v>0</v>
      </c>
      <c r="AU96" s="21" t="e">
        <f t="shared" ref="AU96:AZ99" si="30">AN96/AN540</f>
        <v>#DIV/0!</v>
      </c>
      <c r="AV96" s="21" t="e">
        <f t="shared" si="30"/>
        <v>#DIV/0!</v>
      </c>
      <c r="AW96" s="21" t="e">
        <f t="shared" si="30"/>
        <v>#DIV/0!</v>
      </c>
      <c r="AX96" s="21" t="e">
        <f t="shared" si="30"/>
        <v>#DIV/0!</v>
      </c>
      <c r="AY96" s="21" t="e">
        <f t="shared" si="30"/>
        <v>#DIV/0!</v>
      </c>
      <c r="AZ96" s="21" t="e">
        <f t="shared" si="30"/>
        <v>#DIV/0!</v>
      </c>
      <c r="BA96" s="23" t="e">
        <f t="shared" ref="BA96:BA138" si="31">AVERAGE(AY96,AZ96,AX96)</f>
        <v>#DIV/0!</v>
      </c>
    </row>
    <row r="97" spans="1:53" x14ac:dyDescent="0.25">
      <c r="A97" s="34"/>
      <c r="B97" s="34"/>
      <c r="C97" s="34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1">
        <v>0</v>
      </c>
      <c r="AU97" s="20" t="e">
        <f t="shared" si="30"/>
        <v>#DIV/0!</v>
      </c>
      <c r="AV97" s="20" t="e">
        <f t="shared" si="30"/>
        <v>#DIV/0!</v>
      </c>
      <c r="AW97" s="20" t="e">
        <f t="shared" si="30"/>
        <v>#DIV/0!</v>
      </c>
      <c r="AX97" s="20" t="e">
        <f t="shared" si="30"/>
        <v>#DIV/0!</v>
      </c>
      <c r="AY97" s="20" t="e">
        <f t="shared" si="30"/>
        <v>#DIV/0!</v>
      </c>
      <c r="AZ97" s="20" t="e">
        <f t="shared" si="30"/>
        <v>#DIV/0!</v>
      </c>
      <c r="BA97" s="23" t="e">
        <f t="shared" si="31"/>
        <v>#DIV/0!</v>
      </c>
    </row>
    <row r="98" spans="1:53" s="5" customFormat="1" x14ac:dyDescent="0.25">
      <c r="A98" s="32"/>
      <c r="B98" s="32"/>
      <c r="C98" s="32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  <c r="AA98" s="36"/>
      <c r="AB98" s="36"/>
      <c r="AC98" s="36"/>
      <c r="AD98" s="36"/>
      <c r="AE98" s="36"/>
      <c r="AF98" s="36"/>
      <c r="AG98" s="36"/>
      <c r="AH98" s="36"/>
      <c r="AI98" s="36"/>
      <c r="AJ98" s="36"/>
      <c r="AK98" s="36"/>
      <c r="AL98" s="36"/>
      <c r="AM98" s="36"/>
      <c r="AN98" s="36"/>
      <c r="AO98" s="36"/>
      <c r="AP98" s="36"/>
      <c r="AQ98" s="36"/>
      <c r="AR98" s="36"/>
      <c r="AS98" s="36"/>
      <c r="AT98" s="30">
        <v>0</v>
      </c>
      <c r="AU98" s="21" t="e">
        <f t="shared" si="30"/>
        <v>#DIV/0!</v>
      </c>
      <c r="AV98" s="21" t="e">
        <f t="shared" si="30"/>
        <v>#DIV/0!</v>
      </c>
      <c r="AW98" s="21" t="e">
        <f t="shared" si="30"/>
        <v>#DIV/0!</v>
      </c>
      <c r="AX98" s="21" t="e">
        <f t="shared" si="30"/>
        <v>#DIV/0!</v>
      </c>
      <c r="AY98" s="21" t="e">
        <f t="shared" si="30"/>
        <v>#DIV/0!</v>
      </c>
      <c r="AZ98" s="21" t="e">
        <f t="shared" si="30"/>
        <v>#DIV/0!</v>
      </c>
      <c r="BA98" s="23" t="e">
        <f t="shared" si="31"/>
        <v>#DIV/0!</v>
      </c>
    </row>
    <row r="99" spans="1:53" x14ac:dyDescent="0.25">
      <c r="A99" s="34"/>
      <c r="B99" s="34"/>
      <c r="C99" s="34"/>
      <c r="D99" s="37"/>
      <c r="E99" s="37"/>
      <c r="F99" s="37"/>
      <c r="G99" s="37"/>
      <c r="H99" s="37"/>
      <c r="I99" s="37"/>
      <c r="J99" s="37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  <c r="Y99" s="37"/>
      <c r="Z99" s="37"/>
      <c r="AA99" s="37"/>
      <c r="AB99" s="37"/>
      <c r="AC99" s="37"/>
      <c r="AD99" s="37"/>
      <c r="AE99" s="37"/>
      <c r="AF99" s="37"/>
      <c r="AG99" s="37"/>
      <c r="AH99" s="37"/>
      <c r="AI99" s="37"/>
      <c r="AJ99" s="37"/>
      <c r="AK99" s="37"/>
      <c r="AL99" s="37"/>
      <c r="AM99" s="37"/>
      <c r="AN99" s="37"/>
      <c r="AO99" s="37"/>
      <c r="AP99" s="37"/>
      <c r="AQ99" s="37"/>
      <c r="AR99" s="37"/>
      <c r="AS99" s="37"/>
      <c r="AT99" s="31">
        <v>0</v>
      </c>
      <c r="AU99" s="20" t="e">
        <f t="shared" si="30"/>
        <v>#DIV/0!</v>
      </c>
      <c r="AV99" s="20" t="e">
        <f t="shared" si="30"/>
        <v>#DIV/0!</v>
      </c>
      <c r="AW99" s="20" t="e">
        <f t="shared" si="30"/>
        <v>#DIV/0!</v>
      </c>
      <c r="AX99" s="20" t="e">
        <f t="shared" si="30"/>
        <v>#DIV/0!</v>
      </c>
      <c r="AY99" s="20" t="e">
        <f t="shared" si="30"/>
        <v>#DIV/0!</v>
      </c>
      <c r="AZ99" s="20" t="e">
        <f t="shared" si="30"/>
        <v>#DIV/0!</v>
      </c>
      <c r="BA99" s="23" t="e">
        <f t="shared" si="31"/>
        <v>#DIV/0!</v>
      </c>
    </row>
    <row r="100" spans="1:53" s="5" customFormat="1" x14ac:dyDescent="0.25">
      <c r="A100" s="32"/>
      <c r="B100" s="32"/>
      <c r="C100" s="32"/>
      <c r="D100" s="36"/>
      <c r="E100" s="36"/>
      <c r="F100" s="36"/>
      <c r="G100" s="36"/>
      <c r="H100" s="36"/>
      <c r="I100" s="36"/>
      <c r="J100" s="36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6"/>
      <c r="W100" s="36"/>
      <c r="X100" s="36"/>
      <c r="Y100" s="36"/>
      <c r="Z100" s="36"/>
      <c r="AA100" s="36"/>
      <c r="AB100" s="36"/>
      <c r="AC100" s="36"/>
      <c r="AD100" s="36"/>
      <c r="AE100" s="36"/>
      <c r="AF100" s="36"/>
      <c r="AG100" s="36"/>
      <c r="AH100" s="36"/>
      <c r="AI100" s="36"/>
      <c r="AJ100" s="36"/>
      <c r="AK100" s="36"/>
      <c r="AL100" s="36"/>
      <c r="AM100" s="36"/>
      <c r="AN100" s="36"/>
      <c r="AO100" s="36"/>
      <c r="AP100" s="36"/>
      <c r="AQ100" s="36"/>
      <c r="AR100" s="36"/>
      <c r="AS100" s="36"/>
      <c r="AT100" s="30">
        <v>0</v>
      </c>
      <c r="AU100" s="21" t="e">
        <f t="shared" ref="AU100:AU115" si="32">AN100/AN516</f>
        <v>#DIV/0!</v>
      </c>
      <c r="AV100" s="21" t="e">
        <f t="shared" ref="AV100:AV115" si="33">AO100/AO516</f>
        <v>#DIV/0!</v>
      </c>
      <c r="AW100" s="21" t="e">
        <f t="shared" ref="AW100:AW115" si="34">AP100/AP516</f>
        <v>#DIV/0!</v>
      </c>
      <c r="AX100" s="21" t="e">
        <f t="shared" ref="AX100:AX115" si="35">AQ100/AQ516</f>
        <v>#DIV/0!</v>
      </c>
      <c r="AY100" s="21" t="e">
        <f t="shared" ref="AY100:AY115" si="36">AR100/AR516</f>
        <v>#DIV/0!</v>
      </c>
      <c r="AZ100" s="21" t="e">
        <f t="shared" ref="AZ100:AZ115" si="37">AS100/AS516</f>
        <v>#DIV/0!</v>
      </c>
      <c r="BA100" s="23" t="e">
        <f t="shared" si="31"/>
        <v>#DIV/0!</v>
      </c>
    </row>
    <row r="101" spans="1:53" x14ac:dyDescent="0.25">
      <c r="A101" s="34"/>
      <c r="B101" s="34"/>
      <c r="C101" s="34"/>
      <c r="D101" s="35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7"/>
      <c r="R101" s="35"/>
      <c r="S101" s="35"/>
      <c r="T101" s="35"/>
      <c r="U101" s="35"/>
      <c r="V101" s="37"/>
      <c r="W101" s="37"/>
      <c r="X101" s="35"/>
      <c r="Y101" s="37"/>
      <c r="Z101" s="37"/>
      <c r="AA101" s="35"/>
      <c r="AB101" s="35"/>
      <c r="AC101" s="35"/>
      <c r="AD101" s="37"/>
      <c r="AE101" s="35"/>
      <c r="AF101" s="35"/>
      <c r="AG101" s="35"/>
      <c r="AH101" s="35"/>
      <c r="AI101" s="35"/>
      <c r="AJ101" s="35"/>
      <c r="AK101" s="35"/>
      <c r="AL101" s="35"/>
      <c r="AM101" s="35"/>
      <c r="AN101" s="35"/>
      <c r="AO101" s="35"/>
      <c r="AP101" s="35"/>
      <c r="AQ101" s="35"/>
      <c r="AR101" s="37"/>
      <c r="AS101" s="37"/>
      <c r="AT101" s="31">
        <v>0</v>
      </c>
      <c r="AU101" s="20" t="e">
        <f t="shared" si="32"/>
        <v>#DIV/0!</v>
      </c>
      <c r="AV101" s="20" t="e">
        <f t="shared" si="33"/>
        <v>#DIV/0!</v>
      </c>
      <c r="AW101" s="20" t="e">
        <f t="shared" si="34"/>
        <v>#DIV/0!</v>
      </c>
      <c r="AX101" s="20" t="e">
        <f t="shared" si="35"/>
        <v>#DIV/0!</v>
      </c>
      <c r="AY101" s="20" t="e">
        <f t="shared" si="36"/>
        <v>#DIV/0!</v>
      </c>
      <c r="AZ101" s="20" t="e">
        <f t="shared" si="37"/>
        <v>#DIV/0!</v>
      </c>
      <c r="BA101" s="23" t="e">
        <f t="shared" si="31"/>
        <v>#DIV/0!</v>
      </c>
    </row>
    <row r="102" spans="1:53" s="5" customFormat="1" x14ac:dyDescent="0.25">
      <c r="A102" s="32"/>
      <c r="B102" s="32"/>
      <c r="C102" s="32"/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  <c r="AA102" s="33"/>
      <c r="AB102" s="36"/>
      <c r="AC102" s="36"/>
      <c r="AD102" s="33"/>
      <c r="AE102" s="36"/>
      <c r="AF102" s="36"/>
      <c r="AG102" s="36"/>
      <c r="AH102" s="36"/>
      <c r="AI102" s="36"/>
      <c r="AJ102" s="36"/>
      <c r="AK102" s="36"/>
      <c r="AL102" s="36"/>
      <c r="AM102" s="36"/>
      <c r="AN102" s="36"/>
      <c r="AO102" s="36"/>
      <c r="AP102" s="33"/>
      <c r="AQ102" s="33"/>
      <c r="AR102" s="33"/>
      <c r="AS102" s="33"/>
      <c r="AT102" s="30">
        <v>0</v>
      </c>
      <c r="AU102" s="21" t="e">
        <f t="shared" si="32"/>
        <v>#DIV/0!</v>
      </c>
      <c r="AV102" s="21" t="e">
        <f t="shared" si="33"/>
        <v>#DIV/0!</v>
      </c>
      <c r="AW102" s="21" t="e">
        <f t="shared" si="34"/>
        <v>#DIV/0!</v>
      </c>
      <c r="AX102" s="21" t="e">
        <f t="shared" si="35"/>
        <v>#DIV/0!</v>
      </c>
      <c r="AY102" s="21" t="e">
        <f t="shared" si="36"/>
        <v>#DIV/0!</v>
      </c>
      <c r="AZ102" s="21" t="e">
        <f t="shared" si="37"/>
        <v>#DIV/0!</v>
      </c>
      <c r="BA102" s="23" t="e">
        <f t="shared" si="31"/>
        <v>#DIV/0!</v>
      </c>
    </row>
    <row r="103" spans="1:53" x14ac:dyDescent="0.25">
      <c r="A103" s="34"/>
      <c r="B103" s="34"/>
      <c r="C103" s="34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7"/>
      <c r="R103" s="37"/>
      <c r="S103" s="37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  <c r="AD103" s="37"/>
      <c r="AE103" s="37"/>
      <c r="AF103" s="37"/>
      <c r="AG103" s="37"/>
      <c r="AH103" s="37"/>
      <c r="AI103" s="37"/>
      <c r="AJ103" s="37"/>
      <c r="AK103" s="37"/>
      <c r="AL103" s="37"/>
      <c r="AM103" s="37"/>
      <c r="AN103" s="37"/>
      <c r="AO103" s="37"/>
      <c r="AP103" s="37"/>
      <c r="AQ103" s="37"/>
      <c r="AR103" s="37"/>
      <c r="AS103" s="37"/>
      <c r="AT103" s="31">
        <v>0</v>
      </c>
      <c r="AU103" s="20" t="e">
        <f t="shared" si="32"/>
        <v>#DIV/0!</v>
      </c>
      <c r="AV103" s="20" t="e">
        <f t="shared" si="33"/>
        <v>#DIV/0!</v>
      </c>
      <c r="AW103" s="20" t="e">
        <f t="shared" si="34"/>
        <v>#DIV/0!</v>
      </c>
      <c r="AX103" s="20" t="e">
        <f t="shared" si="35"/>
        <v>#DIV/0!</v>
      </c>
      <c r="AY103" s="20" t="e">
        <f t="shared" si="36"/>
        <v>#DIV/0!</v>
      </c>
      <c r="AZ103" s="20" t="e">
        <f t="shared" si="37"/>
        <v>#DIV/0!</v>
      </c>
      <c r="BA103" s="23" t="e">
        <f t="shared" si="31"/>
        <v>#DIV/0!</v>
      </c>
    </row>
    <row r="104" spans="1:53" s="5" customFormat="1" x14ac:dyDescent="0.25">
      <c r="A104" s="32"/>
      <c r="B104" s="32"/>
      <c r="C104" s="32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6"/>
      <c r="AN104" s="36"/>
      <c r="AO104" s="36"/>
      <c r="AP104" s="36"/>
      <c r="AQ104" s="36"/>
      <c r="AR104" s="36"/>
      <c r="AS104" s="36"/>
      <c r="AT104" s="30">
        <v>0</v>
      </c>
      <c r="AU104" s="21" t="e">
        <f t="shared" si="32"/>
        <v>#DIV/0!</v>
      </c>
      <c r="AV104" s="21" t="e">
        <f t="shared" si="33"/>
        <v>#DIV/0!</v>
      </c>
      <c r="AW104" s="21" t="e">
        <f t="shared" si="34"/>
        <v>#DIV/0!</v>
      </c>
      <c r="AX104" s="21" t="e">
        <f t="shared" si="35"/>
        <v>#DIV/0!</v>
      </c>
      <c r="AY104" s="21" t="e">
        <f t="shared" si="36"/>
        <v>#DIV/0!</v>
      </c>
      <c r="AZ104" s="21" t="e">
        <f t="shared" si="37"/>
        <v>#DIV/0!</v>
      </c>
      <c r="BA104" s="23" t="e">
        <f t="shared" si="31"/>
        <v>#DIV/0!</v>
      </c>
    </row>
    <row r="105" spans="1:53" x14ac:dyDescent="0.25">
      <c r="A105" s="34"/>
      <c r="B105" s="34"/>
      <c r="C105" s="34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7"/>
      <c r="Q105" s="37"/>
      <c r="R105" s="35"/>
      <c r="S105" s="35"/>
      <c r="T105" s="35"/>
      <c r="U105" s="37"/>
      <c r="V105" s="37"/>
      <c r="W105" s="37"/>
      <c r="X105" s="37"/>
      <c r="Y105" s="37"/>
      <c r="Z105" s="37"/>
      <c r="AA105" s="35"/>
      <c r="AB105" s="35"/>
      <c r="AC105" s="35"/>
      <c r="AD105" s="37"/>
      <c r="AE105" s="37"/>
      <c r="AF105" s="37"/>
      <c r="AG105" s="35"/>
      <c r="AH105" s="35"/>
      <c r="AI105" s="35"/>
      <c r="AJ105" s="35"/>
      <c r="AK105" s="37"/>
      <c r="AL105" s="37"/>
      <c r="AM105" s="37"/>
      <c r="AN105" s="37"/>
      <c r="AO105" s="37"/>
      <c r="AP105" s="37"/>
      <c r="AQ105" s="37"/>
      <c r="AR105" s="37"/>
      <c r="AS105" s="37"/>
      <c r="AT105" s="31">
        <v>0</v>
      </c>
      <c r="AU105" s="20" t="e">
        <f t="shared" si="32"/>
        <v>#DIV/0!</v>
      </c>
      <c r="AV105" s="20" t="e">
        <f t="shared" si="33"/>
        <v>#DIV/0!</v>
      </c>
      <c r="AW105" s="20" t="e">
        <f t="shared" si="34"/>
        <v>#DIV/0!</v>
      </c>
      <c r="AX105" s="20" t="e">
        <f t="shared" si="35"/>
        <v>#DIV/0!</v>
      </c>
      <c r="AY105" s="20" t="e">
        <f t="shared" si="36"/>
        <v>#DIV/0!</v>
      </c>
      <c r="AZ105" s="20" t="e">
        <f t="shared" si="37"/>
        <v>#DIV/0!</v>
      </c>
      <c r="BA105" s="23" t="e">
        <f t="shared" si="31"/>
        <v>#DIV/0!</v>
      </c>
    </row>
    <row r="106" spans="1:53" s="5" customFormat="1" x14ac:dyDescent="0.25">
      <c r="A106" s="32"/>
      <c r="B106" s="32"/>
      <c r="C106" s="32"/>
      <c r="D106" s="33"/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  <c r="AD106" s="33"/>
      <c r="AE106" s="33"/>
      <c r="AF106" s="33"/>
      <c r="AG106" s="33"/>
      <c r="AH106" s="36"/>
      <c r="AI106" s="33"/>
      <c r="AJ106" s="33"/>
      <c r="AK106" s="33"/>
      <c r="AL106" s="33"/>
      <c r="AM106" s="33"/>
      <c r="AN106" s="33"/>
      <c r="AO106" s="33"/>
      <c r="AP106" s="33"/>
      <c r="AQ106" s="33"/>
      <c r="AR106" s="33"/>
      <c r="AS106" s="33"/>
      <c r="AT106" s="30">
        <v>0</v>
      </c>
      <c r="AU106" s="21" t="e">
        <f t="shared" si="32"/>
        <v>#DIV/0!</v>
      </c>
      <c r="AV106" s="21" t="e">
        <f t="shared" si="33"/>
        <v>#DIV/0!</v>
      </c>
      <c r="AW106" s="21" t="e">
        <f t="shared" si="34"/>
        <v>#DIV/0!</v>
      </c>
      <c r="AX106" s="21" t="e">
        <f t="shared" si="35"/>
        <v>#DIV/0!</v>
      </c>
      <c r="AY106" s="21" t="e">
        <f t="shared" si="36"/>
        <v>#DIV/0!</v>
      </c>
      <c r="AZ106" s="21" t="e">
        <f t="shared" si="37"/>
        <v>#DIV/0!</v>
      </c>
      <c r="BA106" s="23" t="e">
        <f t="shared" si="31"/>
        <v>#DIV/0!</v>
      </c>
    </row>
    <row r="107" spans="1:53" x14ac:dyDescent="0.25">
      <c r="A107" s="34"/>
      <c r="B107" s="34"/>
      <c r="C107" s="34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  <c r="R107" s="37"/>
      <c r="S107" s="37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  <c r="AD107" s="37"/>
      <c r="AE107" s="37"/>
      <c r="AF107" s="37"/>
      <c r="AG107" s="37"/>
      <c r="AH107" s="37"/>
      <c r="AI107" s="37"/>
      <c r="AJ107" s="37"/>
      <c r="AK107" s="37"/>
      <c r="AL107" s="37"/>
      <c r="AM107" s="37"/>
      <c r="AN107" s="37"/>
      <c r="AO107" s="37"/>
      <c r="AP107" s="37"/>
      <c r="AQ107" s="37"/>
      <c r="AR107" s="37"/>
      <c r="AS107" s="37"/>
      <c r="AT107" s="31">
        <v>0</v>
      </c>
      <c r="AU107" s="20" t="e">
        <f t="shared" si="32"/>
        <v>#DIV/0!</v>
      </c>
      <c r="AV107" s="20" t="e">
        <f t="shared" si="33"/>
        <v>#DIV/0!</v>
      </c>
      <c r="AW107" s="20" t="e">
        <f t="shared" si="34"/>
        <v>#DIV/0!</v>
      </c>
      <c r="AX107" s="20" t="e">
        <f t="shared" si="35"/>
        <v>#DIV/0!</v>
      </c>
      <c r="AY107" s="20" t="e">
        <f t="shared" si="36"/>
        <v>#DIV/0!</v>
      </c>
      <c r="AZ107" s="20" t="e">
        <f t="shared" si="37"/>
        <v>#DIV/0!</v>
      </c>
      <c r="BA107" s="23" t="e">
        <f t="shared" si="31"/>
        <v>#DIV/0!</v>
      </c>
    </row>
    <row r="108" spans="1:53" s="5" customFormat="1" x14ac:dyDescent="0.25">
      <c r="A108" s="32"/>
      <c r="B108" s="32"/>
      <c r="C108" s="32"/>
      <c r="D108" s="33"/>
      <c r="E108" s="33"/>
      <c r="F108" s="33"/>
      <c r="G108" s="33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6"/>
      <c r="V108" s="36"/>
      <c r="W108" s="36"/>
      <c r="X108" s="36"/>
      <c r="Y108" s="36"/>
      <c r="Z108" s="36"/>
      <c r="AA108" s="36"/>
      <c r="AB108" s="36"/>
      <c r="AC108" s="36"/>
      <c r="AD108" s="36"/>
      <c r="AE108" s="36"/>
      <c r="AF108" s="36"/>
      <c r="AG108" s="36"/>
      <c r="AH108" s="36"/>
      <c r="AI108" s="36"/>
      <c r="AJ108" s="36"/>
      <c r="AK108" s="36"/>
      <c r="AL108" s="36"/>
      <c r="AM108" s="36"/>
      <c r="AN108" s="36"/>
      <c r="AO108" s="36"/>
      <c r="AP108" s="36"/>
      <c r="AQ108" s="36"/>
      <c r="AR108" s="36"/>
      <c r="AS108" s="36"/>
      <c r="AT108" s="30">
        <v>0</v>
      </c>
      <c r="AU108" s="21" t="e">
        <f t="shared" si="32"/>
        <v>#DIV/0!</v>
      </c>
      <c r="AV108" s="21" t="e">
        <f t="shared" si="33"/>
        <v>#DIV/0!</v>
      </c>
      <c r="AW108" s="21" t="e">
        <f t="shared" si="34"/>
        <v>#DIV/0!</v>
      </c>
      <c r="AX108" s="21" t="e">
        <f t="shared" si="35"/>
        <v>#DIV/0!</v>
      </c>
      <c r="AY108" s="21" t="e">
        <f t="shared" si="36"/>
        <v>#DIV/0!</v>
      </c>
      <c r="AZ108" s="21" t="e">
        <f t="shared" si="37"/>
        <v>#DIV/0!</v>
      </c>
      <c r="BA108" s="23" t="e">
        <f t="shared" si="31"/>
        <v>#DIV/0!</v>
      </c>
    </row>
    <row r="109" spans="1:53" x14ac:dyDescent="0.25">
      <c r="A109" s="34"/>
      <c r="B109" s="34"/>
      <c r="C109" s="34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  <c r="X109" s="35"/>
      <c r="Y109" s="35"/>
      <c r="Z109" s="35"/>
      <c r="AA109" s="35"/>
      <c r="AB109" s="35"/>
      <c r="AC109" s="35"/>
      <c r="AD109" s="35"/>
      <c r="AE109" s="37"/>
      <c r="AF109" s="37"/>
      <c r="AG109" s="37"/>
      <c r="AH109" s="37"/>
      <c r="AI109" s="37"/>
      <c r="AJ109" s="37"/>
      <c r="AK109" s="37"/>
      <c r="AL109" s="37"/>
      <c r="AM109" s="37"/>
      <c r="AN109" s="37"/>
      <c r="AO109" s="37"/>
      <c r="AP109" s="37"/>
      <c r="AQ109" s="37"/>
      <c r="AR109" s="37"/>
      <c r="AS109" s="37"/>
      <c r="AT109" s="31">
        <v>0</v>
      </c>
      <c r="AU109" s="20" t="e">
        <f t="shared" si="32"/>
        <v>#DIV/0!</v>
      </c>
      <c r="AV109" s="20" t="e">
        <f t="shared" si="33"/>
        <v>#DIV/0!</v>
      </c>
      <c r="AW109" s="20" t="e">
        <f t="shared" si="34"/>
        <v>#DIV/0!</v>
      </c>
      <c r="AX109" s="20" t="e">
        <f t="shared" si="35"/>
        <v>#DIV/0!</v>
      </c>
      <c r="AY109" s="20" t="e">
        <f t="shared" si="36"/>
        <v>#DIV/0!</v>
      </c>
      <c r="AZ109" s="20" t="e">
        <f t="shared" si="37"/>
        <v>#DIV/0!</v>
      </c>
      <c r="BA109" s="23" t="e">
        <f t="shared" si="31"/>
        <v>#DIV/0!</v>
      </c>
    </row>
    <row r="110" spans="1:53" s="5" customFormat="1" x14ac:dyDescent="0.25">
      <c r="A110" s="32"/>
      <c r="B110" s="32"/>
      <c r="C110" s="32"/>
      <c r="D110" s="33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6"/>
      <c r="AD110" s="33"/>
      <c r="AE110" s="33"/>
      <c r="AF110" s="33"/>
      <c r="AG110" s="33"/>
      <c r="AH110" s="33"/>
      <c r="AI110" s="33"/>
      <c r="AJ110" s="33"/>
      <c r="AK110" s="33"/>
      <c r="AL110" s="33"/>
      <c r="AM110" s="33"/>
      <c r="AN110" s="33"/>
      <c r="AO110" s="33"/>
      <c r="AP110" s="33"/>
      <c r="AQ110" s="33"/>
      <c r="AR110" s="33"/>
      <c r="AS110" s="33"/>
      <c r="AT110" s="30">
        <v>0</v>
      </c>
      <c r="AU110" s="21" t="e">
        <f t="shared" si="32"/>
        <v>#DIV/0!</v>
      </c>
      <c r="AV110" s="21" t="e">
        <f t="shared" si="33"/>
        <v>#DIV/0!</v>
      </c>
      <c r="AW110" s="21" t="e">
        <f t="shared" si="34"/>
        <v>#DIV/0!</v>
      </c>
      <c r="AX110" s="21" t="e">
        <f t="shared" si="35"/>
        <v>#DIV/0!</v>
      </c>
      <c r="AY110" s="21" t="e">
        <f t="shared" si="36"/>
        <v>#DIV/0!</v>
      </c>
      <c r="AZ110" s="21" t="e">
        <f t="shared" si="37"/>
        <v>#DIV/0!</v>
      </c>
      <c r="BA110" s="23" t="e">
        <f t="shared" si="31"/>
        <v>#DIV/0!</v>
      </c>
    </row>
    <row r="111" spans="1:53" x14ac:dyDescent="0.25">
      <c r="A111" s="34"/>
      <c r="B111" s="34"/>
      <c r="C111" s="34"/>
      <c r="D111" s="35"/>
      <c r="E111" s="35"/>
      <c r="F111" s="35"/>
      <c r="G111" s="35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  <c r="AD111" s="37"/>
      <c r="AE111" s="37"/>
      <c r="AF111" s="37"/>
      <c r="AG111" s="37"/>
      <c r="AH111" s="37"/>
      <c r="AI111" s="37"/>
      <c r="AJ111" s="37"/>
      <c r="AK111" s="37"/>
      <c r="AL111" s="37"/>
      <c r="AM111" s="37"/>
      <c r="AN111" s="37"/>
      <c r="AO111" s="37"/>
      <c r="AP111" s="37"/>
      <c r="AQ111" s="37"/>
      <c r="AR111" s="37"/>
      <c r="AS111" s="37"/>
      <c r="AT111" s="31">
        <v>0</v>
      </c>
      <c r="AU111" s="20" t="e">
        <f t="shared" si="32"/>
        <v>#DIV/0!</v>
      </c>
      <c r="AV111" s="20" t="e">
        <f t="shared" si="33"/>
        <v>#DIV/0!</v>
      </c>
      <c r="AW111" s="20" t="e">
        <f t="shared" si="34"/>
        <v>#DIV/0!</v>
      </c>
      <c r="AX111" s="20" t="e">
        <f t="shared" si="35"/>
        <v>#DIV/0!</v>
      </c>
      <c r="AY111" s="20" t="e">
        <f t="shared" si="36"/>
        <v>#DIV/0!</v>
      </c>
      <c r="AZ111" s="20" t="e">
        <f t="shared" si="37"/>
        <v>#DIV/0!</v>
      </c>
      <c r="BA111" s="23" t="e">
        <f t="shared" si="31"/>
        <v>#DIV/0!</v>
      </c>
    </row>
    <row r="112" spans="1:53" s="5" customFormat="1" x14ac:dyDescent="0.25">
      <c r="A112" s="32"/>
      <c r="B112" s="32"/>
      <c r="C112" s="32"/>
      <c r="D112" s="36"/>
      <c r="E112" s="36"/>
      <c r="F112" s="36"/>
      <c r="G112" s="36"/>
      <c r="H112" s="36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6"/>
      <c r="W112" s="36"/>
      <c r="X112" s="36"/>
      <c r="Y112" s="36"/>
      <c r="Z112" s="36"/>
      <c r="AA112" s="36"/>
      <c r="AB112" s="36"/>
      <c r="AC112" s="36"/>
      <c r="AD112" s="36"/>
      <c r="AE112" s="36"/>
      <c r="AF112" s="36"/>
      <c r="AG112" s="36"/>
      <c r="AH112" s="36"/>
      <c r="AI112" s="36"/>
      <c r="AJ112" s="36"/>
      <c r="AK112" s="36"/>
      <c r="AL112" s="36"/>
      <c r="AM112" s="36"/>
      <c r="AN112" s="36"/>
      <c r="AO112" s="36"/>
      <c r="AP112" s="36"/>
      <c r="AQ112" s="36"/>
      <c r="AR112" s="36"/>
      <c r="AS112" s="36"/>
      <c r="AT112" s="30">
        <v>0</v>
      </c>
      <c r="AU112" s="21" t="e">
        <f t="shared" si="32"/>
        <v>#DIV/0!</v>
      </c>
      <c r="AV112" s="21" t="e">
        <f t="shared" si="33"/>
        <v>#DIV/0!</v>
      </c>
      <c r="AW112" s="21" t="e">
        <f t="shared" si="34"/>
        <v>#DIV/0!</v>
      </c>
      <c r="AX112" s="21" t="e">
        <f t="shared" si="35"/>
        <v>#DIV/0!</v>
      </c>
      <c r="AY112" s="21" t="e">
        <f t="shared" si="36"/>
        <v>#DIV/0!</v>
      </c>
      <c r="AZ112" s="21" t="e">
        <f t="shared" si="37"/>
        <v>#DIV/0!</v>
      </c>
      <c r="BA112" s="23" t="e">
        <f t="shared" si="31"/>
        <v>#DIV/0!</v>
      </c>
    </row>
    <row r="113" spans="1:53" x14ac:dyDescent="0.25">
      <c r="A113" s="34"/>
      <c r="B113" s="34"/>
      <c r="C113" s="34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5"/>
      <c r="AK113" s="35"/>
      <c r="AL113" s="37"/>
      <c r="AM113" s="35"/>
      <c r="AN113" s="35"/>
      <c r="AO113" s="35"/>
      <c r="AP113" s="35"/>
      <c r="AQ113" s="35"/>
      <c r="AR113" s="35"/>
      <c r="AS113" s="35"/>
      <c r="AT113" s="31">
        <v>0</v>
      </c>
      <c r="AU113" s="20" t="e">
        <f t="shared" si="32"/>
        <v>#DIV/0!</v>
      </c>
      <c r="AV113" s="20" t="e">
        <f t="shared" si="33"/>
        <v>#DIV/0!</v>
      </c>
      <c r="AW113" s="20" t="e">
        <f t="shared" si="34"/>
        <v>#DIV/0!</v>
      </c>
      <c r="AX113" s="20" t="e">
        <f t="shared" si="35"/>
        <v>#DIV/0!</v>
      </c>
      <c r="AY113" s="20" t="e">
        <f t="shared" si="36"/>
        <v>#DIV/0!</v>
      </c>
      <c r="AZ113" s="20" t="e">
        <f t="shared" si="37"/>
        <v>#DIV/0!</v>
      </c>
      <c r="BA113" s="23" t="e">
        <f t="shared" si="31"/>
        <v>#DIV/0!</v>
      </c>
    </row>
    <row r="114" spans="1:53" s="5" customFormat="1" x14ac:dyDescent="0.25">
      <c r="A114" s="32"/>
      <c r="B114" s="32"/>
      <c r="C114" s="32"/>
      <c r="D114" s="33"/>
      <c r="E114" s="33"/>
      <c r="F114" s="33"/>
      <c r="G114" s="33"/>
      <c r="H114" s="33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S114" s="33"/>
      <c r="T114" s="36"/>
      <c r="U114" s="36"/>
      <c r="V114" s="36"/>
      <c r="W114" s="36"/>
      <c r="X114" s="33"/>
      <c r="Y114" s="33"/>
      <c r="Z114" s="33"/>
      <c r="AA114" s="36"/>
      <c r="AB114" s="36"/>
      <c r="AC114" s="36"/>
      <c r="AD114" s="33"/>
      <c r="AE114" s="33"/>
      <c r="AF114" s="36"/>
      <c r="AG114" s="36"/>
      <c r="AH114" s="36"/>
      <c r="AI114" s="36"/>
      <c r="AJ114" s="36"/>
      <c r="AK114" s="36"/>
      <c r="AL114" s="33"/>
      <c r="AM114" s="33"/>
      <c r="AN114" s="36"/>
      <c r="AO114" s="36"/>
      <c r="AP114" s="33"/>
      <c r="AQ114" s="33"/>
      <c r="AR114" s="33"/>
      <c r="AS114" s="33"/>
      <c r="AT114" s="30">
        <v>0</v>
      </c>
      <c r="AU114" s="21" t="e">
        <f t="shared" si="32"/>
        <v>#DIV/0!</v>
      </c>
      <c r="AV114" s="21" t="e">
        <f t="shared" si="33"/>
        <v>#DIV/0!</v>
      </c>
      <c r="AW114" s="21" t="e">
        <f t="shared" si="34"/>
        <v>#DIV/0!</v>
      </c>
      <c r="AX114" s="21" t="e">
        <f t="shared" si="35"/>
        <v>#DIV/0!</v>
      </c>
      <c r="AY114" s="21" t="e">
        <f t="shared" si="36"/>
        <v>#DIV/0!</v>
      </c>
      <c r="AZ114" s="21" t="e">
        <f t="shared" si="37"/>
        <v>#DIV/0!</v>
      </c>
      <c r="BA114" s="23" t="e">
        <f t="shared" si="31"/>
        <v>#DIV/0!</v>
      </c>
    </row>
    <row r="115" spans="1:53" x14ac:dyDescent="0.25">
      <c r="A115" s="34"/>
      <c r="B115" s="34"/>
      <c r="C115" s="34"/>
      <c r="D115" s="37"/>
      <c r="E115" s="37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37"/>
      <c r="Q115" s="37"/>
      <c r="R115" s="37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  <c r="AD115" s="37"/>
      <c r="AE115" s="37"/>
      <c r="AF115" s="37"/>
      <c r="AG115" s="37"/>
      <c r="AH115" s="37"/>
      <c r="AI115" s="37"/>
      <c r="AJ115" s="37"/>
      <c r="AK115" s="37"/>
      <c r="AL115" s="37"/>
      <c r="AM115" s="37"/>
      <c r="AN115" s="37"/>
      <c r="AO115" s="37"/>
      <c r="AP115" s="37"/>
      <c r="AQ115" s="37"/>
      <c r="AR115" s="37"/>
      <c r="AS115" s="37"/>
      <c r="AT115" s="31">
        <v>0</v>
      </c>
      <c r="AU115" s="20" t="e">
        <f t="shared" si="32"/>
        <v>#DIV/0!</v>
      </c>
      <c r="AV115" s="20" t="e">
        <f t="shared" si="33"/>
        <v>#DIV/0!</v>
      </c>
      <c r="AW115" s="20" t="e">
        <f t="shared" si="34"/>
        <v>#DIV/0!</v>
      </c>
      <c r="AX115" s="20" t="e">
        <f t="shared" si="35"/>
        <v>#DIV/0!</v>
      </c>
      <c r="AY115" s="20" t="e">
        <f t="shared" si="36"/>
        <v>#DIV/0!</v>
      </c>
      <c r="AZ115" s="20" t="e">
        <f t="shared" si="37"/>
        <v>#DIV/0!</v>
      </c>
      <c r="BA115" s="23" t="e">
        <f t="shared" si="31"/>
        <v>#DIV/0!</v>
      </c>
    </row>
    <row r="116" spans="1:53" x14ac:dyDescent="0.25">
      <c r="A116" s="34"/>
      <c r="B116" s="34"/>
      <c r="C116" s="34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35"/>
      <c r="AE116" s="35"/>
      <c r="AF116" s="35"/>
      <c r="AG116" s="35"/>
      <c r="AH116" s="35"/>
      <c r="AI116" s="35"/>
      <c r="AJ116" s="35"/>
      <c r="AK116" s="35"/>
      <c r="AL116" s="35"/>
      <c r="AM116" s="35"/>
      <c r="AN116" s="35"/>
      <c r="AO116" s="35"/>
      <c r="AP116" s="35"/>
      <c r="AQ116" s="35"/>
      <c r="AR116" s="35"/>
      <c r="AS116" s="35"/>
      <c r="AT116" s="31">
        <v>0</v>
      </c>
      <c r="AU116" s="20" t="e">
        <f t="shared" ref="AU116:AZ122" si="38">AN116/AN529</f>
        <v>#DIV/0!</v>
      </c>
      <c r="AV116" s="20" t="e">
        <f t="shared" si="38"/>
        <v>#DIV/0!</v>
      </c>
      <c r="AW116" s="20" t="e">
        <f t="shared" si="38"/>
        <v>#DIV/0!</v>
      </c>
      <c r="AX116" s="20" t="e">
        <f t="shared" si="38"/>
        <v>#DIV/0!</v>
      </c>
      <c r="AY116" s="20" t="e">
        <f t="shared" si="38"/>
        <v>#DIV/0!</v>
      </c>
      <c r="AZ116" s="20" t="e">
        <f t="shared" si="38"/>
        <v>#DIV/0!</v>
      </c>
      <c r="BA116" s="23" t="e">
        <f t="shared" si="31"/>
        <v>#DIV/0!</v>
      </c>
    </row>
    <row r="117" spans="1:53" s="5" customFormat="1" x14ac:dyDescent="0.25">
      <c r="A117" s="32"/>
      <c r="B117" s="32"/>
      <c r="C117" s="32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  <c r="AM117" s="36"/>
      <c r="AN117" s="33"/>
      <c r="AO117" s="36"/>
      <c r="AP117" s="33"/>
      <c r="AQ117" s="33"/>
      <c r="AR117" s="33"/>
      <c r="AS117" s="33"/>
      <c r="AT117" s="30">
        <v>0</v>
      </c>
      <c r="AU117" s="21" t="e">
        <f t="shared" si="38"/>
        <v>#DIV/0!</v>
      </c>
      <c r="AV117" s="21" t="e">
        <f t="shared" si="38"/>
        <v>#DIV/0!</v>
      </c>
      <c r="AW117" s="21" t="e">
        <f t="shared" si="38"/>
        <v>#DIV/0!</v>
      </c>
      <c r="AX117" s="21" t="e">
        <f t="shared" si="38"/>
        <v>#DIV/0!</v>
      </c>
      <c r="AY117" s="21" t="e">
        <f t="shared" si="38"/>
        <v>#DIV/0!</v>
      </c>
      <c r="AZ117" s="21" t="e">
        <f t="shared" si="38"/>
        <v>#DIV/0!</v>
      </c>
      <c r="BA117" s="23" t="e">
        <f t="shared" si="31"/>
        <v>#DIV/0!</v>
      </c>
    </row>
    <row r="118" spans="1:53" x14ac:dyDescent="0.25">
      <c r="A118" s="34"/>
      <c r="B118" s="34"/>
      <c r="C118" s="34"/>
      <c r="D118" s="35"/>
      <c r="E118" s="35"/>
      <c r="F118" s="35"/>
      <c r="G118" s="35"/>
      <c r="H118" s="37"/>
      <c r="I118" s="35"/>
      <c r="J118" s="35"/>
      <c r="K118" s="35"/>
      <c r="L118" s="35"/>
      <c r="M118" s="37"/>
      <c r="N118" s="37"/>
      <c r="O118" s="37"/>
      <c r="P118" s="37"/>
      <c r="Q118" s="37"/>
      <c r="R118" s="37"/>
      <c r="S118" s="37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  <c r="AD118" s="37"/>
      <c r="AE118" s="37"/>
      <c r="AF118" s="37"/>
      <c r="AG118" s="37"/>
      <c r="AH118" s="37"/>
      <c r="AI118" s="37"/>
      <c r="AJ118" s="37"/>
      <c r="AK118" s="37"/>
      <c r="AL118" s="37"/>
      <c r="AM118" s="37"/>
      <c r="AN118" s="37"/>
      <c r="AO118" s="37"/>
      <c r="AP118" s="37"/>
      <c r="AQ118" s="37"/>
      <c r="AR118" s="37"/>
      <c r="AS118" s="37"/>
      <c r="AT118" s="31">
        <v>0</v>
      </c>
      <c r="AU118" s="20" t="e">
        <f t="shared" si="38"/>
        <v>#DIV/0!</v>
      </c>
      <c r="AV118" s="20" t="e">
        <f t="shared" si="38"/>
        <v>#DIV/0!</v>
      </c>
      <c r="AW118" s="20" t="e">
        <f t="shared" si="38"/>
        <v>#DIV/0!</v>
      </c>
      <c r="AX118" s="20" t="e">
        <f t="shared" si="38"/>
        <v>#DIV/0!</v>
      </c>
      <c r="AY118" s="20" t="e">
        <f t="shared" si="38"/>
        <v>#DIV/0!</v>
      </c>
      <c r="AZ118" s="20" t="e">
        <f t="shared" si="38"/>
        <v>#DIV/0!</v>
      </c>
      <c r="BA118" s="23" t="e">
        <f t="shared" si="31"/>
        <v>#DIV/0!</v>
      </c>
    </row>
    <row r="119" spans="1:53" s="5" customFormat="1" x14ac:dyDescent="0.25">
      <c r="A119" s="32"/>
      <c r="B119" s="32"/>
      <c r="C119" s="32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  <c r="AM119" s="33"/>
      <c r="AN119" s="33"/>
      <c r="AO119" s="33"/>
      <c r="AP119" s="33"/>
      <c r="AQ119" s="33"/>
      <c r="AR119" s="33"/>
      <c r="AS119" s="33"/>
      <c r="AT119" s="30">
        <v>0</v>
      </c>
      <c r="AU119" s="21" t="e">
        <f t="shared" si="38"/>
        <v>#DIV/0!</v>
      </c>
      <c r="AV119" s="21" t="e">
        <f t="shared" si="38"/>
        <v>#DIV/0!</v>
      </c>
      <c r="AW119" s="21" t="e">
        <f t="shared" si="38"/>
        <v>#DIV/0!</v>
      </c>
      <c r="AX119" s="21" t="e">
        <f t="shared" si="38"/>
        <v>#DIV/0!</v>
      </c>
      <c r="AY119" s="21" t="e">
        <f t="shared" si="38"/>
        <v>#DIV/0!</v>
      </c>
      <c r="AZ119" s="21" t="e">
        <f t="shared" si="38"/>
        <v>#DIV/0!</v>
      </c>
      <c r="BA119" s="23" t="e">
        <f t="shared" si="31"/>
        <v>#DIV/0!</v>
      </c>
    </row>
    <row r="120" spans="1:53" x14ac:dyDescent="0.25">
      <c r="A120" s="34"/>
      <c r="B120" s="34"/>
      <c r="C120" s="34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35"/>
      <c r="Z120" s="35"/>
      <c r="AA120" s="35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  <c r="AM120" s="35"/>
      <c r="AN120" s="35"/>
      <c r="AO120" s="35"/>
      <c r="AP120" s="35"/>
      <c r="AQ120" s="35"/>
      <c r="AR120" s="35"/>
      <c r="AS120" s="35"/>
      <c r="AT120" s="31">
        <v>0</v>
      </c>
      <c r="AU120" s="20" t="e">
        <f t="shared" si="38"/>
        <v>#DIV/0!</v>
      </c>
      <c r="AV120" s="20" t="e">
        <f t="shared" si="38"/>
        <v>#DIV/0!</v>
      </c>
      <c r="AW120" s="20" t="e">
        <f t="shared" si="38"/>
        <v>#DIV/0!</v>
      </c>
      <c r="AX120" s="20" t="e">
        <f t="shared" si="38"/>
        <v>#DIV/0!</v>
      </c>
      <c r="AY120" s="20" t="e">
        <f t="shared" si="38"/>
        <v>#DIV/0!</v>
      </c>
      <c r="AZ120" s="20" t="e">
        <f t="shared" si="38"/>
        <v>#DIV/0!</v>
      </c>
      <c r="BA120" s="23" t="e">
        <f t="shared" si="31"/>
        <v>#DIV/0!</v>
      </c>
    </row>
    <row r="121" spans="1:53" s="5" customFormat="1" x14ac:dyDescent="0.25">
      <c r="A121" s="32"/>
      <c r="B121" s="32"/>
      <c r="C121" s="32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  <c r="AM121" s="33"/>
      <c r="AN121" s="33"/>
      <c r="AO121" s="33"/>
      <c r="AP121" s="33"/>
      <c r="AQ121" s="33"/>
      <c r="AR121" s="33"/>
      <c r="AS121" s="33"/>
      <c r="AT121" s="30">
        <v>0</v>
      </c>
      <c r="AU121" s="21" t="e">
        <f t="shared" si="38"/>
        <v>#DIV/0!</v>
      </c>
      <c r="AV121" s="21" t="e">
        <f t="shared" si="38"/>
        <v>#DIV/0!</v>
      </c>
      <c r="AW121" s="21" t="e">
        <f t="shared" si="38"/>
        <v>#DIV/0!</v>
      </c>
      <c r="AX121" s="21" t="e">
        <f t="shared" si="38"/>
        <v>#DIV/0!</v>
      </c>
      <c r="AY121" s="21" t="e">
        <f t="shared" si="38"/>
        <v>#DIV/0!</v>
      </c>
      <c r="AZ121" s="21" t="e">
        <f t="shared" si="38"/>
        <v>#DIV/0!</v>
      </c>
      <c r="BA121" s="23" t="e">
        <f t="shared" si="31"/>
        <v>#DIV/0!</v>
      </c>
    </row>
    <row r="122" spans="1:53" x14ac:dyDescent="0.25">
      <c r="A122" s="34"/>
      <c r="B122" s="34"/>
      <c r="C122" s="34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  <c r="AS122" s="35"/>
      <c r="AT122" s="31">
        <v>0</v>
      </c>
      <c r="AU122" s="20" t="e">
        <f t="shared" si="38"/>
        <v>#DIV/0!</v>
      </c>
      <c r="AV122" s="20" t="e">
        <f t="shared" si="38"/>
        <v>#DIV/0!</v>
      </c>
      <c r="AW122" s="20" t="e">
        <f t="shared" si="38"/>
        <v>#DIV/0!</v>
      </c>
      <c r="AX122" s="20" t="e">
        <f t="shared" si="38"/>
        <v>#DIV/0!</v>
      </c>
      <c r="AY122" s="20" t="e">
        <f t="shared" si="38"/>
        <v>#DIV/0!</v>
      </c>
      <c r="AZ122" s="20" t="e">
        <f t="shared" si="38"/>
        <v>#DIV/0!</v>
      </c>
      <c r="BA122" s="23" t="e">
        <f t="shared" si="31"/>
        <v>#DIV/0!</v>
      </c>
    </row>
    <row r="123" spans="1:53" s="5" customFormat="1" x14ac:dyDescent="0.25">
      <c r="A123" s="34"/>
      <c r="B123" s="34"/>
      <c r="C123" s="34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7"/>
      <c r="AC123" s="37"/>
      <c r="AD123" s="37"/>
      <c r="AE123" s="37"/>
      <c r="AF123" s="37"/>
      <c r="AG123" s="37"/>
      <c r="AH123" s="37"/>
      <c r="AI123" s="37"/>
      <c r="AJ123" s="37"/>
      <c r="AK123" s="37"/>
      <c r="AL123" s="37"/>
      <c r="AM123" s="37"/>
      <c r="AN123" s="37"/>
      <c r="AO123" s="37"/>
      <c r="AP123" s="37"/>
      <c r="AQ123" s="37"/>
      <c r="AR123" s="37"/>
      <c r="AS123" s="37"/>
      <c r="AT123" s="21" t="e">
        <f t="shared" ref="AT123:AY123" si="39">AN123/AO$78</f>
        <v>#DIV/0!</v>
      </c>
      <c r="AU123" s="21" t="e">
        <f t="shared" si="39"/>
        <v>#DIV/0!</v>
      </c>
      <c r="AV123" s="21" t="e">
        <f t="shared" si="39"/>
        <v>#DIV/0!</v>
      </c>
      <c r="AW123" s="21" t="e">
        <f t="shared" si="39"/>
        <v>#DIV/0!</v>
      </c>
      <c r="AX123" s="21" t="e">
        <f t="shared" si="39"/>
        <v>#DIV/0!</v>
      </c>
      <c r="AY123" s="21" t="e">
        <f t="shared" si="39"/>
        <v>#DIV/0!</v>
      </c>
      <c r="BA123" s="23" t="e">
        <f>AVERAGE(AW123,AX123,AY123)</f>
        <v>#DIV/0!</v>
      </c>
    </row>
    <row r="124" spans="1:53" x14ac:dyDescent="0.25">
      <c r="A124" s="34"/>
      <c r="B124" s="32"/>
      <c r="C124" s="32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6"/>
      <c r="AF124" s="33"/>
      <c r="AG124" s="33"/>
      <c r="AH124" s="33"/>
      <c r="AI124" s="33"/>
      <c r="AJ124" s="36"/>
      <c r="AK124" s="36"/>
      <c r="AL124" s="33"/>
      <c r="AM124" s="33"/>
      <c r="AN124" s="36"/>
      <c r="AO124" s="33"/>
      <c r="AP124" s="36"/>
      <c r="AQ124" s="36"/>
      <c r="AR124" s="33"/>
      <c r="AS124" s="36"/>
      <c r="AT124" s="21" t="e">
        <f t="shared" ref="AT124:AY124" si="40">AN124/AO$58</f>
        <v>#DIV/0!</v>
      </c>
      <c r="AU124" s="21" t="e">
        <f t="shared" si="40"/>
        <v>#DIV/0!</v>
      </c>
      <c r="AV124" s="21" t="e">
        <f t="shared" si="40"/>
        <v>#DIV/0!</v>
      </c>
      <c r="AW124" s="21" t="e">
        <f t="shared" si="40"/>
        <v>#DIV/0!</v>
      </c>
      <c r="AX124" s="21" t="e">
        <f t="shared" si="40"/>
        <v>#DIV/0!</v>
      </c>
      <c r="AY124" s="21" t="e">
        <f t="shared" si="40"/>
        <v>#DIV/0!</v>
      </c>
      <c r="BA124" s="23" t="e">
        <f>AVERAGE(AW124,AX124,AY124)</f>
        <v>#DIV/0!</v>
      </c>
    </row>
    <row r="125" spans="1:53" s="5" customFormat="1" x14ac:dyDescent="0.25">
      <c r="A125" s="34"/>
      <c r="B125" s="34"/>
      <c r="C125" s="34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  <c r="AA125" s="35"/>
      <c r="AB125" s="35"/>
      <c r="AC125" s="35"/>
      <c r="AD125" s="35"/>
      <c r="AE125" s="35"/>
      <c r="AF125" s="35"/>
      <c r="AG125" s="35"/>
      <c r="AH125" s="35"/>
      <c r="AI125" s="35"/>
      <c r="AJ125" s="35"/>
      <c r="AK125" s="35"/>
      <c r="AL125" s="35"/>
      <c r="AM125" s="35"/>
      <c r="AN125" s="35"/>
      <c r="AO125" s="35"/>
      <c r="AP125" s="35"/>
      <c r="AQ125" s="35"/>
      <c r="AR125" s="35"/>
      <c r="AS125" s="35"/>
      <c r="AT125" s="21" t="e">
        <f t="shared" ref="AT125:AY125" si="41">AN125/AO$37</f>
        <v>#DIV/0!</v>
      </c>
      <c r="AU125" s="21" t="e">
        <f t="shared" si="41"/>
        <v>#DIV/0!</v>
      </c>
      <c r="AV125" s="21" t="e">
        <f t="shared" si="41"/>
        <v>#DIV/0!</v>
      </c>
      <c r="AW125" s="21" t="e">
        <f t="shared" si="41"/>
        <v>#DIV/0!</v>
      </c>
      <c r="AX125" s="21" t="e">
        <f t="shared" si="41"/>
        <v>#DIV/0!</v>
      </c>
      <c r="AY125" s="21" t="e">
        <f t="shared" si="41"/>
        <v>#DIV/0!</v>
      </c>
      <c r="AZ125"/>
      <c r="BA125" s="23" t="e">
        <f>AVERAGE(AW125,AX125,AY125)</f>
        <v>#DIV/0!</v>
      </c>
    </row>
    <row r="126" spans="1:53" x14ac:dyDescent="0.25">
      <c r="A126" s="34"/>
      <c r="B126" s="32"/>
      <c r="C126" s="32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36"/>
      <c r="AJ126" s="36"/>
      <c r="AK126" s="36"/>
      <c r="AL126" s="36"/>
      <c r="AM126" s="36"/>
      <c r="AN126" s="36"/>
      <c r="AO126" s="36"/>
      <c r="AP126" s="36"/>
      <c r="AQ126" s="36"/>
      <c r="AR126" s="36"/>
      <c r="AS126" s="36"/>
      <c r="AT126" s="20">
        <f t="shared" ref="AT126:AY126" si="42">AN126/V$20</f>
        <v>0</v>
      </c>
      <c r="AU126" s="20">
        <f t="shared" si="42"/>
        <v>0</v>
      </c>
      <c r="AV126" s="20">
        <f t="shared" si="42"/>
        <v>0</v>
      </c>
      <c r="AW126" s="20">
        <f t="shared" si="42"/>
        <v>0</v>
      </c>
      <c r="AX126" s="20">
        <f t="shared" si="42"/>
        <v>0</v>
      </c>
      <c r="AY126" s="20">
        <f t="shared" si="42"/>
        <v>0</v>
      </c>
      <c r="AZ126" s="5"/>
      <c r="BA126" s="23">
        <f>AVERAGE(AW126,AX126,AY126)</f>
        <v>0</v>
      </c>
    </row>
    <row r="127" spans="1:53" x14ac:dyDescent="0.25">
      <c r="A127" s="34"/>
      <c r="B127" s="34"/>
      <c r="C127" s="34"/>
      <c r="D127" s="37"/>
      <c r="E127" s="37"/>
      <c r="F127" s="37"/>
      <c r="G127" s="37"/>
      <c r="H127" s="37"/>
      <c r="I127" s="37"/>
      <c r="J127" s="37"/>
      <c r="K127" s="37"/>
      <c r="L127" s="37"/>
      <c r="M127" s="37"/>
      <c r="N127" s="37"/>
      <c r="O127" s="37"/>
      <c r="P127" s="37"/>
      <c r="Q127" s="37"/>
      <c r="R127" s="37"/>
      <c r="S127" s="37"/>
      <c r="T127" s="37"/>
      <c r="U127" s="37"/>
      <c r="V127" s="37"/>
      <c r="W127" s="37"/>
      <c r="X127" s="37"/>
      <c r="Y127" s="37"/>
      <c r="Z127" s="37"/>
      <c r="AA127" s="37"/>
      <c r="AB127" s="37"/>
      <c r="AC127" s="37"/>
      <c r="AD127" s="37"/>
      <c r="AE127" s="37"/>
      <c r="AF127" s="37"/>
      <c r="AG127" s="37"/>
      <c r="AH127" s="37"/>
      <c r="AI127" s="37"/>
      <c r="AJ127" s="37"/>
      <c r="AK127" s="37"/>
      <c r="AL127" s="37"/>
      <c r="AM127" s="37"/>
      <c r="AN127" s="37"/>
      <c r="AO127" s="37"/>
      <c r="AP127" s="37"/>
      <c r="AQ127" s="37"/>
      <c r="AR127" s="37"/>
      <c r="AS127" s="37"/>
      <c r="AT127" s="31">
        <v>0</v>
      </c>
      <c r="AU127" s="20" t="e">
        <f t="shared" ref="AU127:AZ130" si="43">AN127/AN540</f>
        <v>#DIV/0!</v>
      </c>
      <c r="AV127" s="20" t="e">
        <f t="shared" si="43"/>
        <v>#DIV/0!</v>
      </c>
      <c r="AW127" s="20" t="e">
        <f t="shared" si="43"/>
        <v>#DIV/0!</v>
      </c>
      <c r="AX127" s="20" t="e">
        <f t="shared" si="43"/>
        <v>#DIV/0!</v>
      </c>
      <c r="AY127" s="20" t="e">
        <f t="shared" si="43"/>
        <v>#DIV/0!</v>
      </c>
      <c r="AZ127" s="20" t="e">
        <f t="shared" si="43"/>
        <v>#DIV/0!</v>
      </c>
      <c r="BA127" s="23" t="e">
        <f t="shared" si="31"/>
        <v>#DIV/0!</v>
      </c>
    </row>
    <row r="128" spans="1:53" s="5" customFormat="1" x14ac:dyDescent="0.25">
      <c r="A128" s="32"/>
      <c r="B128" s="32"/>
      <c r="C128" s="32"/>
      <c r="D128" s="33"/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  <c r="AJ128" s="36"/>
      <c r="AK128" s="36"/>
      <c r="AL128" s="36"/>
      <c r="AM128" s="36"/>
      <c r="AN128" s="36"/>
      <c r="AO128" s="36"/>
      <c r="AP128" s="36"/>
      <c r="AQ128" s="36"/>
      <c r="AR128" s="36"/>
      <c r="AS128" s="36"/>
      <c r="AT128" s="30">
        <v>0</v>
      </c>
      <c r="AU128" s="21" t="e">
        <f t="shared" si="43"/>
        <v>#DIV/0!</v>
      </c>
      <c r="AV128" s="21" t="e">
        <f t="shared" si="43"/>
        <v>#DIV/0!</v>
      </c>
      <c r="AW128" s="21" t="e">
        <f t="shared" si="43"/>
        <v>#DIV/0!</v>
      </c>
      <c r="AX128" s="21" t="e">
        <f t="shared" si="43"/>
        <v>#DIV/0!</v>
      </c>
      <c r="AY128" s="21" t="e">
        <f t="shared" si="43"/>
        <v>#DIV/0!</v>
      </c>
      <c r="AZ128" s="21" t="e">
        <f t="shared" si="43"/>
        <v>#DIV/0!</v>
      </c>
      <c r="BA128" s="23" t="e">
        <f t="shared" si="31"/>
        <v>#DIV/0!</v>
      </c>
    </row>
    <row r="129" spans="1:53" x14ac:dyDescent="0.25">
      <c r="A129" s="34"/>
      <c r="B129" s="34"/>
      <c r="C129" s="34"/>
      <c r="D129" s="35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  <c r="AA129" s="35"/>
      <c r="AB129" s="35"/>
      <c r="AC129" s="35"/>
      <c r="AD129" s="35"/>
      <c r="AE129" s="35"/>
      <c r="AF129" s="35"/>
      <c r="AG129" s="35"/>
      <c r="AH129" s="35"/>
      <c r="AI129" s="35"/>
      <c r="AJ129" s="35"/>
      <c r="AK129" s="35"/>
      <c r="AL129" s="35"/>
      <c r="AM129" s="35"/>
      <c r="AN129" s="35"/>
      <c r="AO129" s="35"/>
      <c r="AP129" s="35"/>
      <c r="AQ129" s="35"/>
      <c r="AR129" s="35"/>
      <c r="AS129" s="35"/>
      <c r="AT129" s="31">
        <v>0</v>
      </c>
      <c r="AU129" s="20" t="e">
        <f t="shared" si="43"/>
        <v>#DIV/0!</v>
      </c>
      <c r="AV129" s="20" t="e">
        <f t="shared" si="43"/>
        <v>#DIV/0!</v>
      </c>
      <c r="AW129" s="20" t="e">
        <f t="shared" si="43"/>
        <v>#DIV/0!</v>
      </c>
      <c r="AX129" s="20" t="e">
        <f t="shared" si="43"/>
        <v>#DIV/0!</v>
      </c>
      <c r="AY129" s="20" t="e">
        <f t="shared" si="43"/>
        <v>#DIV/0!</v>
      </c>
      <c r="AZ129" s="20" t="e">
        <f t="shared" si="43"/>
        <v>#DIV/0!</v>
      </c>
      <c r="BA129" s="23" t="e">
        <f t="shared" si="31"/>
        <v>#DIV/0!</v>
      </c>
    </row>
    <row r="130" spans="1:53" s="5" customFormat="1" x14ac:dyDescent="0.25">
      <c r="A130" s="32"/>
      <c r="B130" s="32"/>
      <c r="C130" s="32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  <c r="AJ130" s="36"/>
      <c r="AK130" s="36"/>
      <c r="AL130" s="36"/>
      <c r="AM130" s="36"/>
      <c r="AN130" s="36"/>
      <c r="AO130" s="36"/>
      <c r="AP130" s="36"/>
      <c r="AQ130" s="36"/>
      <c r="AR130" s="36"/>
      <c r="AS130" s="36"/>
      <c r="AT130" s="30">
        <v>0</v>
      </c>
      <c r="AU130" s="21" t="e">
        <f t="shared" si="43"/>
        <v>#DIV/0!</v>
      </c>
      <c r="AV130" s="21" t="e">
        <f t="shared" si="43"/>
        <v>#DIV/0!</v>
      </c>
      <c r="AW130" s="21" t="e">
        <f t="shared" si="43"/>
        <v>#DIV/0!</v>
      </c>
      <c r="AX130" s="21" t="e">
        <f t="shared" si="43"/>
        <v>#DIV/0!</v>
      </c>
      <c r="AY130" s="21" t="e">
        <f t="shared" si="43"/>
        <v>#DIV/0!</v>
      </c>
      <c r="AZ130" s="21" t="e">
        <f t="shared" si="43"/>
        <v>#DIV/0!</v>
      </c>
      <c r="BA130" s="23" t="e">
        <f t="shared" si="31"/>
        <v>#DIV/0!</v>
      </c>
    </row>
    <row r="131" spans="1:53" x14ac:dyDescent="0.25">
      <c r="A131" s="34"/>
      <c r="B131" s="34"/>
      <c r="C131" s="34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35"/>
      <c r="AE131" s="35"/>
      <c r="AF131" s="35"/>
      <c r="AG131" s="35"/>
      <c r="AH131" s="37"/>
      <c r="AI131" s="37"/>
      <c r="AJ131" s="37"/>
      <c r="AK131" s="37"/>
      <c r="AL131" s="37"/>
      <c r="AM131" s="37"/>
      <c r="AN131" s="37"/>
      <c r="AO131" s="37"/>
      <c r="AP131" s="37"/>
      <c r="AQ131" s="37"/>
      <c r="AR131" s="37"/>
      <c r="AS131" s="37"/>
      <c r="AT131" s="31">
        <v>0</v>
      </c>
      <c r="AU131" s="20" t="e">
        <f t="shared" ref="AU131:AZ134" si="44">AN131/AN516</f>
        <v>#DIV/0!</v>
      </c>
      <c r="AV131" s="20" t="e">
        <f t="shared" si="44"/>
        <v>#DIV/0!</v>
      </c>
      <c r="AW131" s="20" t="e">
        <f t="shared" si="44"/>
        <v>#DIV/0!</v>
      </c>
      <c r="AX131" s="20" t="e">
        <f t="shared" si="44"/>
        <v>#DIV/0!</v>
      </c>
      <c r="AY131" s="20" t="e">
        <f t="shared" si="44"/>
        <v>#DIV/0!</v>
      </c>
      <c r="AZ131" s="20" t="e">
        <f t="shared" si="44"/>
        <v>#DIV/0!</v>
      </c>
      <c r="BA131" s="23" t="e">
        <f t="shared" si="31"/>
        <v>#DIV/0!</v>
      </c>
    </row>
    <row r="132" spans="1:53" s="5" customFormat="1" x14ac:dyDescent="0.25">
      <c r="A132" s="32"/>
      <c r="B132" s="32"/>
      <c r="C132" s="32"/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  <c r="AD132" s="33"/>
      <c r="AE132" s="33"/>
      <c r="AF132" s="33"/>
      <c r="AG132" s="33"/>
      <c r="AH132" s="36"/>
      <c r="AI132" s="36"/>
      <c r="AJ132" s="36"/>
      <c r="AK132" s="36"/>
      <c r="AL132" s="36"/>
      <c r="AM132" s="36"/>
      <c r="AN132" s="36"/>
      <c r="AO132" s="36"/>
      <c r="AP132" s="36"/>
      <c r="AQ132" s="36"/>
      <c r="AR132" s="36"/>
      <c r="AS132" s="36"/>
      <c r="AT132" s="30">
        <v>0</v>
      </c>
      <c r="AU132" s="21" t="e">
        <f t="shared" si="44"/>
        <v>#DIV/0!</v>
      </c>
      <c r="AV132" s="21" t="e">
        <f t="shared" si="44"/>
        <v>#DIV/0!</v>
      </c>
      <c r="AW132" s="21" t="e">
        <f t="shared" si="44"/>
        <v>#DIV/0!</v>
      </c>
      <c r="AX132" s="21" t="e">
        <f t="shared" si="44"/>
        <v>#DIV/0!</v>
      </c>
      <c r="AY132" s="21" t="e">
        <f t="shared" si="44"/>
        <v>#DIV/0!</v>
      </c>
      <c r="AZ132" s="21" t="e">
        <f t="shared" si="44"/>
        <v>#DIV/0!</v>
      </c>
      <c r="BA132" s="23" t="e">
        <f t="shared" si="31"/>
        <v>#DIV/0!</v>
      </c>
    </row>
    <row r="133" spans="1:53" x14ac:dyDescent="0.25">
      <c r="A133" s="34"/>
      <c r="B133" s="34"/>
      <c r="C133" s="34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35"/>
      <c r="AE133" s="35"/>
      <c r="AF133" s="35"/>
      <c r="AG133" s="35"/>
      <c r="AH133" s="37"/>
      <c r="AI133" s="35"/>
      <c r="AJ133" s="37"/>
      <c r="AK133" s="35"/>
      <c r="AL133" s="35"/>
      <c r="AM133" s="35"/>
      <c r="AN133" s="35"/>
      <c r="AO133" s="35"/>
      <c r="AP133" s="35"/>
      <c r="AQ133" s="37"/>
      <c r="AR133" s="37"/>
      <c r="AS133" s="37"/>
      <c r="AT133" s="31">
        <v>0</v>
      </c>
      <c r="AU133" s="20" t="e">
        <f t="shared" si="44"/>
        <v>#DIV/0!</v>
      </c>
      <c r="AV133" s="20" t="e">
        <f t="shared" si="44"/>
        <v>#DIV/0!</v>
      </c>
      <c r="AW133" s="20" t="e">
        <f t="shared" si="44"/>
        <v>#DIV/0!</v>
      </c>
      <c r="AX133" s="20" t="e">
        <f t="shared" si="44"/>
        <v>#DIV/0!</v>
      </c>
      <c r="AY133" s="20" t="e">
        <f t="shared" si="44"/>
        <v>#DIV/0!</v>
      </c>
      <c r="AZ133" s="20" t="e">
        <f t="shared" si="44"/>
        <v>#DIV/0!</v>
      </c>
      <c r="BA133" s="23" t="e">
        <f t="shared" si="31"/>
        <v>#DIV/0!</v>
      </c>
    </row>
    <row r="134" spans="1:53" s="5" customFormat="1" x14ac:dyDescent="0.25">
      <c r="A134" s="32"/>
      <c r="B134" s="32"/>
      <c r="C134" s="32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F134" s="33"/>
      <c r="AG134" s="33"/>
      <c r="AH134" s="36"/>
      <c r="AI134" s="36"/>
      <c r="AJ134" s="36"/>
      <c r="AK134" s="36"/>
      <c r="AL134" s="36"/>
      <c r="AM134" s="36"/>
      <c r="AN134" s="36"/>
      <c r="AO134" s="36"/>
      <c r="AP134" s="36"/>
      <c r="AQ134" s="36"/>
      <c r="AR134" s="36"/>
      <c r="AS134" s="36"/>
      <c r="AT134" s="30">
        <v>0</v>
      </c>
      <c r="AU134" s="21" t="e">
        <f t="shared" si="44"/>
        <v>#DIV/0!</v>
      </c>
      <c r="AV134" s="21" t="e">
        <f t="shared" si="44"/>
        <v>#DIV/0!</v>
      </c>
      <c r="AW134" s="21" t="e">
        <f t="shared" si="44"/>
        <v>#DIV/0!</v>
      </c>
      <c r="AX134" s="21" t="e">
        <f t="shared" si="44"/>
        <v>#DIV/0!</v>
      </c>
      <c r="AY134" s="21" t="e">
        <f t="shared" si="44"/>
        <v>#DIV/0!</v>
      </c>
      <c r="AZ134" s="21" t="e">
        <f t="shared" si="44"/>
        <v>#DIV/0!</v>
      </c>
      <c r="BA134" s="23" t="e">
        <f t="shared" si="31"/>
        <v>#DIV/0!</v>
      </c>
    </row>
    <row r="135" spans="1:53" x14ac:dyDescent="0.25">
      <c r="A135" s="34"/>
      <c r="B135" s="34"/>
      <c r="C135" s="34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  <c r="AE135" s="35"/>
      <c r="AF135" s="35"/>
      <c r="AG135" s="35"/>
      <c r="AH135" s="37"/>
      <c r="AI135" s="37"/>
      <c r="AJ135" s="37"/>
      <c r="AK135" s="35"/>
      <c r="AL135" s="35"/>
      <c r="AM135" s="37"/>
      <c r="AN135" s="37"/>
      <c r="AO135" s="37"/>
      <c r="AP135" s="35"/>
      <c r="AQ135" s="35"/>
      <c r="AR135" s="35"/>
      <c r="AS135" s="37"/>
      <c r="AT135" s="31">
        <v>0</v>
      </c>
      <c r="AU135" s="20" t="e">
        <f t="shared" ref="AU135:AU146" si="45">AN135/AN524</f>
        <v>#DIV/0!</v>
      </c>
      <c r="AV135" s="20" t="e">
        <f t="shared" ref="AV135:AV146" si="46">AO135/AO524</f>
        <v>#DIV/0!</v>
      </c>
      <c r="AW135" s="20" t="e">
        <f t="shared" ref="AW135:AW146" si="47">AP135/AP524</f>
        <v>#DIV/0!</v>
      </c>
      <c r="AX135" s="20" t="e">
        <f t="shared" ref="AX135:AX146" si="48">AQ135/AQ524</f>
        <v>#DIV/0!</v>
      </c>
      <c r="AY135" s="20" t="e">
        <f t="shared" ref="AY135:AY146" si="49">AR135/AR524</f>
        <v>#DIV/0!</v>
      </c>
      <c r="AZ135" s="20" t="e">
        <f t="shared" ref="AZ135:AZ146" si="50">AS135/AS524</f>
        <v>#DIV/0!</v>
      </c>
      <c r="BA135" s="23" t="e">
        <f t="shared" si="31"/>
        <v>#DIV/0!</v>
      </c>
    </row>
    <row r="136" spans="1:53" s="5" customFormat="1" x14ac:dyDescent="0.25">
      <c r="A136" s="32"/>
      <c r="B136" s="32"/>
      <c r="C136" s="32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  <c r="AF136" s="33"/>
      <c r="AG136" s="33"/>
      <c r="AH136" s="36"/>
      <c r="AI136" s="36"/>
      <c r="AJ136" s="36"/>
      <c r="AK136" s="36"/>
      <c r="AL136" s="36"/>
      <c r="AM136" s="36"/>
      <c r="AN136" s="36"/>
      <c r="AO136" s="36"/>
      <c r="AP136" s="36"/>
      <c r="AQ136" s="36"/>
      <c r="AR136" s="36"/>
      <c r="AS136" s="36"/>
      <c r="AT136" s="30">
        <v>0</v>
      </c>
      <c r="AU136" s="21" t="e">
        <f t="shared" si="45"/>
        <v>#DIV/0!</v>
      </c>
      <c r="AV136" s="21" t="e">
        <f t="shared" si="46"/>
        <v>#DIV/0!</v>
      </c>
      <c r="AW136" s="21" t="e">
        <f t="shared" si="47"/>
        <v>#DIV/0!</v>
      </c>
      <c r="AX136" s="21" t="e">
        <f t="shared" si="48"/>
        <v>#DIV/0!</v>
      </c>
      <c r="AY136" s="21" t="e">
        <f t="shared" si="49"/>
        <v>#DIV/0!</v>
      </c>
      <c r="AZ136" s="21" t="e">
        <f t="shared" si="50"/>
        <v>#DIV/0!</v>
      </c>
      <c r="BA136" s="23" t="e">
        <f t="shared" si="31"/>
        <v>#DIV/0!</v>
      </c>
    </row>
    <row r="137" spans="1:53" x14ac:dyDescent="0.25">
      <c r="A137" s="34"/>
      <c r="B137" s="34"/>
      <c r="C137" s="34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  <c r="AA137" s="35"/>
      <c r="AB137" s="35"/>
      <c r="AC137" s="35"/>
      <c r="AD137" s="35"/>
      <c r="AE137" s="35"/>
      <c r="AF137" s="35"/>
      <c r="AG137" s="35"/>
      <c r="AH137" s="35"/>
      <c r="AI137" s="35"/>
      <c r="AJ137" s="35"/>
      <c r="AK137" s="35"/>
      <c r="AL137" s="35"/>
      <c r="AM137" s="35"/>
      <c r="AN137" s="35"/>
      <c r="AO137" s="35"/>
      <c r="AP137" s="35"/>
      <c r="AQ137" s="35"/>
      <c r="AR137" s="35"/>
      <c r="AS137" s="35"/>
      <c r="AT137" s="31">
        <v>0</v>
      </c>
      <c r="AU137" s="20" t="e">
        <f t="shared" si="45"/>
        <v>#DIV/0!</v>
      </c>
      <c r="AV137" s="20" t="e">
        <f t="shared" si="46"/>
        <v>#DIV/0!</v>
      </c>
      <c r="AW137" s="20" t="e">
        <f t="shared" si="47"/>
        <v>#DIV/0!</v>
      </c>
      <c r="AX137" s="20" t="e">
        <f t="shared" si="48"/>
        <v>#DIV/0!</v>
      </c>
      <c r="AY137" s="20" t="e">
        <f t="shared" si="49"/>
        <v>#DIV/0!</v>
      </c>
      <c r="AZ137" s="20" t="e">
        <f t="shared" si="50"/>
        <v>#DIV/0!</v>
      </c>
      <c r="BA137" s="23" t="e">
        <f t="shared" si="31"/>
        <v>#DIV/0!</v>
      </c>
    </row>
    <row r="138" spans="1:53" s="5" customFormat="1" x14ac:dyDescent="0.25">
      <c r="A138" s="32"/>
      <c r="B138" s="32"/>
      <c r="C138" s="32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F138" s="33"/>
      <c r="AG138" s="33"/>
      <c r="AH138" s="36"/>
      <c r="AI138" s="36"/>
      <c r="AJ138" s="36"/>
      <c r="AK138" s="36"/>
      <c r="AL138" s="36"/>
      <c r="AM138" s="36"/>
      <c r="AN138" s="36"/>
      <c r="AO138" s="36"/>
      <c r="AP138" s="36"/>
      <c r="AQ138" s="36"/>
      <c r="AR138" s="36"/>
      <c r="AS138" s="36"/>
      <c r="AT138" s="30">
        <v>0</v>
      </c>
      <c r="AU138" s="21" t="e">
        <f t="shared" si="45"/>
        <v>#DIV/0!</v>
      </c>
      <c r="AV138" s="21" t="e">
        <f t="shared" si="46"/>
        <v>#DIV/0!</v>
      </c>
      <c r="AW138" s="21" t="e">
        <f t="shared" si="47"/>
        <v>#DIV/0!</v>
      </c>
      <c r="AX138" s="21" t="e">
        <f t="shared" si="48"/>
        <v>#DIV/0!</v>
      </c>
      <c r="AY138" s="21" t="e">
        <f t="shared" si="49"/>
        <v>#DIV/0!</v>
      </c>
      <c r="AZ138" s="21" t="e">
        <f t="shared" si="50"/>
        <v>#DIV/0!</v>
      </c>
      <c r="BA138" s="23" t="e">
        <f t="shared" si="31"/>
        <v>#DIV/0!</v>
      </c>
    </row>
    <row r="139" spans="1:53" x14ac:dyDescent="0.25">
      <c r="A139" s="34"/>
      <c r="B139" s="34"/>
      <c r="C139" s="34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  <c r="AE139" s="35"/>
      <c r="AF139" s="35"/>
      <c r="AG139" s="35"/>
      <c r="AH139" s="37"/>
      <c r="AI139" s="37"/>
      <c r="AJ139" s="37"/>
      <c r="AK139" s="37"/>
      <c r="AL139" s="37"/>
      <c r="AM139" s="37"/>
      <c r="AN139" s="37"/>
      <c r="AO139" s="37"/>
      <c r="AP139" s="37"/>
      <c r="AQ139" s="37"/>
      <c r="AR139" s="37"/>
      <c r="AS139" s="37"/>
      <c r="AT139" s="31">
        <v>0</v>
      </c>
      <c r="AU139" s="20" t="e">
        <f t="shared" si="45"/>
        <v>#DIV/0!</v>
      </c>
      <c r="AV139" s="20" t="e">
        <f t="shared" si="46"/>
        <v>#DIV/0!</v>
      </c>
      <c r="AW139" s="20" t="e">
        <f t="shared" si="47"/>
        <v>#DIV/0!</v>
      </c>
      <c r="AX139" s="20" t="e">
        <f t="shared" si="48"/>
        <v>#DIV/0!</v>
      </c>
      <c r="AY139" s="20" t="e">
        <f t="shared" si="49"/>
        <v>#DIV/0!</v>
      </c>
      <c r="AZ139" s="20" t="e">
        <f t="shared" si="50"/>
        <v>#DIV/0!</v>
      </c>
      <c r="BA139" s="23" t="e">
        <f t="shared" ref="BA139:BA160" si="51">AVERAGE(AY139,AZ139,AX139)</f>
        <v>#DIV/0!</v>
      </c>
    </row>
    <row r="140" spans="1:53" s="5" customFormat="1" x14ac:dyDescent="0.25">
      <c r="A140" s="32"/>
      <c r="B140" s="32"/>
      <c r="C140" s="32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  <c r="AF140" s="33"/>
      <c r="AG140" s="33"/>
      <c r="AH140" s="36"/>
      <c r="AI140" s="36"/>
      <c r="AJ140" s="36"/>
      <c r="AK140" s="36"/>
      <c r="AL140" s="36"/>
      <c r="AM140" s="36"/>
      <c r="AN140" s="36"/>
      <c r="AO140" s="36"/>
      <c r="AP140" s="36"/>
      <c r="AQ140" s="36"/>
      <c r="AR140" s="36"/>
      <c r="AS140" s="36"/>
      <c r="AT140" s="30">
        <v>0</v>
      </c>
      <c r="AU140" s="21" t="e">
        <f t="shared" si="45"/>
        <v>#DIV/0!</v>
      </c>
      <c r="AV140" s="21" t="e">
        <f t="shared" si="46"/>
        <v>#DIV/0!</v>
      </c>
      <c r="AW140" s="21" t="e">
        <f t="shared" si="47"/>
        <v>#DIV/0!</v>
      </c>
      <c r="AX140" s="21" t="e">
        <f t="shared" si="48"/>
        <v>#DIV/0!</v>
      </c>
      <c r="AY140" s="21" t="e">
        <f t="shared" si="49"/>
        <v>#DIV/0!</v>
      </c>
      <c r="AZ140" s="21" t="e">
        <f t="shared" si="50"/>
        <v>#DIV/0!</v>
      </c>
      <c r="BA140" s="23" t="e">
        <f t="shared" si="51"/>
        <v>#DIV/0!</v>
      </c>
    </row>
    <row r="141" spans="1:53" x14ac:dyDescent="0.25">
      <c r="A141" s="34"/>
      <c r="B141" s="34"/>
      <c r="C141" s="34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  <c r="AE141" s="35"/>
      <c r="AF141" s="35"/>
      <c r="AG141" s="35"/>
      <c r="AH141" s="35"/>
      <c r="AI141" s="35"/>
      <c r="AJ141" s="35"/>
      <c r="AK141" s="35"/>
      <c r="AL141" s="35"/>
      <c r="AM141" s="35"/>
      <c r="AN141" s="35"/>
      <c r="AO141" s="35"/>
      <c r="AP141" s="35"/>
      <c r="AQ141" s="35"/>
      <c r="AR141" s="35"/>
      <c r="AS141" s="35"/>
      <c r="AT141" s="31">
        <v>0</v>
      </c>
      <c r="AU141" s="20" t="e">
        <f t="shared" si="45"/>
        <v>#DIV/0!</v>
      </c>
      <c r="AV141" s="20" t="e">
        <f t="shared" si="46"/>
        <v>#DIV/0!</v>
      </c>
      <c r="AW141" s="20" t="e">
        <f t="shared" si="47"/>
        <v>#DIV/0!</v>
      </c>
      <c r="AX141" s="20" t="e">
        <f t="shared" si="48"/>
        <v>#DIV/0!</v>
      </c>
      <c r="AY141" s="20" t="e">
        <f t="shared" si="49"/>
        <v>#DIV/0!</v>
      </c>
      <c r="AZ141" s="20" t="e">
        <f t="shared" si="50"/>
        <v>#DIV/0!</v>
      </c>
      <c r="BA141" s="23" t="e">
        <f t="shared" si="51"/>
        <v>#DIV/0!</v>
      </c>
    </row>
    <row r="142" spans="1:53" s="5" customFormat="1" x14ac:dyDescent="0.25">
      <c r="A142" s="32"/>
      <c r="B142" s="32"/>
      <c r="C142" s="32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6"/>
      <c r="AI142" s="36"/>
      <c r="AJ142" s="36"/>
      <c r="AK142" s="36"/>
      <c r="AL142" s="36"/>
      <c r="AM142" s="36"/>
      <c r="AN142" s="36"/>
      <c r="AO142" s="36"/>
      <c r="AP142" s="36"/>
      <c r="AQ142" s="36"/>
      <c r="AR142" s="36"/>
      <c r="AS142" s="36"/>
      <c r="AT142" s="30">
        <v>0</v>
      </c>
      <c r="AU142" s="21" t="e">
        <f t="shared" si="45"/>
        <v>#DIV/0!</v>
      </c>
      <c r="AV142" s="21" t="e">
        <f t="shared" si="46"/>
        <v>#DIV/0!</v>
      </c>
      <c r="AW142" s="21" t="e">
        <f t="shared" si="47"/>
        <v>#DIV/0!</v>
      </c>
      <c r="AX142" s="21" t="e">
        <f t="shared" si="48"/>
        <v>#DIV/0!</v>
      </c>
      <c r="AY142" s="21" t="e">
        <f t="shared" si="49"/>
        <v>#DIV/0!</v>
      </c>
      <c r="AZ142" s="21" t="e">
        <f t="shared" si="50"/>
        <v>#DIV/0!</v>
      </c>
      <c r="BA142" s="23" t="e">
        <f t="shared" si="51"/>
        <v>#DIV/0!</v>
      </c>
    </row>
    <row r="143" spans="1:53" x14ac:dyDescent="0.25">
      <c r="A143" s="34"/>
      <c r="B143" s="34"/>
      <c r="C143" s="34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  <c r="AM143" s="35"/>
      <c r="AN143" s="35"/>
      <c r="AO143" s="35"/>
      <c r="AP143" s="35"/>
      <c r="AQ143" s="35"/>
      <c r="AR143" s="35"/>
      <c r="AS143" s="35"/>
      <c r="AT143" s="31">
        <v>0</v>
      </c>
      <c r="AU143" s="20" t="e">
        <f t="shared" si="45"/>
        <v>#DIV/0!</v>
      </c>
      <c r="AV143" s="20" t="e">
        <f t="shared" si="46"/>
        <v>#DIV/0!</v>
      </c>
      <c r="AW143" s="20" t="e">
        <f t="shared" si="47"/>
        <v>#DIV/0!</v>
      </c>
      <c r="AX143" s="20" t="e">
        <f t="shared" si="48"/>
        <v>#DIV/0!</v>
      </c>
      <c r="AY143" s="20" t="e">
        <f t="shared" si="49"/>
        <v>#DIV/0!</v>
      </c>
      <c r="AZ143" s="20" t="e">
        <f t="shared" si="50"/>
        <v>#DIV/0!</v>
      </c>
      <c r="BA143" s="23" t="e">
        <f t="shared" si="51"/>
        <v>#DIV/0!</v>
      </c>
    </row>
    <row r="144" spans="1:53" s="5" customFormat="1" x14ac:dyDescent="0.25">
      <c r="A144" s="32"/>
      <c r="B144" s="32"/>
      <c r="C144" s="32"/>
      <c r="D144" s="33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F144" s="33"/>
      <c r="AG144" s="33"/>
      <c r="AH144" s="33"/>
      <c r="AI144" s="33"/>
      <c r="AJ144" s="33"/>
      <c r="AK144" s="33"/>
      <c r="AL144" s="36"/>
      <c r="AM144" s="33"/>
      <c r="AN144" s="33"/>
      <c r="AO144" s="33"/>
      <c r="AP144" s="36"/>
      <c r="AQ144" s="33"/>
      <c r="AR144" s="33"/>
      <c r="AS144" s="33"/>
      <c r="AT144" s="30">
        <v>0</v>
      </c>
      <c r="AU144" s="21" t="e">
        <f t="shared" si="45"/>
        <v>#DIV/0!</v>
      </c>
      <c r="AV144" s="21" t="e">
        <f t="shared" si="46"/>
        <v>#DIV/0!</v>
      </c>
      <c r="AW144" s="21" t="e">
        <f t="shared" si="47"/>
        <v>#DIV/0!</v>
      </c>
      <c r="AX144" s="21" t="e">
        <f t="shared" si="48"/>
        <v>#DIV/0!</v>
      </c>
      <c r="AY144" s="21" t="e">
        <f t="shared" si="49"/>
        <v>#DIV/0!</v>
      </c>
      <c r="AZ144" s="21" t="e">
        <f t="shared" si="50"/>
        <v>#DIV/0!</v>
      </c>
      <c r="BA144" s="23" t="e">
        <f t="shared" si="51"/>
        <v>#DIV/0!</v>
      </c>
    </row>
    <row r="145" spans="1:53" x14ac:dyDescent="0.25">
      <c r="A145" s="34"/>
      <c r="B145" s="34"/>
      <c r="C145" s="34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  <c r="AM145" s="35"/>
      <c r="AN145" s="35"/>
      <c r="AO145" s="35"/>
      <c r="AP145" s="35"/>
      <c r="AQ145" s="35"/>
      <c r="AR145" s="35"/>
      <c r="AS145" s="35"/>
      <c r="AT145" s="31">
        <v>0</v>
      </c>
      <c r="AU145" s="20" t="e">
        <f t="shared" si="45"/>
        <v>#DIV/0!</v>
      </c>
      <c r="AV145" s="20" t="e">
        <f t="shared" si="46"/>
        <v>#DIV/0!</v>
      </c>
      <c r="AW145" s="20" t="e">
        <f t="shared" si="47"/>
        <v>#DIV/0!</v>
      </c>
      <c r="AX145" s="20" t="e">
        <f t="shared" si="48"/>
        <v>#DIV/0!</v>
      </c>
      <c r="AY145" s="20" t="e">
        <f t="shared" si="49"/>
        <v>#DIV/0!</v>
      </c>
      <c r="AZ145" s="20" t="e">
        <f t="shared" si="50"/>
        <v>#DIV/0!</v>
      </c>
      <c r="BA145" s="23" t="e">
        <f t="shared" si="51"/>
        <v>#DIV/0!</v>
      </c>
    </row>
    <row r="146" spans="1:53" s="5" customFormat="1" x14ac:dyDescent="0.25">
      <c r="A146" s="32"/>
      <c r="B146" s="32"/>
      <c r="C146" s="32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6"/>
      <c r="AM146" s="33"/>
      <c r="AN146" s="33"/>
      <c r="AO146" s="36"/>
      <c r="AP146" s="36"/>
      <c r="AQ146" s="33"/>
      <c r="AR146" s="33"/>
      <c r="AS146" s="36"/>
      <c r="AT146" s="30">
        <v>0</v>
      </c>
      <c r="AU146" s="21" t="e">
        <f t="shared" si="45"/>
        <v>#DIV/0!</v>
      </c>
      <c r="AV146" s="21" t="e">
        <f t="shared" si="46"/>
        <v>#DIV/0!</v>
      </c>
      <c r="AW146" s="21" t="e">
        <f t="shared" si="47"/>
        <v>#DIV/0!</v>
      </c>
      <c r="AX146" s="21" t="e">
        <f t="shared" si="48"/>
        <v>#DIV/0!</v>
      </c>
      <c r="AY146" s="21" t="e">
        <f t="shared" si="49"/>
        <v>#DIV/0!</v>
      </c>
      <c r="AZ146" s="21" t="e">
        <f t="shared" si="50"/>
        <v>#DIV/0!</v>
      </c>
      <c r="BA146" s="23" t="e">
        <f t="shared" si="51"/>
        <v>#DIV/0!</v>
      </c>
    </row>
    <row r="147" spans="1:53" x14ac:dyDescent="0.25">
      <c r="A147" s="34"/>
      <c r="B147" s="34"/>
      <c r="C147" s="34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  <c r="AM147" s="35"/>
      <c r="AN147" s="35"/>
      <c r="AO147" s="37"/>
      <c r="AP147" s="37"/>
      <c r="AQ147" s="37"/>
      <c r="AR147" s="37"/>
      <c r="AS147" s="37"/>
      <c r="AT147" s="21" t="e">
        <f t="shared" ref="AT147:AY147" si="52">AN147/AO$78</f>
        <v>#DIV/0!</v>
      </c>
      <c r="AU147" s="21" t="e">
        <f t="shared" si="52"/>
        <v>#DIV/0!</v>
      </c>
      <c r="AV147" s="21" t="e">
        <f t="shared" si="52"/>
        <v>#DIV/0!</v>
      </c>
      <c r="AW147" s="21" t="e">
        <f t="shared" si="52"/>
        <v>#DIV/0!</v>
      </c>
      <c r="AX147" s="21" t="e">
        <f t="shared" si="52"/>
        <v>#DIV/0!</v>
      </c>
      <c r="AY147" s="21" t="e">
        <f t="shared" si="52"/>
        <v>#DIV/0!</v>
      </c>
      <c r="BA147" s="23" t="e">
        <f>AVERAGE(AW147,AX147,AY147)</f>
        <v>#DIV/0!</v>
      </c>
    </row>
    <row r="148" spans="1:53" s="5" customFormat="1" x14ac:dyDescent="0.25">
      <c r="A148" s="34"/>
      <c r="B148" s="32"/>
      <c r="C148" s="32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  <c r="AM148" s="33"/>
      <c r="AN148" s="33"/>
      <c r="AO148" s="36"/>
      <c r="AP148" s="36"/>
      <c r="AQ148" s="36"/>
      <c r="AR148" s="36"/>
      <c r="AS148" s="36"/>
      <c r="AT148" s="21" t="e">
        <f t="shared" ref="AT148:AY148" si="53">AN148/AO$58</f>
        <v>#DIV/0!</v>
      </c>
      <c r="AU148" s="21" t="e">
        <f t="shared" si="53"/>
        <v>#DIV/0!</v>
      </c>
      <c r="AV148" s="21" t="e">
        <f t="shared" si="53"/>
        <v>#DIV/0!</v>
      </c>
      <c r="AW148" s="21" t="e">
        <f t="shared" si="53"/>
        <v>#DIV/0!</v>
      </c>
      <c r="AX148" s="21" t="e">
        <f t="shared" si="53"/>
        <v>#DIV/0!</v>
      </c>
      <c r="AY148" s="21" t="e">
        <f t="shared" si="53"/>
        <v>#DIV/0!</v>
      </c>
      <c r="BA148" s="23" t="e">
        <f>AVERAGE(AW148,AX148,AY148)</f>
        <v>#DIV/0!</v>
      </c>
    </row>
    <row r="149" spans="1:53" x14ac:dyDescent="0.25">
      <c r="A149" s="34"/>
      <c r="B149" s="34"/>
      <c r="C149" s="34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  <c r="AM149" s="35"/>
      <c r="AN149" s="35"/>
      <c r="AO149" s="37"/>
      <c r="AP149" s="37"/>
      <c r="AQ149" s="37"/>
      <c r="AR149" s="37"/>
      <c r="AS149" s="37"/>
      <c r="AT149" s="21" t="e">
        <f t="shared" ref="AT149:AY149" si="54">AN149/AO$37</f>
        <v>#DIV/0!</v>
      </c>
      <c r="AU149" s="21" t="e">
        <f t="shared" si="54"/>
        <v>#DIV/0!</v>
      </c>
      <c r="AV149" s="21" t="e">
        <f t="shared" si="54"/>
        <v>#DIV/0!</v>
      </c>
      <c r="AW149" s="21" t="e">
        <f t="shared" si="54"/>
        <v>#DIV/0!</v>
      </c>
      <c r="AX149" s="21" t="e">
        <f t="shared" si="54"/>
        <v>#DIV/0!</v>
      </c>
      <c r="AY149" s="21" t="e">
        <f t="shared" si="54"/>
        <v>#DIV/0!</v>
      </c>
      <c r="AZ149" s="5"/>
      <c r="BA149" s="23" t="e">
        <f>AVERAGE(AW149,AX149,AY149)</f>
        <v>#DIV/0!</v>
      </c>
    </row>
    <row r="150" spans="1:53" s="5" customFormat="1" x14ac:dyDescent="0.25">
      <c r="A150" s="34"/>
      <c r="B150" s="32"/>
      <c r="C150" s="32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6"/>
      <c r="AP150" s="36"/>
      <c r="AQ150" s="36"/>
      <c r="AR150" s="36"/>
      <c r="AS150" s="36"/>
      <c r="AT150" s="20">
        <f t="shared" ref="AT150:AY150" si="55">AN150/V$20</f>
        <v>0</v>
      </c>
      <c r="AU150" s="20">
        <f t="shared" si="55"/>
        <v>0</v>
      </c>
      <c r="AV150" s="20">
        <f t="shared" si="55"/>
        <v>0</v>
      </c>
      <c r="AW150" s="20">
        <f t="shared" si="55"/>
        <v>0</v>
      </c>
      <c r="AX150" s="20">
        <f t="shared" si="55"/>
        <v>0</v>
      </c>
      <c r="AY150" s="20">
        <f t="shared" si="55"/>
        <v>0</v>
      </c>
      <c r="AZ150"/>
      <c r="BA150" s="23">
        <f>AVERAGE(AW150,AX150,AY150)</f>
        <v>0</v>
      </c>
    </row>
    <row r="151" spans="1:53" s="5" customFormat="1" x14ac:dyDescent="0.25">
      <c r="A151" s="32"/>
      <c r="B151" s="32"/>
      <c r="C151" s="32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6"/>
      <c r="AI151" s="36"/>
      <c r="AJ151" s="36"/>
      <c r="AK151" s="36"/>
      <c r="AL151" s="36"/>
      <c r="AM151" s="36"/>
      <c r="AN151" s="36"/>
      <c r="AO151" s="36"/>
      <c r="AP151" s="36"/>
      <c r="AQ151" s="36"/>
      <c r="AR151" s="36"/>
      <c r="AS151" s="36"/>
      <c r="AT151" s="30">
        <v>0</v>
      </c>
      <c r="AU151" s="21" t="e">
        <f t="shared" ref="AU151:AZ154" si="56">AN151/AN540</f>
        <v>#DIV/0!</v>
      </c>
      <c r="AV151" s="21" t="e">
        <f t="shared" si="56"/>
        <v>#DIV/0!</v>
      </c>
      <c r="AW151" s="21" t="e">
        <f t="shared" si="56"/>
        <v>#DIV/0!</v>
      </c>
      <c r="AX151" s="21" t="e">
        <f t="shared" si="56"/>
        <v>#DIV/0!</v>
      </c>
      <c r="AY151" s="21" t="e">
        <f t="shared" si="56"/>
        <v>#DIV/0!</v>
      </c>
      <c r="AZ151" s="21" t="e">
        <f t="shared" si="56"/>
        <v>#DIV/0!</v>
      </c>
      <c r="BA151" s="23" t="e">
        <f t="shared" si="51"/>
        <v>#DIV/0!</v>
      </c>
    </row>
    <row r="152" spans="1:53" x14ac:dyDescent="0.25">
      <c r="A152" s="34"/>
      <c r="B152" s="34"/>
      <c r="C152" s="34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7"/>
      <c r="AI152" s="37"/>
      <c r="AJ152" s="37"/>
      <c r="AK152" s="37"/>
      <c r="AL152" s="37"/>
      <c r="AM152" s="37"/>
      <c r="AN152" s="37"/>
      <c r="AO152" s="37"/>
      <c r="AP152" s="37"/>
      <c r="AQ152" s="37"/>
      <c r="AR152" s="37"/>
      <c r="AS152" s="37"/>
      <c r="AT152" s="31">
        <v>0</v>
      </c>
      <c r="AU152" s="20" t="e">
        <f t="shared" si="56"/>
        <v>#DIV/0!</v>
      </c>
      <c r="AV152" s="20" t="e">
        <f t="shared" si="56"/>
        <v>#DIV/0!</v>
      </c>
      <c r="AW152" s="20" t="e">
        <f t="shared" si="56"/>
        <v>#DIV/0!</v>
      </c>
      <c r="AX152" s="20" t="e">
        <f t="shared" si="56"/>
        <v>#DIV/0!</v>
      </c>
      <c r="AY152" s="20" t="e">
        <f t="shared" si="56"/>
        <v>#DIV/0!</v>
      </c>
      <c r="AZ152" s="20" t="e">
        <f t="shared" si="56"/>
        <v>#DIV/0!</v>
      </c>
      <c r="BA152" s="23" t="e">
        <f t="shared" si="51"/>
        <v>#DIV/0!</v>
      </c>
    </row>
    <row r="153" spans="1:53" s="5" customFormat="1" x14ac:dyDescent="0.25">
      <c r="A153" s="32"/>
      <c r="B153" s="32"/>
      <c r="C153" s="32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6"/>
      <c r="AI153" s="36"/>
      <c r="AJ153" s="36"/>
      <c r="AK153" s="36"/>
      <c r="AL153" s="36"/>
      <c r="AM153" s="36"/>
      <c r="AN153" s="36"/>
      <c r="AO153" s="36"/>
      <c r="AP153" s="36"/>
      <c r="AQ153" s="36"/>
      <c r="AR153" s="36"/>
      <c r="AS153" s="36"/>
      <c r="AT153" s="30">
        <v>0</v>
      </c>
      <c r="AU153" s="21" t="e">
        <f t="shared" si="56"/>
        <v>#DIV/0!</v>
      </c>
      <c r="AV153" s="21" t="e">
        <f t="shared" si="56"/>
        <v>#DIV/0!</v>
      </c>
      <c r="AW153" s="21" t="e">
        <f t="shared" si="56"/>
        <v>#DIV/0!</v>
      </c>
      <c r="AX153" s="21" t="e">
        <f t="shared" si="56"/>
        <v>#DIV/0!</v>
      </c>
      <c r="AY153" s="21" t="e">
        <f t="shared" si="56"/>
        <v>#DIV/0!</v>
      </c>
      <c r="AZ153" s="21" t="e">
        <f t="shared" si="56"/>
        <v>#DIV/0!</v>
      </c>
      <c r="BA153" s="23" t="e">
        <f t="shared" si="51"/>
        <v>#DIV/0!</v>
      </c>
    </row>
    <row r="154" spans="1:53" x14ac:dyDescent="0.25">
      <c r="A154" s="34"/>
      <c r="B154" s="34"/>
      <c r="C154" s="34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7"/>
      <c r="AI154" s="37"/>
      <c r="AJ154" s="37"/>
      <c r="AK154" s="37"/>
      <c r="AL154" s="37"/>
      <c r="AM154" s="37"/>
      <c r="AN154" s="37"/>
      <c r="AO154" s="37"/>
      <c r="AP154" s="37"/>
      <c r="AQ154" s="37"/>
      <c r="AR154" s="37"/>
      <c r="AS154" s="37"/>
      <c r="AT154" s="31">
        <v>0</v>
      </c>
      <c r="AU154" s="20" t="e">
        <f t="shared" si="56"/>
        <v>#DIV/0!</v>
      </c>
      <c r="AV154" s="20" t="e">
        <f t="shared" si="56"/>
        <v>#DIV/0!</v>
      </c>
      <c r="AW154" s="20" t="e">
        <f t="shared" si="56"/>
        <v>#DIV/0!</v>
      </c>
      <c r="AX154" s="20" t="e">
        <f t="shared" si="56"/>
        <v>#DIV/0!</v>
      </c>
      <c r="AY154" s="20" t="e">
        <f t="shared" si="56"/>
        <v>#DIV/0!</v>
      </c>
      <c r="AZ154" s="20" t="e">
        <f t="shared" si="56"/>
        <v>#DIV/0!</v>
      </c>
      <c r="BA154" s="23" t="e">
        <f t="shared" si="51"/>
        <v>#DIV/0!</v>
      </c>
    </row>
    <row r="155" spans="1:53" s="5" customFormat="1" x14ac:dyDescent="0.25">
      <c r="A155" s="32"/>
      <c r="B155" s="32"/>
      <c r="C155" s="32"/>
      <c r="D155" s="36"/>
      <c r="E155" s="36"/>
      <c r="F155" s="36"/>
      <c r="G155" s="36"/>
      <c r="H155" s="36"/>
      <c r="I155" s="36"/>
      <c r="J155" s="36"/>
      <c r="K155" s="36"/>
      <c r="L155" s="36"/>
      <c r="M155" s="36"/>
      <c r="N155" s="36"/>
      <c r="O155" s="36"/>
      <c r="P155" s="36"/>
      <c r="Q155" s="36"/>
      <c r="R155" s="36"/>
      <c r="S155" s="36"/>
      <c r="T155" s="36"/>
      <c r="U155" s="36"/>
      <c r="V155" s="36"/>
      <c r="W155" s="36"/>
      <c r="X155" s="36"/>
      <c r="Y155" s="36"/>
      <c r="Z155" s="36"/>
      <c r="AA155" s="36"/>
      <c r="AB155" s="36"/>
      <c r="AC155" s="36"/>
      <c r="AD155" s="36"/>
      <c r="AE155" s="36"/>
      <c r="AF155" s="36"/>
      <c r="AG155" s="36"/>
      <c r="AH155" s="36"/>
      <c r="AI155" s="36"/>
      <c r="AJ155" s="36"/>
      <c r="AK155" s="36"/>
      <c r="AL155" s="36"/>
      <c r="AM155" s="36"/>
      <c r="AN155" s="36"/>
      <c r="AO155" s="36"/>
      <c r="AP155" s="36"/>
      <c r="AQ155" s="36"/>
      <c r="AR155" s="36"/>
      <c r="AS155" s="36"/>
      <c r="AT155" s="30">
        <v>0</v>
      </c>
      <c r="AU155" s="21" t="e">
        <f t="shared" ref="AU155:AZ160" si="57">AN155/AN516</f>
        <v>#DIV/0!</v>
      </c>
      <c r="AV155" s="21" t="e">
        <f t="shared" si="57"/>
        <v>#DIV/0!</v>
      </c>
      <c r="AW155" s="21" t="e">
        <f t="shared" si="57"/>
        <v>#DIV/0!</v>
      </c>
      <c r="AX155" s="21" t="e">
        <f t="shared" si="57"/>
        <v>#DIV/0!</v>
      </c>
      <c r="AY155" s="21" t="e">
        <f t="shared" si="57"/>
        <v>#DIV/0!</v>
      </c>
      <c r="AZ155" s="21" t="e">
        <f t="shared" si="57"/>
        <v>#DIV/0!</v>
      </c>
      <c r="BA155" s="23" t="e">
        <f t="shared" si="51"/>
        <v>#DIV/0!</v>
      </c>
    </row>
    <row r="156" spans="1:53" x14ac:dyDescent="0.25">
      <c r="A156" s="34"/>
      <c r="B156" s="34"/>
      <c r="C156" s="34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  <c r="AM156" s="35"/>
      <c r="AN156" s="35"/>
      <c r="AO156" s="35"/>
      <c r="AP156" s="35"/>
      <c r="AQ156" s="35"/>
      <c r="AR156" s="35"/>
      <c r="AS156" s="35"/>
      <c r="AT156" s="31">
        <v>0</v>
      </c>
      <c r="AU156" s="20" t="e">
        <f t="shared" si="57"/>
        <v>#DIV/0!</v>
      </c>
      <c r="AV156" s="20" t="e">
        <f t="shared" si="57"/>
        <v>#DIV/0!</v>
      </c>
      <c r="AW156" s="20" t="e">
        <f t="shared" si="57"/>
        <v>#DIV/0!</v>
      </c>
      <c r="AX156" s="20" t="e">
        <f t="shared" si="57"/>
        <v>#DIV/0!</v>
      </c>
      <c r="AY156" s="20" t="e">
        <f t="shared" si="57"/>
        <v>#DIV/0!</v>
      </c>
      <c r="AZ156" s="20" t="e">
        <f t="shared" si="57"/>
        <v>#DIV/0!</v>
      </c>
      <c r="BA156" s="23" t="e">
        <f t="shared" si="51"/>
        <v>#DIV/0!</v>
      </c>
    </row>
    <row r="157" spans="1:53" s="5" customFormat="1" x14ac:dyDescent="0.25">
      <c r="A157" s="32"/>
      <c r="B157" s="32"/>
      <c r="C157" s="32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33"/>
      <c r="AJ157" s="33"/>
      <c r="AK157" s="33"/>
      <c r="AL157" s="36"/>
      <c r="AM157" s="33"/>
      <c r="AN157" s="33"/>
      <c r="AO157" s="36"/>
      <c r="AP157" s="36"/>
      <c r="AQ157" s="36"/>
      <c r="AR157" s="36"/>
      <c r="AS157" s="36"/>
      <c r="AT157" s="30">
        <v>0</v>
      </c>
      <c r="AU157" s="21" t="e">
        <f t="shared" si="57"/>
        <v>#DIV/0!</v>
      </c>
      <c r="AV157" s="21" t="e">
        <f t="shared" si="57"/>
        <v>#DIV/0!</v>
      </c>
      <c r="AW157" s="21" t="e">
        <f t="shared" si="57"/>
        <v>#DIV/0!</v>
      </c>
      <c r="AX157" s="21" t="e">
        <f t="shared" si="57"/>
        <v>#DIV/0!</v>
      </c>
      <c r="AY157" s="21" t="e">
        <f t="shared" si="57"/>
        <v>#DIV/0!</v>
      </c>
      <c r="AZ157" s="21" t="e">
        <f t="shared" si="57"/>
        <v>#DIV/0!</v>
      </c>
      <c r="BA157" s="23" t="e">
        <f t="shared" si="51"/>
        <v>#DIV/0!</v>
      </c>
    </row>
    <row r="158" spans="1:53" x14ac:dyDescent="0.25">
      <c r="A158" s="34"/>
      <c r="B158" s="34"/>
      <c r="C158" s="34"/>
      <c r="D158" s="37"/>
      <c r="E158" s="37"/>
      <c r="F158" s="37"/>
      <c r="G158" s="37"/>
      <c r="H158" s="37"/>
      <c r="I158" s="37"/>
      <c r="J158" s="37"/>
      <c r="K158" s="37"/>
      <c r="L158" s="37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  <c r="AA158" s="37"/>
      <c r="AB158" s="37"/>
      <c r="AC158" s="37"/>
      <c r="AD158" s="37"/>
      <c r="AE158" s="37"/>
      <c r="AF158" s="37"/>
      <c r="AG158" s="37"/>
      <c r="AH158" s="37"/>
      <c r="AI158" s="37"/>
      <c r="AJ158" s="37"/>
      <c r="AK158" s="37"/>
      <c r="AL158" s="37"/>
      <c r="AM158" s="37"/>
      <c r="AN158" s="37"/>
      <c r="AO158" s="37"/>
      <c r="AP158" s="37"/>
      <c r="AQ158" s="37"/>
      <c r="AR158" s="37"/>
      <c r="AS158" s="37"/>
      <c r="AT158" s="31">
        <v>0</v>
      </c>
      <c r="AU158" s="20" t="e">
        <f t="shared" si="57"/>
        <v>#DIV/0!</v>
      </c>
      <c r="AV158" s="20" t="e">
        <f t="shared" si="57"/>
        <v>#DIV/0!</v>
      </c>
      <c r="AW158" s="20" t="e">
        <f t="shared" si="57"/>
        <v>#DIV/0!</v>
      </c>
      <c r="AX158" s="20" t="e">
        <f t="shared" si="57"/>
        <v>#DIV/0!</v>
      </c>
      <c r="AY158" s="20" t="e">
        <f t="shared" si="57"/>
        <v>#DIV/0!</v>
      </c>
      <c r="AZ158" s="20" t="e">
        <f t="shared" si="57"/>
        <v>#DIV/0!</v>
      </c>
      <c r="BA158" s="23" t="e">
        <f t="shared" si="51"/>
        <v>#DIV/0!</v>
      </c>
    </row>
    <row r="159" spans="1:53" s="5" customFormat="1" x14ac:dyDescent="0.25">
      <c r="A159" s="32"/>
      <c r="B159" s="32"/>
      <c r="C159" s="32"/>
      <c r="D159" s="36"/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6"/>
      <c r="W159" s="36"/>
      <c r="X159" s="36"/>
      <c r="Y159" s="36"/>
      <c r="Z159" s="36"/>
      <c r="AA159" s="36"/>
      <c r="AB159" s="36"/>
      <c r="AC159" s="36"/>
      <c r="AD159" s="36"/>
      <c r="AE159" s="36"/>
      <c r="AF159" s="36"/>
      <c r="AG159" s="36"/>
      <c r="AH159" s="36"/>
      <c r="AI159" s="36"/>
      <c r="AJ159" s="36"/>
      <c r="AK159" s="36"/>
      <c r="AL159" s="36"/>
      <c r="AM159" s="36"/>
      <c r="AN159" s="36"/>
      <c r="AO159" s="36"/>
      <c r="AP159" s="36"/>
      <c r="AQ159" s="36"/>
      <c r="AR159" s="36"/>
      <c r="AS159" s="36"/>
      <c r="AT159" s="30">
        <v>0</v>
      </c>
      <c r="AU159" s="21" t="e">
        <f t="shared" si="57"/>
        <v>#DIV/0!</v>
      </c>
      <c r="AV159" s="21" t="e">
        <f t="shared" si="57"/>
        <v>#DIV/0!</v>
      </c>
      <c r="AW159" s="21" t="e">
        <f t="shared" si="57"/>
        <v>#DIV/0!</v>
      </c>
      <c r="AX159" s="21" t="e">
        <f t="shared" si="57"/>
        <v>#DIV/0!</v>
      </c>
      <c r="AY159" s="21" t="e">
        <f t="shared" si="57"/>
        <v>#DIV/0!</v>
      </c>
      <c r="AZ159" s="21" t="e">
        <f t="shared" si="57"/>
        <v>#DIV/0!</v>
      </c>
      <c r="BA159" s="23" t="e">
        <f t="shared" si="51"/>
        <v>#DIV/0!</v>
      </c>
    </row>
    <row r="160" spans="1:53" x14ac:dyDescent="0.25">
      <c r="A160" s="34"/>
      <c r="B160" s="34"/>
      <c r="C160" s="34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7"/>
      <c r="AI160" s="37"/>
      <c r="AJ160" s="37"/>
      <c r="AK160" s="37"/>
      <c r="AL160" s="35"/>
      <c r="AM160" s="37"/>
      <c r="AN160" s="35"/>
      <c r="AO160" s="35"/>
      <c r="AP160" s="35"/>
      <c r="AQ160" s="35"/>
      <c r="AR160" s="35"/>
      <c r="AS160" s="35"/>
      <c r="AT160" s="31">
        <v>0</v>
      </c>
      <c r="AU160" s="20" t="e">
        <f t="shared" si="57"/>
        <v>#DIV/0!</v>
      </c>
      <c r="AV160" s="20" t="e">
        <f t="shared" si="57"/>
        <v>#DIV/0!</v>
      </c>
      <c r="AW160" s="20" t="e">
        <f t="shared" si="57"/>
        <v>#DIV/0!</v>
      </c>
      <c r="AX160" s="20" t="e">
        <f t="shared" si="57"/>
        <v>#DIV/0!</v>
      </c>
      <c r="AY160" s="20" t="e">
        <f t="shared" si="57"/>
        <v>#DIV/0!</v>
      </c>
      <c r="AZ160" s="20" t="e">
        <f t="shared" si="57"/>
        <v>#DIV/0!</v>
      </c>
      <c r="BA160" s="23" t="e">
        <f t="shared" si="51"/>
        <v>#DIV/0!</v>
      </c>
    </row>
  </sheetData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89"/>
  <sheetViews>
    <sheetView workbookViewId="0">
      <pane xSplit="6" ySplit="15" topLeftCell="AV25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57">
        <v>1961</v>
      </c>
      <c r="E1" s="57">
        <v>1962</v>
      </c>
      <c r="F1" s="57">
        <v>1963</v>
      </c>
      <c r="G1" s="57">
        <v>1964</v>
      </c>
      <c r="H1" s="57">
        <v>1965</v>
      </c>
      <c r="I1" s="57">
        <v>1966</v>
      </c>
      <c r="J1" s="57">
        <v>1967</v>
      </c>
      <c r="K1" s="57">
        <v>1968</v>
      </c>
      <c r="L1" s="57">
        <v>1969</v>
      </c>
      <c r="M1" s="57">
        <v>1970</v>
      </c>
      <c r="N1" s="57">
        <v>1971</v>
      </c>
      <c r="O1" s="57">
        <v>1972</v>
      </c>
      <c r="P1" s="57">
        <v>1973</v>
      </c>
      <c r="Q1" s="57">
        <v>1974</v>
      </c>
      <c r="R1" s="57">
        <v>1975</v>
      </c>
      <c r="S1" s="57">
        <v>1976</v>
      </c>
      <c r="T1" s="57">
        <v>1977</v>
      </c>
      <c r="U1" s="57">
        <v>1978</v>
      </c>
      <c r="V1" s="57">
        <v>1979</v>
      </c>
      <c r="W1" s="57">
        <v>1980</v>
      </c>
      <c r="X1" s="57">
        <v>1981</v>
      </c>
      <c r="Y1" s="57">
        <v>1982</v>
      </c>
      <c r="Z1" s="57">
        <v>1983</v>
      </c>
      <c r="AA1" s="57">
        <v>1984</v>
      </c>
      <c r="AB1" s="57">
        <v>1985</v>
      </c>
      <c r="AC1" s="57">
        <v>1986</v>
      </c>
      <c r="AD1" s="57">
        <v>1987</v>
      </c>
      <c r="AE1" s="57">
        <v>1988</v>
      </c>
      <c r="AF1" s="57">
        <v>1989</v>
      </c>
      <c r="AG1" s="57">
        <v>1990</v>
      </c>
      <c r="AH1" s="57">
        <v>1991</v>
      </c>
      <c r="AI1" s="57">
        <v>1992</v>
      </c>
      <c r="AJ1" s="57">
        <v>1993</v>
      </c>
      <c r="AK1" s="57">
        <v>1994</v>
      </c>
      <c r="AL1" s="57">
        <v>1995</v>
      </c>
      <c r="AM1" s="57">
        <v>1996</v>
      </c>
      <c r="AN1" s="57">
        <v>1997</v>
      </c>
      <c r="AO1" s="57">
        <v>1998</v>
      </c>
      <c r="AP1" s="57">
        <v>1999</v>
      </c>
      <c r="AQ1" s="57">
        <v>2000</v>
      </c>
      <c r="AR1" s="57">
        <v>2001</v>
      </c>
      <c r="AS1" s="57">
        <v>2002</v>
      </c>
      <c r="AT1" s="57">
        <v>2003</v>
      </c>
      <c r="AU1" s="57">
        <v>2004</v>
      </c>
      <c r="AV1" s="57">
        <v>2005</v>
      </c>
      <c r="AW1" s="57">
        <v>2006</v>
      </c>
      <c r="AX1" s="57">
        <v>2007</v>
      </c>
      <c r="AY1" s="57">
        <v>2008</v>
      </c>
      <c r="AZ1" s="57">
        <v>2009</v>
      </c>
      <c r="BA1" s="57">
        <v>2010</v>
      </c>
      <c r="BB1" s="57">
        <v>2011</v>
      </c>
      <c r="BC1" s="57">
        <v>2012</v>
      </c>
      <c r="BD1" s="57">
        <v>2013</v>
      </c>
    </row>
    <row r="2" spans="1:56" x14ac:dyDescent="0.25">
      <c r="A2" s="12" t="s">
        <v>30</v>
      </c>
      <c r="B2" s="2" t="s">
        <v>5</v>
      </c>
      <c r="C2" s="2" t="s">
        <v>6</v>
      </c>
      <c r="D2" s="44">
        <v>5275</v>
      </c>
      <c r="E2" s="44">
        <v>6002</v>
      </c>
      <c r="F2" s="44">
        <v>6100</v>
      </c>
      <c r="G2" s="44">
        <v>4279</v>
      </c>
      <c r="H2" s="44">
        <v>4583</v>
      </c>
      <c r="I2" s="44">
        <v>5118</v>
      </c>
      <c r="J2" s="44">
        <v>9762</v>
      </c>
      <c r="K2" s="44">
        <v>5316</v>
      </c>
      <c r="L2" s="44">
        <v>5340</v>
      </c>
      <c r="M2" s="44">
        <v>6132</v>
      </c>
      <c r="N2" s="44">
        <v>8600</v>
      </c>
      <c r="O2" s="44">
        <v>9483</v>
      </c>
      <c r="P2" s="44">
        <v>4160</v>
      </c>
      <c r="Q2" s="44">
        <v>11105</v>
      </c>
      <c r="R2" s="44">
        <v>9140</v>
      </c>
      <c r="S2" s="44">
        <v>7314</v>
      </c>
      <c r="T2" s="44">
        <v>9727</v>
      </c>
      <c r="U2" s="44">
        <v>10056</v>
      </c>
      <c r="V2" s="44">
        <v>8332</v>
      </c>
      <c r="W2" s="44">
        <v>11040</v>
      </c>
      <c r="X2" s="44">
        <v>14872</v>
      </c>
      <c r="Y2" s="44">
        <v>8781</v>
      </c>
      <c r="Z2" s="44">
        <v>4399</v>
      </c>
      <c r="AA2" s="44">
        <v>4797</v>
      </c>
      <c r="AB2" s="44">
        <v>8444</v>
      </c>
      <c r="AC2" s="44">
        <v>8600</v>
      </c>
      <c r="AD2" s="44">
        <v>7890</v>
      </c>
      <c r="AE2" s="44">
        <v>7670</v>
      </c>
      <c r="AF2" s="44">
        <v>12481</v>
      </c>
      <c r="AG2" s="44">
        <v>9180</v>
      </c>
      <c r="AH2" s="44">
        <v>8614</v>
      </c>
      <c r="AI2" s="44">
        <v>3277</v>
      </c>
      <c r="AJ2" s="44">
        <v>9997</v>
      </c>
      <c r="AK2" s="44">
        <v>13275</v>
      </c>
      <c r="AL2" s="44">
        <v>4866</v>
      </c>
      <c r="AM2" s="44">
        <v>10171</v>
      </c>
      <c r="AN2" s="44">
        <v>10136</v>
      </c>
      <c r="AO2" s="44">
        <v>7693</v>
      </c>
      <c r="AP2" s="44">
        <v>7946</v>
      </c>
      <c r="AQ2" s="44">
        <v>11455</v>
      </c>
      <c r="AR2" s="44">
        <v>8040</v>
      </c>
      <c r="AS2" s="44">
        <v>10050</v>
      </c>
      <c r="AT2" s="44">
        <v>9675</v>
      </c>
      <c r="AU2" s="44">
        <v>9700</v>
      </c>
      <c r="AV2" s="44">
        <v>11716</v>
      </c>
      <c r="AW2" s="44">
        <v>6935</v>
      </c>
      <c r="AX2" s="44">
        <v>7300</v>
      </c>
      <c r="AY2" s="44">
        <v>13164</v>
      </c>
      <c r="AZ2" s="44">
        <v>12567</v>
      </c>
      <c r="BA2" s="44">
        <v>13420</v>
      </c>
      <c r="BB2" s="44">
        <f>10360000/1000</f>
        <v>10360</v>
      </c>
      <c r="BC2" s="42">
        <f>11830000/1000</f>
        <v>11830</v>
      </c>
      <c r="BD2" s="42">
        <f>12486000/1000</f>
        <v>12486</v>
      </c>
    </row>
    <row r="3" spans="1:56" s="5" customFormat="1" x14ac:dyDescent="0.25">
      <c r="A3" s="14"/>
      <c r="B3" s="6"/>
      <c r="C3" s="6" t="s">
        <v>7</v>
      </c>
      <c r="D3" s="47">
        <v>0</v>
      </c>
      <c r="E3" s="47">
        <v>2</v>
      </c>
      <c r="F3" s="47">
        <v>1</v>
      </c>
      <c r="G3" s="47">
        <v>0</v>
      </c>
      <c r="H3" s="47">
        <v>160</v>
      </c>
      <c r="I3" s="47">
        <v>136</v>
      </c>
      <c r="J3" s="47">
        <v>3</v>
      </c>
      <c r="K3" s="47">
        <v>0</v>
      </c>
      <c r="L3" s="47">
        <v>503</v>
      </c>
      <c r="M3" s="47">
        <v>9</v>
      </c>
      <c r="N3" s="47">
        <v>2</v>
      </c>
      <c r="O3" s="47">
        <v>0</v>
      </c>
      <c r="P3" s="47">
        <v>0</v>
      </c>
      <c r="Q3" s="47">
        <v>0</v>
      </c>
      <c r="R3" s="47">
        <v>0</v>
      </c>
      <c r="S3" s="47">
        <v>0</v>
      </c>
      <c r="T3" s="47">
        <v>0</v>
      </c>
      <c r="U3" s="47">
        <v>0</v>
      </c>
      <c r="V3" s="47">
        <v>0</v>
      </c>
      <c r="W3" s="47">
        <v>0</v>
      </c>
      <c r="X3" s="47">
        <v>0</v>
      </c>
      <c r="Y3" s="47">
        <v>0</v>
      </c>
      <c r="Z3" s="47">
        <v>2314</v>
      </c>
      <c r="AA3" s="47">
        <v>2008</v>
      </c>
      <c r="AB3" s="47">
        <v>193</v>
      </c>
      <c r="AC3" s="47">
        <v>9</v>
      </c>
      <c r="AD3" s="47">
        <v>0</v>
      </c>
      <c r="AE3" s="47">
        <v>0</v>
      </c>
      <c r="AF3" s="47">
        <v>0</v>
      </c>
      <c r="AG3" s="47">
        <v>205</v>
      </c>
      <c r="AH3" s="47">
        <v>375</v>
      </c>
      <c r="AI3" s="47">
        <v>4000</v>
      </c>
      <c r="AJ3" s="47">
        <v>0</v>
      </c>
      <c r="AK3" s="47">
        <v>225</v>
      </c>
      <c r="AL3" s="47">
        <v>825</v>
      </c>
      <c r="AM3" s="47">
        <v>410</v>
      </c>
      <c r="AN3" s="47">
        <v>157</v>
      </c>
      <c r="AO3" s="47">
        <v>124</v>
      </c>
      <c r="AP3" s="47">
        <v>569</v>
      </c>
      <c r="AQ3" s="47">
        <v>0</v>
      </c>
      <c r="AR3" s="47">
        <v>395</v>
      </c>
      <c r="AS3" s="47">
        <v>923</v>
      </c>
      <c r="AT3" s="47">
        <v>441</v>
      </c>
      <c r="AU3" s="47">
        <v>219</v>
      </c>
      <c r="AV3" s="47">
        <v>361</v>
      </c>
      <c r="AW3" s="47">
        <v>931</v>
      </c>
      <c r="AX3" s="47">
        <v>1121</v>
      </c>
      <c r="AY3" s="47">
        <v>27</v>
      </c>
      <c r="AZ3" s="47">
        <v>27</v>
      </c>
      <c r="BA3" s="47">
        <v>25</v>
      </c>
      <c r="BB3" s="47">
        <f>87508/1000</f>
        <v>87.507999999999996</v>
      </c>
      <c r="BC3" s="43"/>
      <c r="BD3" s="43"/>
    </row>
    <row r="4" spans="1:56" x14ac:dyDescent="0.25">
      <c r="A4" s="12"/>
      <c r="B4" s="2"/>
      <c r="C4" s="2" t="s">
        <v>8</v>
      </c>
      <c r="D4" s="44">
        <v>1617</v>
      </c>
      <c r="E4" s="44">
        <v>2586</v>
      </c>
      <c r="F4" s="44">
        <v>2765</v>
      </c>
      <c r="G4" s="44">
        <v>1101</v>
      </c>
      <c r="H4" s="44">
        <v>480</v>
      </c>
      <c r="I4" s="44">
        <v>482</v>
      </c>
      <c r="J4" s="44">
        <v>2899</v>
      </c>
      <c r="K4" s="44">
        <v>2671</v>
      </c>
      <c r="L4" s="44">
        <v>796</v>
      </c>
      <c r="M4" s="44">
        <v>1104</v>
      </c>
      <c r="N4" s="44">
        <v>2555</v>
      </c>
      <c r="O4" s="44">
        <v>3562</v>
      </c>
      <c r="P4" s="44">
        <v>157</v>
      </c>
      <c r="Q4" s="44">
        <v>3227</v>
      </c>
      <c r="R4" s="44">
        <v>3206</v>
      </c>
      <c r="S4" s="44">
        <v>1465</v>
      </c>
      <c r="T4" s="44">
        <v>2525</v>
      </c>
      <c r="U4" s="44">
        <v>3012</v>
      </c>
      <c r="V4" s="44">
        <v>2325</v>
      </c>
      <c r="W4" s="44">
        <v>3444</v>
      </c>
      <c r="X4" s="44">
        <v>4955</v>
      </c>
      <c r="Y4" s="44">
        <v>3787</v>
      </c>
      <c r="Z4" s="44">
        <v>238</v>
      </c>
      <c r="AA4" s="44">
        <v>9</v>
      </c>
      <c r="AB4" s="44">
        <v>517</v>
      </c>
      <c r="AC4" s="44">
        <v>2899</v>
      </c>
      <c r="AD4" s="44">
        <v>1437</v>
      </c>
      <c r="AE4" s="44">
        <v>600</v>
      </c>
      <c r="AF4" s="44">
        <v>4000</v>
      </c>
      <c r="AG4" s="44">
        <v>1000</v>
      </c>
      <c r="AH4" s="44">
        <v>900</v>
      </c>
      <c r="AI4" s="44">
        <v>0</v>
      </c>
      <c r="AJ4" s="44">
        <v>1200</v>
      </c>
      <c r="AK4" s="44">
        <v>4200</v>
      </c>
      <c r="AL4" s="44">
        <v>250</v>
      </c>
      <c r="AM4" s="44">
        <v>2650</v>
      </c>
      <c r="AN4" s="44">
        <v>1418</v>
      </c>
      <c r="AO4" s="44">
        <v>1249</v>
      </c>
      <c r="AP4" s="44">
        <v>533</v>
      </c>
      <c r="AQ4" s="44">
        <v>1423</v>
      </c>
      <c r="AR4" s="44">
        <v>1281</v>
      </c>
      <c r="AS4" s="44">
        <v>1074</v>
      </c>
      <c r="AT4" s="44">
        <v>1096</v>
      </c>
      <c r="AU4" s="44">
        <v>729</v>
      </c>
      <c r="AV4" s="44">
        <v>2143</v>
      </c>
      <c r="AW4" s="44">
        <v>548</v>
      </c>
      <c r="AX4" s="44">
        <v>468</v>
      </c>
      <c r="AY4" s="44">
        <v>2162</v>
      </c>
      <c r="AZ4" s="44">
        <v>1671</v>
      </c>
      <c r="BA4" s="44">
        <v>2000</v>
      </c>
      <c r="BB4" s="44">
        <f>2563159/1000</f>
        <v>2563.1590000000001</v>
      </c>
      <c r="BC4" s="42"/>
      <c r="BD4" s="42"/>
    </row>
    <row r="5" spans="1:56" s="5" customFormat="1" x14ac:dyDescent="0.25">
      <c r="A5" s="14"/>
      <c r="B5" s="6"/>
      <c r="C5" s="6" t="s">
        <v>9</v>
      </c>
      <c r="D5" s="47">
        <v>3220</v>
      </c>
      <c r="E5" s="47">
        <v>3439</v>
      </c>
      <c r="F5" s="47">
        <v>3566</v>
      </c>
      <c r="G5" s="47">
        <v>3457</v>
      </c>
      <c r="H5" s="47">
        <v>4576</v>
      </c>
      <c r="I5" s="47">
        <v>4363</v>
      </c>
      <c r="J5" s="47">
        <v>4471</v>
      </c>
      <c r="K5" s="47">
        <v>4885</v>
      </c>
      <c r="L5" s="47">
        <v>5008</v>
      </c>
      <c r="M5" s="47">
        <v>5159</v>
      </c>
      <c r="N5" s="47">
        <v>5173</v>
      </c>
      <c r="O5" s="47">
        <v>5540</v>
      </c>
      <c r="P5" s="47">
        <v>5544</v>
      </c>
      <c r="Q5" s="47">
        <v>6325</v>
      </c>
      <c r="R5" s="47">
        <v>6376</v>
      </c>
      <c r="S5" s="47">
        <v>6438</v>
      </c>
      <c r="T5" s="47">
        <v>6553</v>
      </c>
      <c r="U5" s="47">
        <v>6565</v>
      </c>
      <c r="V5" s="47">
        <v>6763</v>
      </c>
      <c r="W5" s="47">
        <v>6677</v>
      </c>
      <c r="X5" s="47">
        <v>7617</v>
      </c>
      <c r="Y5" s="47">
        <v>8072</v>
      </c>
      <c r="Z5" s="47">
        <v>7775</v>
      </c>
      <c r="AA5" s="47">
        <v>6696</v>
      </c>
      <c r="AB5" s="47">
        <v>6520</v>
      </c>
      <c r="AC5" s="47">
        <v>6310</v>
      </c>
      <c r="AD5" s="47">
        <v>6853</v>
      </c>
      <c r="AE5" s="47">
        <v>7470</v>
      </c>
      <c r="AF5" s="47">
        <v>7881</v>
      </c>
      <c r="AG5" s="47">
        <v>8285</v>
      </c>
      <c r="AH5" s="47">
        <v>8289</v>
      </c>
      <c r="AI5" s="47">
        <v>7527</v>
      </c>
      <c r="AJ5" s="47">
        <v>7747</v>
      </c>
      <c r="AK5" s="47">
        <v>8100</v>
      </c>
      <c r="AL5" s="47">
        <v>7691</v>
      </c>
      <c r="AM5" s="47">
        <v>7681</v>
      </c>
      <c r="AN5" s="47">
        <v>7636</v>
      </c>
      <c r="AO5" s="47">
        <v>7990</v>
      </c>
      <c r="AP5" s="47">
        <v>7936</v>
      </c>
      <c r="AQ5" s="47">
        <v>8854</v>
      </c>
      <c r="AR5" s="47">
        <v>8705</v>
      </c>
      <c r="AS5" s="47">
        <v>8446</v>
      </c>
      <c r="AT5" s="47">
        <v>8520</v>
      </c>
      <c r="AU5" s="47">
        <v>8677</v>
      </c>
      <c r="AV5" s="47">
        <v>9700</v>
      </c>
      <c r="AW5" s="47">
        <v>8200</v>
      </c>
      <c r="AX5" s="47">
        <v>8600</v>
      </c>
      <c r="AY5" s="47">
        <v>9600</v>
      </c>
      <c r="AZ5" s="47">
        <v>9900</v>
      </c>
      <c r="BA5" s="47">
        <v>10400</v>
      </c>
      <c r="BB5" s="47">
        <f>BB2+BB3-BB4</f>
        <v>7884.3490000000002</v>
      </c>
      <c r="BC5" s="43"/>
      <c r="BD5" s="43"/>
    </row>
    <row r="6" spans="1:56" x14ac:dyDescent="0.25">
      <c r="A6" s="12"/>
      <c r="B6" s="2" t="s">
        <v>10</v>
      </c>
      <c r="C6" s="2" t="s">
        <v>6</v>
      </c>
      <c r="D6" s="44">
        <v>23</v>
      </c>
      <c r="E6" s="44">
        <v>32</v>
      </c>
      <c r="F6" s="44">
        <v>55</v>
      </c>
      <c r="G6" s="44">
        <v>47</v>
      </c>
      <c r="H6" s="44">
        <v>85</v>
      </c>
      <c r="I6" s="44">
        <v>70</v>
      </c>
      <c r="J6" s="44">
        <v>70</v>
      </c>
      <c r="K6" s="44">
        <v>70</v>
      </c>
      <c r="L6" s="44">
        <v>100</v>
      </c>
      <c r="M6" s="44">
        <v>75</v>
      </c>
      <c r="N6" s="44">
        <v>70</v>
      </c>
      <c r="O6" s="44">
        <v>70</v>
      </c>
      <c r="P6" s="44">
        <v>80</v>
      </c>
      <c r="Q6" s="44">
        <v>185</v>
      </c>
      <c r="R6" s="44">
        <v>188</v>
      </c>
      <c r="S6" s="44">
        <v>83</v>
      </c>
      <c r="T6" s="44">
        <v>159</v>
      </c>
      <c r="U6" s="44">
        <v>235</v>
      </c>
      <c r="V6" s="44">
        <v>251</v>
      </c>
      <c r="W6" s="44">
        <v>299</v>
      </c>
      <c r="X6" s="44">
        <v>265</v>
      </c>
      <c r="Y6" s="44">
        <v>173</v>
      </c>
      <c r="Z6" s="44">
        <v>124</v>
      </c>
      <c r="AA6" s="44">
        <v>165</v>
      </c>
      <c r="AB6" s="44">
        <v>211</v>
      </c>
      <c r="AC6" s="44">
        <v>216</v>
      </c>
      <c r="AD6" s="44">
        <v>280</v>
      </c>
      <c r="AE6" s="44">
        <v>358</v>
      </c>
      <c r="AF6" s="44">
        <v>357</v>
      </c>
      <c r="AG6" s="44">
        <v>279</v>
      </c>
      <c r="AH6" s="44">
        <v>227</v>
      </c>
      <c r="AI6" s="44">
        <v>94</v>
      </c>
      <c r="AJ6" s="44">
        <v>69</v>
      </c>
      <c r="AK6" s="44">
        <v>124</v>
      </c>
      <c r="AL6" s="44">
        <v>105</v>
      </c>
      <c r="AM6" s="44">
        <v>205</v>
      </c>
      <c r="AN6" s="44">
        <v>142</v>
      </c>
      <c r="AO6" s="44">
        <v>195</v>
      </c>
      <c r="AP6" s="44">
        <v>228</v>
      </c>
      <c r="AQ6" s="44">
        <v>121</v>
      </c>
      <c r="AR6" s="44">
        <v>155</v>
      </c>
      <c r="AS6" s="44">
        <v>83</v>
      </c>
      <c r="AT6" s="44">
        <v>70</v>
      </c>
      <c r="AU6" s="44">
        <v>125</v>
      </c>
      <c r="AV6" s="44">
        <v>95</v>
      </c>
      <c r="AW6" s="44">
        <v>68</v>
      </c>
      <c r="AX6" s="44">
        <v>52</v>
      </c>
      <c r="AY6" s="44">
        <v>46</v>
      </c>
      <c r="AZ6" s="44">
        <v>38</v>
      </c>
      <c r="BA6" s="44">
        <v>39</v>
      </c>
      <c r="BB6" s="44">
        <f>18000/1000</f>
        <v>18</v>
      </c>
      <c r="BC6" s="42">
        <f>13000/1000</f>
        <v>13</v>
      </c>
      <c r="BD6" s="42">
        <f>7000/1000</f>
        <v>7</v>
      </c>
    </row>
    <row r="7" spans="1:56" s="5" customFormat="1" x14ac:dyDescent="0.25">
      <c r="A7" s="14"/>
      <c r="B7" s="6"/>
      <c r="C7" s="6" t="s">
        <v>7</v>
      </c>
      <c r="D7" s="47">
        <v>92</v>
      </c>
      <c r="E7" s="47">
        <v>122</v>
      </c>
      <c r="F7" s="47">
        <v>108</v>
      </c>
      <c r="G7" s="47">
        <v>95</v>
      </c>
      <c r="H7" s="47">
        <v>132</v>
      </c>
      <c r="I7" s="47">
        <v>127</v>
      </c>
      <c r="J7" s="47">
        <v>177</v>
      </c>
      <c r="K7" s="47">
        <v>126</v>
      </c>
      <c r="L7" s="47">
        <v>132</v>
      </c>
      <c r="M7" s="47">
        <v>106</v>
      </c>
      <c r="N7" s="47">
        <v>156</v>
      </c>
      <c r="O7" s="47">
        <v>185</v>
      </c>
      <c r="P7" s="47">
        <v>255</v>
      </c>
      <c r="Q7" s="47">
        <v>195</v>
      </c>
      <c r="R7" s="47">
        <v>102</v>
      </c>
      <c r="S7" s="47">
        <v>124</v>
      </c>
      <c r="T7" s="47">
        <v>66</v>
      </c>
      <c r="U7" s="47">
        <v>70</v>
      </c>
      <c r="V7" s="47">
        <v>30</v>
      </c>
      <c r="W7" s="47">
        <v>56</v>
      </c>
      <c r="X7" s="47">
        <v>28</v>
      </c>
      <c r="Y7" s="47">
        <v>73</v>
      </c>
      <c r="Z7" s="47">
        <v>80</v>
      </c>
      <c r="AA7" s="47">
        <v>180</v>
      </c>
      <c r="AB7" s="47">
        <v>115</v>
      </c>
      <c r="AC7" s="47">
        <v>106</v>
      </c>
      <c r="AD7" s="47">
        <v>102</v>
      </c>
      <c r="AE7" s="47">
        <v>80</v>
      </c>
      <c r="AF7" s="47">
        <v>45</v>
      </c>
      <c r="AG7" s="47">
        <v>37</v>
      </c>
      <c r="AH7" s="47">
        <v>65</v>
      </c>
      <c r="AI7" s="47">
        <v>140</v>
      </c>
      <c r="AJ7" s="47">
        <v>228</v>
      </c>
      <c r="AK7" s="47">
        <v>194</v>
      </c>
      <c r="AL7" s="47">
        <v>235</v>
      </c>
      <c r="AM7" s="47">
        <v>200</v>
      </c>
      <c r="AN7" s="47">
        <v>200</v>
      </c>
      <c r="AO7" s="47">
        <v>200</v>
      </c>
      <c r="AP7" s="47">
        <v>175</v>
      </c>
      <c r="AQ7" s="47">
        <v>235</v>
      </c>
      <c r="AR7" s="47">
        <v>175</v>
      </c>
      <c r="AS7" s="47">
        <v>250</v>
      </c>
      <c r="AT7" s="47">
        <v>264</v>
      </c>
      <c r="AU7" s="47">
        <v>195</v>
      </c>
      <c r="AV7" s="47">
        <v>124</v>
      </c>
      <c r="AW7" s="47">
        <v>145</v>
      </c>
      <c r="AX7" s="47">
        <v>251</v>
      </c>
      <c r="AY7" s="47">
        <v>175</v>
      </c>
      <c r="AZ7" s="47">
        <v>156</v>
      </c>
      <c r="BA7" s="47">
        <v>132</v>
      </c>
      <c r="BB7" s="47">
        <f>32673/1000</f>
        <v>32.673000000000002</v>
      </c>
      <c r="BC7" s="43"/>
      <c r="BD7" s="43"/>
    </row>
    <row r="8" spans="1:56" x14ac:dyDescent="0.25">
      <c r="A8" s="12"/>
      <c r="B8" s="2"/>
      <c r="C8" s="2" t="s">
        <v>8</v>
      </c>
      <c r="D8" s="44">
        <v>1</v>
      </c>
      <c r="E8" s="44">
        <v>4</v>
      </c>
      <c r="F8" s="44">
        <v>7</v>
      </c>
      <c r="G8" s="44">
        <v>2</v>
      </c>
      <c r="H8" s="44">
        <v>10</v>
      </c>
      <c r="I8" s="44">
        <v>2</v>
      </c>
      <c r="J8" s="44">
        <v>5</v>
      </c>
      <c r="K8" s="44">
        <v>4</v>
      </c>
      <c r="L8" s="44">
        <v>6</v>
      </c>
      <c r="M8" s="44">
        <v>21</v>
      </c>
      <c r="N8" s="44">
        <v>10</v>
      </c>
      <c r="O8" s="44">
        <v>8</v>
      </c>
      <c r="P8" s="44">
        <v>11</v>
      </c>
      <c r="Q8" s="44">
        <v>9</v>
      </c>
      <c r="R8" s="44">
        <v>6</v>
      </c>
      <c r="S8" s="44">
        <v>6</v>
      </c>
      <c r="T8" s="44">
        <v>0</v>
      </c>
      <c r="U8" s="44">
        <v>10</v>
      </c>
      <c r="V8" s="44">
        <v>11</v>
      </c>
      <c r="W8" s="44">
        <v>3</v>
      </c>
      <c r="X8" s="44">
        <v>0</v>
      </c>
      <c r="Y8" s="44">
        <v>0</v>
      </c>
      <c r="Z8" s="44">
        <v>0</v>
      </c>
      <c r="AA8" s="44">
        <v>0</v>
      </c>
      <c r="AB8" s="44">
        <v>0</v>
      </c>
      <c r="AC8" s="44">
        <v>0</v>
      </c>
      <c r="AD8" s="44">
        <v>0</v>
      </c>
      <c r="AE8" s="44">
        <v>0</v>
      </c>
      <c r="AF8" s="44">
        <v>23</v>
      </c>
      <c r="AG8" s="44">
        <v>15</v>
      </c>
      <c r="AH8" s="44">
        <v>24</v>
      </c>
      <c r="AI8" s="44">
        <v>20</v>
      </c>
      <c r="AJ8" s="44">
        <v>0</v>
      </c>
      <c r="AK8" s="44">
        <v>0</v>
      </c>
      <c r="AL8" s="44">
        <v>0</v>
      </c>
      <c r="AM8" s="44">
        <v>0</v>
      </c>
      <c r="AN8" s="44">
        <v>10</v>
      </c>
      <c r="AO8" s="44">
        <v>0</v>
      </c>
      <c r="AP8" s="44">
        <v>40</v>
      </c>
      <c r="AQ8" s="44">
        <v>30</v>
      </c>
      <c r="AR8" s="44">
        <v>20</v>
      </c>
      <c r="AS8" s="44">
        <v>5</v>
      </c>
      <c r="AT8" s="44">
        <v>5</v>
      </c>
      <c r="AU8" s="44">
        <v>0</v>
      </c>
      <c r="AV8" s="44">
        <v>0</v>
      </c>
      <c r="AW8" s="44">
        <v>0</v>
      </c>
      <c r="AX8" s="44">
        <v>0</v>
      </c>
      <c r="AY8" s="44">
        <v>0</v>
      </c>
      <c r="AZ8" s="44">
        <v>0</v>
      </c>
      <c r="BA8" s="44">
        <v>0</v>
      </c>
      <c r="BB8" s="44">
        <f>13205/1000</f>
        <v>13.205</v>
      </c>
      <c r="BC8" s="42"/>
      <c r="BD8" s="42"/>
    </row>
    <row r="9" spans="1:56" s="5" customFormat="1" x14ac:dyDescent="0.25">
      <c r="A9" s="14"/>
      <c r="B9" s="6"/>
      <c r="C9" s="6" t="s">
        <v>9</v>
      </c>
      <c r="D9" s="47">
        <v>110</v>
      </c>
      <c r="E9" s="47">
        <v>120</v>
      </c>
      <c r="F9" s="47">
        <v>130</v>
      </c>
      <c r="G9" s="47">
        <v>138</v>
      </c>
      <c r="H9" s="47">
        <v>164</v>
      </c>
      <c r="I9" s="47">
        <v>200</v>
      </c>
      <c r="J9" s="47">
        <v>215</v>
      </c>
      <c r="K9" s="47">
        <v>220</v>
      </c>
      <c r="L9" s="47">
        <v>235</v>
      </c>
      <c r="M9" s="47">
        <v>235</v>
      </c>
      <c r="N9" s="47">
        <v>230</v>
      </c>
      <c r="O9" s="47">
        <v>265</v>
      </c>
      <c r="P9" s="47">
        <v>295</v>
      </c>
      <c r="Q9" s="47">
        <v>280</v>
      </c>
      <c r="R9" s="47">
        <v>274</v>
      </c>
      <c r="S9" s="47">
        <v>261</v>
      </c>
      <c r="T9" s="47">
        <v>219</v>
      </c>
      <c r="U9" s="47">
        <v>221</v>
      </c>
      <c r="V9" s="47">
        <v>246</v>
      </c>
      <c r="W9" s="47">
        <v>285</v>
      </c>
      <c r="X9" s="47">
        <v>319</v>
      </c>
      <c r="Y9" s="47">
        <v>308</v>
      </c>
      <c r="Z9" s="47">
        <v>284</v>
      </c>
      <c r="AA9" s="47">
        <v>301</v>
      </c>
      <c r="AB9" s="47">
        <v>294</v>
      </c>
      <c r="AC9" s="47">
        <v>338</v>
      </c>
      <c r="AD9" s="47">
        <v>359</v>
      </c>
      <c r="AE9" s="47">
        <v>358</v>
      </c>
      <c r="AF9" s="47">
        <v>344</v>
      </c>
      <c r="AG9" s="47">
        <v>367</v>
      </c>
      <c r="AH9" s="47">
        <v>339</v>
      </c>
      <c r="AI9" s="47">
        <v>310</v>
      </c>
      <c r="AJ9" s="47">
        <v>298</v>
      </c>
      <c r="AK9" s="47">
        <v>328</v>
      </c>
      <c r="AL9" s="47">
        <v>350</v>
      </c>
      <c r="AM9" s="47">
        <v>350</v>
      </c>
      <c r="AN9" s="47">
        <v>350</v>
      </c>
      <c r="AO9" s="47">
        <v>380</v>
      </c>
      <c r="AP9" s="47">
        <v>350</v>
      </c>
      <c r="AQ9" s="47">
        <v>340</v>
      </c>
      <c r="AR9" s="47">
        <v>325</v>
      </c>
      <c r="AS9" s="47">
        <v>325</v>
      </c>
      <c r="AT9" s="47">
        <v>330</v>
      </c>
      <c r="AU9" s="47">
        <v>290</v>
      </c>
      <c r="AV9" s="47">
        <v>249</v>
      </c>
      <c r="AW9" s="47">
        <v>225</v>
      </c>
      <c r="AX9" s="47">
        <v>250</v>
      </c>
      <c r="AY9" s="47">
        <v>235</v>
      </c>
      <c r="AZ9" s="47">
        <v>210</v>
      </c>
      <c r="BA9" s="47">
        <v>185</v>
      </c>
      <c r="BB9" s="47">
        <f>BB6+BB7-BB8</f>
        <v>37.468000000000004</v>
      </c>
      <c r="BC9" s="43"/>
      <c r="BD9" s="43"/>
    </row>
    <row r="10" spans="1:56" x14ac:dyDescent="0.25">
      <c r="A10" s="12"/>
      <c r="B10" s="2" t="s">
        <v>11</v>
      </c>
      <c r="C10" s="2" t="s">
        <v>6</v>
      </c>
      <c r="D10" s="44">
        <v>0</v>
      </c>
      <c r="E10" s="44">
        <v>0</v>
      </c>
      <c r="F10" s="44">
        <v>0</v>
      </c>
      <c r="G10" s="44">
        <v>0</v>
      </c>
      <c r="H10" s="44">
        <v>2</v>
      </c>
      <c r="I10" s="44">
        <v>3</v>
      </c>
      <c r="J10" s="44">
        <v>4</v>
      </c>
      <c r="K10" s="44">
        <v>5</v>
      </c>
      <c r="L10" s="44">
        <v>7</v>
      </c>
      <c r="M10" s="44">
        <v>4</v>
      </c>
      <c r="N10" s="44">
        <v>2</v>
      </c>
      <c r="O10" s="44">
        <v>5</v>
      </c>
      <c r="P10" s="44">
        <v>5</v>
      </c>
      <c r="Q10" s="44">
        <v>21</v>
      </c>
      <c r="R10" s="44">
        <v>20</v>
      </c>
      <c r="S10" s="44">
        <v>18</v>
      </c>
      <c r="T10" s="44">
        <v>28</v>
      </c>
      <c r="U10" s="44">
        <v>37</v>
      </c>
      <c r="V10" s="44">
        <v>26</v>
      </c>
      <c r="W10" s="44">
        <v>40</v>
      </c>
      <c r="X10" s="44">
        <v>26</v>
      </c>
      <c r="Y10" s="44">
        <v>21</v>
      </c>
      <c r="Z10" s="44">
        <v>26</v>
      </c>
      <c r="AA10" s="44">
        <v>32</v>
      </c>
      <c r="AB10" s="44">
        <v>35</v>
      </c>
      <c r="AC10" s="44">
        <v>35</v>
      </c>
      <c r="AD10" s="44">
        <v>63</v>
      </c>
      <c r="AE10" s="44">
        <v>84</v>
      </c>
      <c r="AF10" s="44">
        <v>70</v>
      </c>
      <c r="AG10" s="44">
        <v>108</v>
      </c>
      <c r="AH10" s="44">
        <v>126</v>
      </c>
      <c r="AI10" s="44">
        <v>68</v>
      </c>
      <c r="AJ10" s="44">
        <v>61</v>
      </c>
      <c r="AK10" s="44">
        <v>72</v>
      </c>
      <c r="AL10" s="44">
        <v>58</v>
      </c>
      <c r="AM10" s="44">
        <v>80</v>
      </c>
      <c r="AN10" s="44">
        <v>120</v>
      </c>
      <c r="AO10" s="44">
        <v>197</v>
      </c>
      <c r="AP10" s="44">
        <v>175</v>
      </c>
      <c r="AQ10" s="44">
        <v>149</v>
      </c>
      <c r="AR10" s="44">
        <v>226</v>
      </c>
      <c r="AS10" s="44">
        <v>224</v>
      </c>
      <c r="AT10" s="44">
        <v>137</v>
      </c>
      <c r="AU10" s="44">
        <v>220</v>
      </c>
      <c r="AV10" s="44">
        <v>273</v>
      </c>
      <c r="AW10" s="44">
        <v>424</v>
      </c>
      <c r="AX10" s="44">
        <v>206</v>
      </c>
      <c r="AY10" s="44">
        <v>282</v>
      </c>
      <c r="AZ10" s="44">
        <v>516</v>
      </c>
      <c r="BA10" s="44">
        <v>561</v>
      </c>
      <c r="BB10" s="42">
        <f>710000/1000</f>
        <v>710</v>
      </c>
      <c r="BC10" s="42">
        <f>650000/1000</f>
        <v>650</v>
      </c>
      <c r="BD10">
        <f>785000/1000</f>
        <v>785</v>
      </c>
    </row>
    <row r="11" spans="1:56" s="5" customFormat="1" x14ac:dyDescent="0.25">
      <c r="A11" s="14"/>
      <c r="B11" s="6"/>
      <c r="C11" s="6" t="s">
        <v>7</v>
      </c>
      <c r="D11" s="47">
        <v>0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v>0</v>
      </c>
      <c r="O11" s="47">
        <v>3</v>
      </c>
      <c r="P11" s="47">
        <v>1</v>
      </c>
      <c r="Q11" s="47">
        <v>2</v>
      </c>
      <c r="R11" s="47">
        <v>1</v>
      </c>
      <c r="S11" s="47">
        <v>2</v>
      </c>
      <c r="T11" s="47">
        <v>0</v>
      </c>
      <c r="U11" s="47">
        <v>4</v>
      </c>
      <c r="V11" s="47">
        <v>0</v>
      </c>
      <c r="W11" s="47">
        <v>0</v>
      </c>
      <c r="X11" s="47">
        <v>0</v>
      </c>
      <c r="Y11" s="47">
        <v>5</v>
      </c>
      <c r="Z11" s="47">
        <v>7</v>
      </c>
      <c r="AA11" s="47">
        <v>5</v>
      </c>
      <c r="AB11" s="47">
        <v>0</v>
      </c>
      <c r="AC11" s="47">
        <v>0</v>
      </c>
      <c r="AD11" s="47">
        <v>0</v>
      </c>
      <c r="AE11" s="47">
        <v>0</v>
      </c>
      <c r="AF11" s="47">
        <v>0</v>
      </c>
      <c r="AG11" s="47">
        <v>0</v>
      </c>
      <c r="AH11" s="47">
        <v>0</v>
      </c>
      <c r="AI11" s="47">
        <v>200</v>
      </c>
      <c r="AJ11" s="47">
        <v>184</v>
      </c>
      <c r="AK11" s="47">
        <v>120</v>
      </c>
      <c r="AL11" s="47">
        <v>150</v>
      </c>
      <c r="AM11" s="47">
        <v>100</v>
      </c>
      <c r="AN11" s="47">
        <v>48</v>
      </c>
      <c r="AO11" s="47">
        <v>22</v>
      </c>
      <c r="AP11" s="47">
        <v>20</v>
      </c>
      <c r="AQ11" s="47">
        <v>71</v>
      </c>
      <c r="AR11" s="47">
        <v>26</v>
      </c>
      <c r="AS11" s="47">
        <v>27</v>
      </c>
      <c r="AT11" s="47">
        <v>19</v>
      </c>
      <c r="AU11" s="47">
        <v>28</v>
      </c>
      <c r="AV11" s="47">
        <v>6</v>
      </c>
      <c r="AW11" s="47">
        <v>24</v>
      </c>
      <c r="AX11" s="47">
        <v>114</v>
      </c>
      <c r="AY11" s="47">
        <v>2</v>
      </c>
      <c r="AZ11" s="47">
        <v>4</v>
      </c>
      <c r="BA11" s="47">
        <v>2</v>
      </c>
      <c r="BB11" s="47">
        <f>1539/1000</f>
        <v>1.5389999999999999</v>
      </c>
      <c r="BC11" s="43"/>
      <c r="BD11" s="43"/>
    </row>
    <row r="12" spans="1:56" x14ac:dyDescent="0.25">
      <c r="A12" s="12"/>
      <c r="B12" s="2"/>
      <c r="C12" s="2" t="s">
        <v>8</v>
      </c>
      <c r="D12" s="44">
        <v>0</v>
      </c>
      <c r="E12" s="44">
        <v>0</v>
      </c>
      <c r="F12" s="44">
        <v>0</v>
      </c>
      <c r="G12" s="44">
        <v>0</v>
      </c>
      <c r="H12" s="44">
        <v>0</v>
      </c>
      <c r="I12" s="44">
        <v>0</v>
      </c>
      <c r="J12" s="44">
        <v>0</v>
      </c>
      <c r="K12" s="44">
        <v>0</v>
      </c>
      <c r="L12" s="44">
        <v>0</v>
      </c>
      <c r="M12" s="44">
        <v>1</v>
      </c>
      <c r="N12" s="44">
        <v>0</v>
      </c>
      <c r="O12" s="44">
        <v>0</v>
      </c>
      <c r="P12" s="44">
        <v>1</v>
      </c>
      <c r="Q12" s="44">
        <v>4</v>
      </c>
      <c r="R12" s="44">
        <v>4</v>
      </c>
      <c r="S12" s="44">
        <v>1</v>
      </c>
      <c r="T12" s="44">
        <v>7</v>
      </c>
      <c r="U12" s="44">
        <v>1</v>
      </c>
      <c r="V12" s="44">
        <v>1</v>
      </c>
      <c r="W12" s="44">
        <v>1</v>
      </c>
      <c r="X12" s="44">
        <v>0</v>
      </c>
      <c r="Y12" s="44">
        <v>0</v>
      </c>
      <c r="Z12" s="44">
        <v>0</v>
      </c>
      <c r="AA12" s="44">
        <v>0</v>
      </c>
      <c r="AB12" s="44">
        <v>0</v>
      </c>
      <c r="AC12" s="44">
        <v>0</v>
      </c>
      <c r="AD12" s="44">
        <v>0</v>
      </c>
      <c r="AE12" s="44">
        <v>0</v>
      </c>
      <c r="AF12" s="44">
        <v>0</v>
      </c>
      <c r="AG12" s="44">
        <v>0</v>
      </c>
      <c r="AH12" s="44">
        <v>0</v>
      </c>
      <c r="AI12" s="44">
        <v>0</v>
      </c>
      <c r="AJ12" s="44">
        <v>0</v>
      </c>
      <c r="AK12" s="44">
        <v>0</v>
      </c>
      <c r="AL12" s="44">
        <v>0</v>
      </c>
      <c r="AM12" s="44">
        <v>0</v>
      </c>
      <c r="AN12" s="44">
        <v>0</v>
      </c>
      <c r="AO12" s="44">
        <v>25</v>
      </c>
      <c r="AP12" s="44">
        <v>3</v>
      </c>
      <c r="AQ12" s="44">
        <v>2</v>
      </c>
      <c r="AR12" s="44">
        <v>0</v>
      </c>
      <c r="AS12" s="44">
        <v>5</v>
      </c>
      <c r="AT12" s="44">
        <v>4</v>
      </c>
      <c r="AU12" s="44">
        <v>67</v>
      </c>
      <c r="AV12" s="44">
        <v>53</v>
      </c>
      <c r="AW12" s="44">
        <v>0</v>
      </c>
      <c r="AX12" s="44">
        <v>0</v>
      </c>
      <c r="AY12" s="44">
        <v>71</v>
      </c>
      <c r="AZ12" s="44">
        <v>131</v>
      </c>
      <c r="BA12" s="44">
        <v>140</v>
      </c>
      <c r="BB12" s="44">
        <f>42505/1000</f>
        <v>42.505000000000003</v>
      </c>
      <c r="BC12" s="42"/>
      <c r="BD12" s="42"/>
    </row>
    <row r="13" spans="1:56" s="5" customFormat="1" x14ac:dyDescent="0.25">
      <c r="A13" s="14"/>
      <c r="B13" s="6"/>
      <c r="C13" s="6" t="s">
        <v>9</v>
      </c>
      <c r="D13" s="47">
        <v>0</v>
      </c>
      <c r="E13" s="47">
        <v>0</v>
      </c>
      <c r="F13" s="47">
        <v>0</v>
      </c>
      <c r="G13" s="47">
        <v>0</v>
      </c>
      <c r="H13" s="47">
        <v>2</v>
      </c>
      <c r="I13" s="47">
        <v>3</v>
      </c>
      <c r="J13" s="47">
        <v>4</v>
      </c>
      <c r="K13" s="47">
        <v>5</v>
      </c>
      <c r="L13" s="47">
        <v>7</v>
      </c>
      <c r="M13" s="47">
        <v>3</v>
      </c>
      <c r="N13" s="47">
        <v>2</v>
      </c>
      <c r="O13" s="47">
        <v>8</v>
      </c>
      <c r="P13" s="47">
        <v>5</v>
      </c>
      <c r="Q13" s="47">
        <v>19</v>
      </c>
      <c r="R13" s="47">
        <v>17</v>
      </c>
      <c r="S13" s="47">
        <v>19</v>
      </c>
      <c r="T13" s="47">
        <v>21</v>
      </c>
      <c r="U13" s="47">
        <v>33</v>
      </c>
      <c r="V13" s="47">
        <v>22</v>
      </c>
      <c r="W13" s="47">
        <v>49</v>
      </c>
      <c r="X13" s="47">
        <v>26</v>
      </c>
      <c r="Y13" s="47">
        <v>26</v>
      </c>
      <c r="Z13" s="47">
        <v>33</v>
      </c>
      <c r="AA13" s="47">
        <v>37</v>
      </c>
      <c r="AB13" s="47">
        <v>35</v>
      </c>
      <c r="AC13" s="47">
        <v>35</v>
      </c>
      <c r="AD13" s="47">
        <v>63</v>
      </c>
      <c r="AE13" s="47">
        <v>84</v>
      </c>
      <c r="AF13" s="47">
        <v>70</v>
      </c>
      <c r="AG13" s="47">
        <v>88</v>
      </c>
      <c r="AH13" s="47">
        <v>136</v>
      </c>
      <c r="AI13" s="47">
        <v>278</v>
      </c>
      <c r="AJ13" s="47">
        <v>245</v>
      </c>
      <c r="AK13" s="47">
        <v>192</v>
      </c>
      <c r="AL13" s="47">
        <v>208</v>
      </c>
      <c r="AM13" s="47">
        <v>180</v>
      </c>
      <c r="AN13" s="47">
        <v>168</v>
      </c>
      <c r="AO13" s="47">
        <v>194</v>
      </c>
      <c r="AP13" s="47">
        <v>192</v>
      </c>
      <c r="AQ13" s="47">
        <v>218</v>
      </c>
      <c r="AR13" s="47">
        <v>252</v>
      </c>
      <c r="AS13" s="47">
        <v>226</v>
      </c>
      <c r="AT13" s="47">
        <v>172</v>
      </c>
      <c r="AU13" s="47">
        <v>172</v>
      </c>
      <c r="AV13" s="47">
        <v>234</v>
      </c>
      <c r="AW13" s="47">
        <v>336</v>
      </c>
      <c r="AX13" s="47">
        <v>351</v>
      </c>
      <c r="AY13" s="47">
        <v>286</v>
      </c>
      <c r="AZ13" s="47">
        <v>367</v>
      </c>
      <c r="BA13" s="47">
        <v>432</v>
      </c>
      <c r="BB13" s="47">
        <f>BB10+BB11-BB12</f>
        <v>669.03399999999999</v>
      </c>
      <c r="BC13" s="43"/>
      <c r="BD13" s="43"/>
    </row>
    <row r="14" spans="1:56" x14ac:dyDescent="0.25">
      <c r="A14" s="12"/>
      <c r="B14" s="2" t="s">
        <v>12</v>
      </c>
      <c r="C14" s="55" t="s">
        <v>7</v>
      </c>
      <c r="D14" s="44">
        <v>51</v>
      </c>
      <c r="E14" s="44">
        <v>52</v>
      </c>
      <c r="F14" s="44">
        <v>44</v>
      </c>
      <c r="G14" s="44">
        <v>60</v>
      </c>
      <c r="H14" s="44">
        <v>59</v>
      </c>
      <c r="I14" s="44">
        <v>67</v>
      </c>
      <c r="J14" s="44">
        <v>74</v>
      </c>
      <c r="K14" s="44">
        <v>78</v>
      </c>
      <c r="L14" s="44">
        <v>79</v>
      </c>
      <c r="M14" s="44">
        <v>81</v>
      </c>
      <c r="N14" s="44">
        <v>68</v>
      </c>
      <c r="O14" s="44">
        <v>82</v>
      </c>
      <c r="P14" s="44">
        <v>75</v>
      </c>
      <c r="Q14" s="44">
        <v>92</v>
      </c>
      <c r="R14" s="44">
        <v>65</v>
      </c>
      <c r="S14" s="44">
        <v>79</v>
      </c>
      <c r="T14" s="44">
        <v>81</v>
      </c>
      <c r="U14" s="44">
        <v>99</v>
      </c>
      <c r="V14" s="44">
        <v>92</v>
      </c>
      <c r="W14" s="44">
        <v>121</v>
      </c>
      <c r="X14" s="44">
        <v>126</v>
      </c>
      <c r="Y14" s="44">
        <v>134</v>
      </c>
      <c r="Z14" s="44">
        <v>146</v>
      </c>
      <c r="AA14" s="44">
        <v>158</v>
      </c>
      <c r="AB14" s="44">
        <v>186</v>
      </c>
      <c r="AC14" s="44">
        <v>178</v>
      </c>
      <c r="AD14" s="44">
        <v>190</v>
      </c>
      <c r="AE14" s="44">
        <v>268</v>
      </c>
      <c r="AF14" s="44">
        <v>242</v>
      </c>
      <c r="AG14" s="44">
        <v>292</v>
      </c>
      <c r="AH14" s="44">
        <v>293</v>
      </c>
      <c r="AI14" s="44">
        <v>384</v>
      </c>
      <c r="AJ14" s="44">
        <v>420</v>
      </c>
      <c r="AK14" s="44">
        <v>478</v>
      </c>
      <c r="AL14" s="44">
        <v>425</v>
      </c>
      <c r="AM14" s="44">
        <v>448</v>
      </c>
      <c r="AN14" s="44">
        <v>486</v>
      </c>
      <c r="AO14" s="44">
        <v>561</v>
      </c>
      <c r="AP14" s="44">
        <v>529</v>
      </c>
      <c r="AQ14" s="44">
        <v>514</v>
      </c>
      <c r="AR14" s="44">
        <v>523</v>
      </c>
      <c r="AS14" s="44">
        <v>572</v>
      </c>
      <c r="AT14" s="44">
        <v>800</v>
      </c>
      <c r="AU14" s="44">
        <v>725</v>
      </c>
      <c r="AV14" s="44">
        <v>818</v>
      </c>
      <c r="AW14" s="44">
        <v>723</v>
      </c>
      <c r="AX14" s="44">
        <v>797</v>
      </c>
      <c r="AY14" s="44">
        <v>1026</v>
      </c>
      <c r="AZ14" s="44">
        <v>578</v>
      </c>
      <c r="BA14" s="44">
        <v>786</v>
      </c>
      <c r="BB14" s="44">
        <f>908781/1000</f>
        <v>908.78099999999995</v>
      </c>
      <c r="BC14" s="42">
        <f>908781/1000</f>
        <v>908.78099999999995</v>
      </c>
      <c r="BD14" s="42"/>
    </row>
    <row r="15" spans="1:56" s="5" customFormat="1" x14ac:dyDescent="0.25">
      <c r="A15" s="14"/>
      <c r="B15" s="6"/>
      <c r="C15" s="56" t="s">
        <v>8</v>
      </c>
      <c r="D15" s="47">
        <v>0</v>
      </c>
      <c r="E15" s="47">
        <v>7</v>
      </c>
      <c r="F15" s="47">
        <v>7</v>
      </c>
      <c r="G15" s="47">
        <v>9</v>
      </c>
      <c r="H15" s="47">
        <v>9</v>
      </c>
      <c r="I15" s="47">
        <v>10</v>
      </c>
      <c r="J15" s="47">
        <v>12</v>
      </c>
      <c r="K15" s="47">
        <v>13</v>
      </c>
      <c r="L15" s="47">
        <v>16</v>
      </c>
      <c r="M15" s="47">
        <v>15</v>
      </c>
      <c r="N15" s="47">
        <v>14</v>
      </c>
      <c r="O15" s="47">
        <v>16</v>
      </c>
      <c r="P15" s="47">
        <v>2</v>
      </c>
      <c r="Q15" s="47">
        <v>0</v>
      </c>
      <c r="R15" s="47">
        <v>0</v>
      </c>
      <c r="S15" s="47">
        <v>0</v>
      </c>
      <c r="T15" s="47">
        <v>0</v>
      </c>
      <c r="U15" s="47">
        <v>0</v>
      </c>
      <c r="V15" s="47">
        <v>0</v>
      </c>
      <c r="W15" s="47">
        <v>0</v>
      </c>
      <c r="X15" s="47">
        <v>0</v>
      </c>
      <c r="Y15" s="47">
        <v>0</v>
      </c>
      <c r="Z15" s="47">
        <v>0</v>
      </c>
      <c r="AA15" s="47">
        <v>0</v>
      </c>
      <c r="AB15" s="47">
        <v>0</v>
      </c>
      <c r="AC15" s="47">
        <v>0</v>
      </c>
      <c r="AD15" s="47">
        <v>0</v>
      </c>
      <c r="AE15" s="47">
        <v>0</v>
      </c>
      <c r="AF15" s="47">
        <v>0</v>
      </c>
      <c r="AG15" s="47">
        <v>0</v>
      </c>
      <c r="AH15" s="47">
        <v>0</v>
      </c>
      <c r="AI15" s="47">
        <v>0</v>
      </c>
      <c r="AJ15" s="47">
        <v>0</v>
      </c>
      <c r="AK15" s="47">
        <v>0</v>
      </c>
      <c r="AL15" s="47">
        <v>0</v>
      </c>
      <c r="AM15" s="47">
        <v>0</v>
      </c>
      <c r="AN15" s="47">
        <v>2</v>
      </c>
      <c r="AO15" s="47">
        <v>8</v>
      </c>
      <c r="AP15" s="47">
        <v>11</v>
      </c>
      <c r="AQ15" s="47">
        <v>8</v>
      </c>
      <c r="AR15" s="47">
        <v>10</v>
      </c>
      <c r="AS15" s="47">
        <v>11</v>
      </c>
      <c r="AT15" s="47">
        <v>11</v>
      </c>
      <c r="AU15" s="47">
        <v>10</v>
      </c>
      <c r="AV15" s="47">
        <v>14</v>
      </c>
      <c r="AW15" s="47">
        <v>30</v>
      </c>
      <c r="AX15" s="47">
        <v>15</v>
      </c>
      <c r="AY15" s="47">
        <v>9</v>
      </c>
      <c r="AZ15" s="47">
        <v>27</v>
      </c>
      <c r="BA15" s="47">
        <v>23</v>
      </c>
      <c r="BB15" s="47">
        <f>31244/1000</f>
        <v>31.244</v>
      </c>
      <c r="BC15" s="43">
        <f>31244/1000</f>
        <v>31.244</v>
      </c>
      <c r="BD15" s="43"/>
    </row>
    <row r="16" spans="1:56" ht="30" x14ac:dyDescent="0.25">
      <c r="A16" s="12"/>
      <c r="B16" s="2"/>
      <c r="C16" s="55" t="s">
        <v>9</v>
      </c>
      <c r="D16" s="44">
        <v>51</v>
      </c>
      <c r="E16" s="44">
        <v>45</v>
      </c>
      <c r="F16" s="44">
        <v>37</v>
      </c>
      <c r="G16" s="44">
        <v>51</v>
      </c>
      <c r="H16" s="44">
        <v>50</v>
      </c>
      <c r="I16" s="44">
        <v>57</v>
      </c>
      <c r="J16" s="44">
        <v>62</v>
      </c>
      <c r="K16" s="44">
        <v>65</v>
      </c>
      <c r="L16" s="44">
        <v>63</v>
      </c>
      <c r="M16" s="44">
        <v>66</v>
      </c>
      <c r="N16" s="44">
        <v>54</v>
      </c>
      <c r="O16" s="44">
        <v>66</v>
      </c>
      <c r="P16" s="44">
        <v>73</v>
      </c>
      <c r="Q16" s="44">
        <v>92</v>
      </c>
      <c r="R16" s="44">
        <v>65</v>
      </c>
      <c r="S16" s="44">
        <v>79</v>
      </c>
      <c r="T16" s="44">
        <v>81</v>
      </c>
      <c r="U16" s="44">
        <v>99</v>
      </c>
      <c r="V16" s="44">
        <v>92</v>
      </c>
      <c r="W16" s="44">
        <v>121</v>
      </c>
      <c r="X16" s="44">
        <v>126</v>
      </c>
      <c r="Y16" s="44">
        <v>134</v>
      </c>
      <c r="Z16" s="44">
        <v>146</v>
      </c>
      <c r="AA16" s="44">
        <v>158</v>
      </c>
      <c r="AB16" s="44">
        <v>186</v>
      </c>
      <c r="AC16" s="44">
        <v>178</v>
      </c>
      <c r="AD16" s="44">
        <v>190</v>
      </c>
      <c r="AE16" s="44">
        <v>268</v>
      </c>
      <c r="AF16" s="44">
        <v>235</v>
      </c>
      <c r="AG16" s="44">
        <v>292</v>
      </c>
      <c r="AH16" s="44">
        <v>290</v>
      </c>
      <c r="AI16" s="44">
        <v>384</v>
      </c>
      <c r="AJ16" s="44">
        <v>420</v>
      </c>
      <c r="AK16" s="44">
        <v>443</v>
      </c>
      <c r="AL16" s="44">
        <v>423</v>
      </c>
      <c r="AM16" s="44">
        <v>425</v>
      </c>
      <c r="AN16" s="44">
        <v>454</v>
      </c>
      <c r="AO16" s="44">
        <v>500</v>
      </c>
      <c r="AP16" s="44">
        <v>525</v>
      </c>
      <c r="AQ16" s="44">
        <v>535</v>
      </c>
      <c r="AR16" s="44">
        <v>550</v>
      </c>
      <c r="AS16" s="44">
        <v>600</v>
      </c>
      <c r="AT16" s="44">
        <v>650</v>
      </c>
      <c r="AU16" s="44">
        <v>700</v>
      </c>
      <c r="AV16" s="44">
        <v>750</v>
      </c>
      <c r="AW16" s="44">
        <v>782</v>
      </c>
      <c r="AX16" s="44">
        <v>842</v>
      </c>
      <c r="AY16" s="44">
        <v>927</v>
      </c>
      <c r="AZ16" s="44">
        <v>703</v>
      </c>
      <c r="BA16" s="44">
        <v>759</v>
      </c>
      <c r="BB16" s="44">
        <v>740</v>
      </c>
      <c r="BC16" s="42">
        <f>BC14-BC15</f>
        <v>877.53699999999992</v>
      </c>
      <c r="BD16" s="42"/>
    </row>
    <row r="17" spans="1:56" s="5" customFormat="1" x14ac:dyDescent="0.25">
      <c r="A17" s="14"/>
      <c r="B17" s="6" t="s">
        <v>13</v>
      </c>
      <c r="C17" s="6" t="s">
        <v>6</v>
      </c>
      <c r="D17" s="47">
        <v>335</v>
      </c>
      <c r="E17" s="47">
        <v>181</v>
      </c>
      <c r="F17" s="47">
        <v>272</v>
      </c>
      <c r="G17" s="47">
        <v>257</v>
      </c>
      <c r="H17" s="47">
        <v>414</v>
      </c>
      <c r="I17" s="47">
        <v>314</v>
      </c>
      <c r="J17" s="47">
        <v>727</v>
      </c>
      <c r="K17" s="47">
        <v>199</v>
      </c>
      <c r="L17" s="47">
        <v>199</v>
      </c>
      <c r="M17" s="47">
        <v>379</v>
      </c>
      <c r="N17" s="47">
        <v>551</v>
      </c>
      <c r="O17" s="47">
        <v>510</v>
      </c>
      <c r="P17" s="47">
        <v>222</v>
      </c>
      <c r="Q17" s="47">
        <v>682</v>
      </c>
      <c r="R17" s="47">
        <v>360</v>
      </c>
      <c r="S17" s="47">
        <v>280</v>
      </c>
      <c r="T17" s="47">
        <v>394</v>
      </c>
      <c r="U17" s="47">
        <v>592</v>
      </c>
      <c r="V17" s="47">
        <v>354</v>
      </c>
      <c r="W17" s="47">
        <v>711</v>
      </c>
      <c r="X17" s="47">
        <v>553</v>
      </c>
      <c r="Y17" s="47">
        <v>302</v>
      </c>
      <c r="Z17" s="47">
        <v>221</v>
      </c>
      <c r="AA17" s="47">
        <v>498</v>
      </c>
      <c r="AB17" s="47">
        <v>628</v>
      </c>
      <c r="AC17" s="47">
        <v>487</v>
      </c>
      <c r="AD17" s="47">
        <v>677</v>
      </c>
      <c r="AE17" s="47">
        <v>651</v>
      </c>
      <c r="AF17" s="47">
        <v>511</v>
      </c>
      <c r="AG17" s="47">
        <v>341</v>
      </c>
      <c r="AH17" s="47">
        <v>302</v>
      </c>
      <c r="AI17" s="47">
        <v>118</v>
      </c>
      <c r="AJ17" s="47">
        <v>515</v>
      </c>
      <c r="AK17" s="47">
        <v>520</v>
      </c>
      <c r="AL17" s="47">
        <v>291</v>
      </c>
      <c r="AM17" s="47">
        <v>536</v>
      </c>
      <c r="AN17" s="47">
        <v>433</v>
      </c>
      <c r="AO17" s="47">
        <v>358</v>
      </c>
      <c r="AP17" s="47">
        <v>156</v>
      </c>
      <c r="AQ17" s="47">
        <v>352</v>
      </c>
      <c r="AR17" s="47">
        <v>175</v>
      </c>
      <c r="AS17" s="47">
        <v>197</v>
      </c>
      <c r="AT17" s="47">
        <v>220</v>
      </c>
      <c r="AU17" s="47">
        <v>375</v>
      </c>
      <c r="AV17" s="47">
        <v>260</v>
      </c>
      <c r="AW17" s="47">
        <v>96</v>
      </c>
      <c r="AX17" s="47">
        <v>176</v>
      </c>
      <c r="AY17" s="47">
        <v>255</v>
      </c>
      <c r="AZ17" s="47">
        <v>277</v>
      </c>
      <c r="BA17" s="47">
        <v>197</v>
      </c>
      <c r="BB17" s="47">
        <f>155000/1000</f>
        <v>155</v>
      </c>
      <c r="BC17" s="43">
        <f>135000/1000</f>
        <v>135</v>
      </c>
      <c r="BD17" s="43">
        <f>150000/1000</f>
        <v>150</v>
      </c>
    </row>
    <row r="18" spans="1:56" x14ac:dyDescent="0.25">
      <c r="A18" s="12"/>
      <c r="B18" s="2"/>
      <c r="C18" s="2" t="s">
        <v>7</v>
      </c>
      <c r="D18" s="44">
        <v>1</v>
      </c>
      <c r="E18" s="44">
        <v>2</v>
      </c>
      <c r="F18" s="44">
        <v>2</v>
      </c>
      <c r="G18" s="44">
        <v>2</v>
      </c>
      <c r="H18" s="44">
        <v>2</v>
      </c>
      <c r="I18" s="44">
        <v>2</v>
      </c>
      <c r="J18" s="44">
        <v>2</v>
      </c>
      <c r="K18" s="44">
        <v>1</v>
      </c>
      <c r="L18" s="44">
        <v>2</v>
      </c>
      <c r="M18" s="44">
        <v>2</v>
      </c>
      <c r="N18" s="44">
        <v>1</v>
      </c>
      <c r="O18" s="44">
        <v>2</v>
      </c>
      <c r="P18" s="44">
        <v>0</v>
      </c>
      <c r="Q18" s="44">
        <v>0</v>
      </c>
      <c r="R18" s="44">
        <v>5</v>
      </c>
      <c r="S18" s="44">
        <v>0</v>
      </c>
      <c r="T18" s="44">
        <v>0</v>
      </c>
      <c r="U18" s="44">
        <v>0</v>
      </c>
      <c r="V18" s="44">
        <v>3</v>
      </c>
      <c r="W18" s="44">
        <v>0</v>
      </c>
      <c r="X18" s="44">
        <v>0</v>
      </c>
      <c r="Y18" s="44">
        <v>0</v>
      </c>
      <c r="Z18" s="44">
        <v>0</v>
      </c>
      <c r="AA18" s="44">
        <v>15</v>
      </c>
      <c r="AB18" s="44">
        <v>0</v>
      </c>
      <c r="AC18" s="44">
        <v>0</v>
      </c>
      <c r="AD18" s="44">
        <v>2</v>
      </c>
      <c r="AE18" s="44">
        <v>2</v>
      </c>
      <c r="AF18" s="44">
        <v>0</v>
      </c>
      <c r="AG18" s="44">
        <v>0</v>
      </c>
      <c r="AH18" s="44">
        <v>50</v>
      </c>
      <c r="AI18" s="44">
        <v>190</v>
      </c>
      <c r="AJ18" s="44">
        <v>6</v>
      </c>
      <c r="AK18" s="44">
        <v>0</v>
      </c>
      <c r="AL18" s="44">
        <v>13</v>
      </c>
      <c r="AM18" s="44">
        <v>2</v>
      </c>
      <c r="AN18" s="44">
        <v>0</v>
      </c>
      <c r="AO18" s="44">
        <v>0</v>
      </c>
      <c r="AP18" s="44">
        <v>53</v>
      </c>
      <c r="AQ18" s="44">
        <v>0</v>
      </c>
      <c r="AR18" s="44">
        <v>11</v>
      </c>
      <c r="AS18" s="44">
        <v>64</v>
      </c>
      <c r="AT18" s="44">
        <v>34</v>
      </c>
      <c r="AU18" s="44">
        <v>2</v>
      </c>
      <c r="AV18" s="44">
        <v>4</v>
      </c>
      <c r="AW18" s="44">
        <v>9</v>
      </c>
      <c r="AX18" s="44">
        <v>32</v>
      </c>
      <c r="AY18" s="44">
        <v>1</v>
      </c>
      <c r="AZ18" s="44">
        <v>3</v>
      </c>
      <c r="BA18" s="44">
        <v>0</v>
      </c>
      <c r="BB18" s="44">
        <f>35087/1000</f>
        <v>35.087000000000003</v>
      </c>
      <c r="BC18" s="42"/>
      <c r="BD18" s="42"/>
    </row>
    <row r="19" spans="1:56" s="5" customFormat="1" x14ac:dyDescent="0.25">
      <c r="A19" s="14"/>
      <c r="B19" s="6"/>
      <c r="C19" s="6" t="s">
        <v>8</v>
      </c>
      <c r="D19" s="47">
        <v>120</v>
      </c>
      <c r="E19" s="47">
        <v>16</v>
      </c>
      <c r="F19" s="47">
        <v>57</v>
      </c>
      <c r="G19" s="47">
        <v>102</v>
      </c>
      <c r="H19" s="47">
        <v>192</v>
      </c>
      <c r="I19" s="47">
        <v>66</v>
      </c>
      <c r="J19" s="47">
        <v>122</v>
      </c>
      <c r="K19" s="47">
        <v>290</v>
      </c>
      <c r="L19" s="47">
        <v>59</v>
      </c>
      <c r="M19" s="47">
        <v>144</v>
      </c>
      <c r="N19" s="47">
        <v>322</v>
      </c>
      <c r="O19" s="47">
        <v>179</v>
      </c>
      <c r="P19" s="47">
        <v>0</v>
      </c>
      <c r="Q19" s="47">
        <v>209</v>
      </c>
      <c r="R19" s="47">
        <v>189</v>
      </c>
      <c r="S19" s="47">
        <v>0</v>
      </c>
      <c r="T19" s="47">
        <v>59</v>
      </c>
      <c r="U19" s="47">
        <v>299</v>
      </c>
      <c r="V19" s="47">
        <v>155</v>
      </c>
      <c r="W19" s="47">
        <v>230</v>
      </c>
      <c r="X19" s="47">
        <v>0</v>
      </c>
      <c r="Y19" s="47">
        <v>0</v>
      </c>
      <c r="Z19" s="47">
        <v>0</v>
      </c>
      <c r="AA19" s="47">
        <v>0</v>
      </c>
      <c r="AB19" s="47">
        <v>130</v>
      </c>
      <c r="AC19" s="47">
        <v>0</v>
      </c>
      <c r="AD19" s="47">
        <v>41</v>
      </c>
      <c r="AE19" s="47">
        <v>8</v>
      </c>
      <c r="AF19" s="47">
        <v>0</v>
      </c>
      <c r="AG19" s="47">
        <v>0</v>
      </c>
      <c r="AH19" s="47">
        <v>0</v>
      </c>
      <c r="AI19" s="47">
        <v>0</v>
      </c>
      <c r="AJ19" s="47">
        <v>0</v>
      </c>
      <c r="AK19" s="47">
        <v>0</v>
      </c>
      <c r="AL19" s="47">
        <v>2</v>
      </c>
      <c r="AM19" s="47">
        <v>126</v>
      </c>
      <c r="AN19" s="47">
        <v>1</v>
      </c>
      <c r="AO19" s="47">
        <v>1</v>
      </c>
      <c r="AP19" s="47">
        <v>23</v>
      </c>
      <c r="AQ19" s="47">
        <v>41</v>
      </c>
      <c r="AR19" s="47">
        <v>50</v>
      </c>
      <c r="AS19" s="47">
        <v>61</v>
      </c>
      <c r="AT19" s="47">
        <v>44</v>
      </c>
      <c r="AU19" s="47">
        <v>34</v>
      </c>
      <c r="AV19" s="47">
        <v>32</v>
      </c>
      <c r="AW19" s="47">
        <v>24</v>
      </c>
      <c r="AX19" s="47">
        <v>23</v>
      </c>
      <c r="AY19" s="47">
        <v>38</v>
      </c>
      <c r="AZ19" s="47">
        <v>46</v>
      </c>
      <c r="BA19" s="47">
        <v>25</v>
      </c>
      <c r="BB19" s="47">
        <f>1092/1000</f>
        <v>1.0920000000000001</v>
      </c>
      <c r="BC19" s="43"/>
      <c r="BD19" s="43"/>
    </row>
    <row r="20" spans="1:56" x14ac:dyDescent="0.25">
      <c r="A20" s="12"/>
      <c r="B20" s="2"/>
      <c r="C20" s="2" t="s">
        <v>9</v>
      </c>
      <c r="D20" s="44">
        <v>216</v>
      </c>
      <c r="E20" s="44">
        <v>167</v>
      </c>
      <c r="F20" s="44">
        <v>179</v>
      </c>
      <c r="G20" s="44">
        <v>182</v>
      </c>
      <c r="H20" s="44">
        <v>179</v>
      </c>
      <c r="I20" s="44">
        <v>255</v>
      </c>
      <c r="J20" s="44">
        <v>446</v>
      </c>
      <c r="K20" s="44">
        <v>84</v>
      </c>
      <c r="L20" s="44">
        <v>160</v>
      </c>
      <c r="M20" s="44">
        <v>200</v>
      </c>
      <c r="N20" s="44">
        <v>226</v>
      </c>
      <c r="O20" s="44">
        <v>343</v>
      </c>
      <c r="P20" s="44">
        <v>238</v>
      </c>
      <c r="Q20" s="44">
        <v>296</v>
      </c>
      <c r="R20" s="44">
        <v>309</v>
      </c>
      <c r="S20" s="44">
        <v>282</v>
      </c>
      <c r="T20" s="44">
        <v>305</v>
      </c>
      <c r="U20" s="44">
        <v>262</v>
      </c>
      <c r="V20" s="44">
        <v>258</v>
      </c>
      <c r="W20" s="44">
        <v>402</v>
      </c>
      <c r="X20" s="44">
        <v>498</v>
      </c>
      <c r="Y20" s="44">
        <v>412</v>
      </c>
      <c r="Z20" s="44">
        <v>297</v>
      </c>
      <c r="AA20" s="44">
        <v>465</v>
      </c>
      <c r="AB20" s="44">
        <v>500</v>
      </c>
      <c r="AC20" s="44">
        <v>510</v>
      </c>
      <c r="AD20" s="44">
        <v>540</v>
      </c>
      <c r="AE20" s="44">
        <v>600</v>
      </c>
      <c r="AF20" s="44">
        <v>620</v>
      </c>
      <c r="AG20" s="44">
        <v>430</v>
      </c>
      <c r="AH20" s="44">
        <v>352</v>
      </c>
      <c r="AI20" s="44">
        <v>308</v>
      </c>
      <c r="AJ20" s="44">
        <v>521</v>
      </c>
      <c r="AK20" s="44">
        <v>520</v>
      </c>
      <c r="AL20" s="44">
        <v>302</v>
      </c>
      <c r="AM20" s="44">
        <v>412</v>
      </c>
      <c r="AN20" s="44">
        <v>432</v>
      </c>
      <c r="AO20" s="44">
        <v>300</v>
      </c>
      <c r="AP20" s="44">
        <v>225</v>
      </c>
      <c r="AQ20" s="44">
        <v>225</v>
      </c>
      <c r="AR20" s="44">
        <v>225</v>
      </c>
      <c r="AS20" s="44">
        <v>205</v>
      </c>
      <c r="AT20" s="44">
        <v>190</v>
      </c>
      <c r="AU20" s="44">
        <v>210</v>
      </c>
      <c r="AV20" s="44">
        <v>215</v>
      </c>
      <c r="AW20" s="44">
        <v>205</v>
      </c>
      <c r="AX20" s="44">
        <v>200</v>
      </c>
      <c r="AY20" s="44">
        <v>200</v>
      </c>
      <c r="AZ20" s="44">
        <v>205</v>
      </c>
      <c r="BA20" s="44">
        <v>190</v>
      </c>
      <c r="BB20" s="44">
        <f>BB17+BB18-BB19</f>
        <v>188.99499999999998</v>
      </c>
      <c r="BC20" s="42"/>
      <c r="BD20" s="42"/>
    </row>
    <row r="21" spans="1:56" x14ac:dyDescent="0.25">
      <c r="A21" s="14"/>
      <c r="B21" s="6" t="s">
        <v>14</v>
      </c>
      <c r="C21" s="6" t="s">
        <v>42</v>
      </c>
      <c r="D21" s="47">
        <f>8513000/1000</f>
        <v>8513</v>
      </c>
      <c r="E21" s="47">
        <f>9751000/1000</f>
        <v>9751</v>
      </c>
      <c r="F21" s="47">
        <f>9939000/1000</f>
        <v>9939</v>
      </c>
      <c r="G21" s="47">
        <f>10661000/1000</f>
        <v>10661</v>
      </c>
      <c r="H21" s="47">
        <f>840600/1000</f>
        <v>840.6</v>
      </c>
      <c r="I21" s="47">
        <f>14102760/1000</f>
        <v>14102.76</v>
      </c>
      <c r="J21" s="47">
        <f>16913456/1000</f>
        <v>16913.455999999998</v>
      </c>
      <c r="K21" s="47">
        <f>13719694/1000</f>
        <v>13719.694</v>
      </c>
      <c r="L21" s="47">
        <f>14787864/1000</f>
        <v>14787.864</v>
      </c>
      <c r="M21" s="47">
        <f>12143897/1000</f>
        <v>12143.897000000001</v>
      </c>
      <c r="N21" s="47">
        <f>16751114/1000</f>
        <v>16751.114000000001</v>
      </c>
      <c r="O21" s="47">
        <f>16804640/1000</f>
        <v>16804.64</v>
      </c>
      <c r="P21" s="47">
        <f>15453687/1000</f>
        <v>15453.687</v>
      </c>
      <c r="Q21" s="47">
        <f>16895328/1000</f>
        <v>16895.328000000001</v>
      </c>
      <c r="R21" s="47">
        <f>16813536/1000</f>
        <v>16813.536</v>
      </c>
      <c r="S21" s="47">
        <f>19220608/1000</f>
        <v>19220.608</v>
      </c>
      <c r="T21" s="47">
        <f>19009024/1000</f>
        <v>19009.024000000001</v>
      </c>
      <c r="U21" s="47">
        <f>18931776/1000</f>
        <v>18931.776000000002</v>
      </c>
      <c r="V21" s="47">
        <f>18412000/1000</f>
        <v>18412</v>
      </c>
      <c r="W21" s="47">
        <f>14062204/1000</f>
        <v>14062.204</v>
      </c>
      <c r="X21" s="47">
        <f>19532128/1000</f>
        <v>19532.128000000001</v>
      </c>
      <c r="Y21" s="47">
        <f>19339488/1000</f>
        <v>19339.488000000001</v>
      </c>
      <c r="Z21" s="47">
        <f>13422876/1000</f>
        <v>13422.876</v>
      </c>
      <c r="AA21" s="47">
        <f>22356000/1000</f>
        <v>22356</v>
      </c>
      <c r="AB21" s="47">
        <f>18803008/1000</f>
        <v>18803.008000000002</v>
      </c>
      <c r="AC21" s="47">
        <f>18252000/1000</f>
        <v>18252</v>
      </c>
      <c r="AD21" s="47">
        <f>21021008/1000</f>
        <v>21021.008000000002</v>
      </c>
      <c r="AE21" s="47">
        <f>19811008/1000</f>
        <v>19811.008000000002</v>
      </c>
      <c r="AF21" s="47">
        <f>18587000/1000</f>
        <v>18587</v>
      </c>
      <c r="AG21" s="47">
        <f>18083488/1000</f>
        <v>18083.488000000001</v>
      </c>
      <c r="AH21" s="47">
        <f>20077968/1000</f>
        <v>20077.968000000001</v>
      </c>
      <c r="AI21" s="47">
        <f>12955400/1000</f>
        <v>12955.4</v>
      </c>
      <c r="AJ21" s="47">
        <f>11244400/1000</f>
        <v>11244.4</v>
      </c>
      <c r="AK21" s="47">
        <f>15683300/1000</f>
        <v>15683.3</v>
      </c>
      <c r="AL21" s="47">
        <f>16713650/1000</f>
        <v>16713.650000000001</v>
      </c>
      <c r="AM21" s="47">
        <f>20950896/1000</f>
        <v>20950.896000000001</v>
      </c>
      <c r="AN21" s="47">
        <f>22154776/1000</f>
        <v>22154.776000000002</v>
      </c>
      <c r="AO21" s="47">
        <f>22930324/1000</f>
        <v>22930.324000000001</v>
      </c>
      <c r="AP21" s="47">
        <f>21223100/1000</f>
        <v>21223.1</v>
      </c>
      <c r="AQ21" s="47">
        <f>23876162/1000</f>
        <v>23876.162</v>
      </c>
      <c r="AR21" s="47">
        <f>21156536/1000</f>
        <v>21156.536</v>
      </c>
      <c r="AS21" s="47">
        <f>23012554/1000</f>
        <v>23012.554</v>
      </c>
      <c r="AT21" s="47">
        <f>20418932/1000</f>
        <v>20418.932000000001</v>
      </c>
      <c r="AU21" s="47">
        <f>19094760/1000</f>
        <v>19094.759999999998</v>
      </c>
      <c r="AV21" s="47">
        <f>21265000/1000</f>
        <v>21265</v>
      </c>
      <c r="AW21" s="47">
        <f>20275430/1000</f>
        <v>20275.43</v>
      </c>
      <c r="AX21" s="47">
        <f>19724000/1000</f>
        <v>19724</v>
      </c>
      <c r="AY21" s="47">
        <f>19255404/1000</f>
        <v>19255.403999999999</v>
      </c>
      <c r="AZ21" s="47">
        <f>18655089/1000</f>
        <v>18655.089</v>
      </c>
      <c r="BA21" s="47">
        <f>16015605/1000</f>
        <v>16015.605</v>
      </c>
      <c r="BB21" s="48">
        <f>16800000/1000</f>
        <v>16800</v>
      </c>
      <c r="BC21" s="42">
        <f>17278000/1000</f>
        <v>17278</v>
      </c>
      <c r="BD21" s="42">
        <f>18000000/1000</f>
        <v>18000</v>
      </c>
    </row>
    <row r="22" spans="1:56" s="5" customFormat="1" x14ac:dyDescent="0.25">
      <c r="A22" s="14"/>
      <c r="B22" s="2"/>
      <c r="C22" s="2" t="s">
        <v>45</v>
      </c>
      <c r="D22" s="44">
        <v>11</v>
      </c>
      <c r="E22" s="44">
        <v>0</v>
      </c>
      <c r="F22" s="44">
        <v>0</v>
      </c>
      <c r="G22" s="44">
        <v>0</v>
      </c>
      <c r="H22" s="44">
        <v>98</v>
      </c>
      <c r="I22" s="44">
        <v>25</v>
      </c>
      <c r="J22" s="44">
        <v>15</v>
      </c>
      <c r="K22" s="44">
        <v>0</v>
      </c>
      <c r="L22" s="44">
        <v>1</v>
      </c>
      <c r="M22" s="44">
        <v>1</v>
      </c>
      <c r="N22" s="44">
        <v>14</v>
      </c>
      <c r="O22" s="44">
        <v>15</v>
      </c>
      <c r="P22" s="44">
        <v>15</v>
      </c>
      <c r="Q22" s="44">
        <v>20</v>
      </c>
      <c r="R22" s="44">
        <v>1</v>
      </c>
      <c r="S22" s="44">
        <v>0</v>
      </c>
      <c r="T22" s="44">
        <v>65</v>
      </c>
      <c r="U22" s="44">
        <v>45</v>
      </c>
      <c r="V22" s="44">
        <v>0</v>
      </c>
      <c r="W22" s="44">
        <v>0</v>
      </c>
      <c r="X22" s="44">
        <v>21</v>
      </c>
      <c r="Y22" s="44">
        <v>0</v>
      </c>
      <c r="Z22" s="44">
        <v>0</v>
      </c>
      <c r="AA22" s="44">
        <v>199</v>
      </c>
      <c r="AB22" s="44">
        <v>0</v>
      </c>
      <c r="AC22" s="44">
        <v>29</v>
      </c>
      <c r="AD22" s="44">
        <v>0</v>
      </c>
      <c r="AE22" s="44">
        <v>0</v>
      </c>
      <c r="AF22" s="44">
        <v>0</v>
      </c>
      <c r="AG22" s="44">
        <v>0</v>
      </c>
      <c r="AH22" s="44">
        <v>0</v>
      </c>
      <c r="AI22" s="44">
        <v>0</v>
      </c>
      <c r="AJ22" s="44">
        <v>0</v>
      </c>
      <c r="AK22" s="44">
        <v>114</v>
      </c>
      <c r="AL22" s="44">
        <v>0</v>
      </c>
      <c r="AM22" s="44">
        <v>23</v>
      </c>
      <c r="AN22" s="44">
        <v>53</v>
      </c>
      <c r="AO22" s="44">
        <v>46</v>
      </c>
      <c r="AP22" s="44">
        <v>62</v>
      </c>
      <c r="AQ22" s="44">
        <v>155</v>
      </c>
      <c r="AR22" s="44">
        <v>260</v>
      </c>
      <c r="AS22" s="44">
        <v>263</v>
      </c>
      <c r="AT22" s="44">
        <v>269</v>
      </c>
      <c r="AU22" s="44">
        <v>284</v>
      </c>
      <c r="AV22" s="44">
        <v>245</v>
      </c>
      <c r="AW22" s="44">
        <v>180</v>
      </c>
      <c r="AX22" s="44">
        <v>125</v>
      </c>
      <c r="AY22" s="44">
        <v>165</v>
      </c>
      <c r="AZ22" s="44">
        <v>168</v>
      </c>
      <c r="BA22" s="44">
        <v>200</v>
      </c>
      <c r="BB22" s="45">
        <v>250</v>
      </c>
      <c r="BC22" s="43"/>
      <c r="BD22" s="43"/>
    </row>
    <row r="23" spans="1:56" x14ac:dyDescent="0.25">
      <c r="A23" s="14"/>
      <c r="B23" s="6"/>
      <c r="C23" s="6" t="s">
        <v>44</v>
      </c>
      <c r="D23" s="47">
        <v>296</v>
      </c>
      <c r="E23" s="47">
        <v>431</v>
      </c>
      <c r="F23" s="47">
        <v>642</v>
      </c>
      <c r="G23" s="47">
        <v>400</v>
      </c>
      <c r="H23" s="47">
        <v>375</v>
      </c>
      <c r="I23" s="47">
        <v>350</v>
      </c>
      <c r="J23" s="47">
        <v>882</v>
      </c>
      <c r="K23" s="47">
        <v>960</v>
      </c>
      <c r="L23" s="47">
        <v>713</v>
      </c>
      <c r="M23" s="47">
        <v>790</v>
      </c>
      <c r="N23" s="47">
        <v>795</v>
      </c>
      <c r="O23" s="47">
        <v>813</v>
      </c>
      <c r="P23" s="47">
        <v>892</v>
      </c>
      <c r="Q23" s="47">
        <v>889</v>
      </c>
      <c r="R23" s="47">
        <v>814</v>
      </c>
      <c r="S23" s="47">
        <v>785</v>
      </c>
      <c r="T23" s="47">
        <v>956</v>
      </c>
      <c r="U23" s="47">
        <v>1149</v>
      </c>
      <c r="V23" s="47">
        <v>811</v>
      </c>
      <c r="W23" s="47">
        <v>966</v>
      </c>
      <c r="X23" s="47">
        <v>628</v>
      </c>
      <c r="Y23" s="47">
        <v>839</v>
      </c>
      <c r="Z23" s="47">
        <v>978</v>
      </c>
      <c r="AA23" s="47">
        <v>360</v>
      </c>
      <c r="AB23" s="47">
        <v>776</v>
      </c>
      <c r="AC23" s="47">
        <v>1128</v>
      </c>
      <c r="AD23" s="47">
        <v>875</v>
      </c>
      <c r="AE23" s="47">
        <v>925</v>
      </c>
      <c r="AF23" s="47">
        <v>870</v>
      </c>
      <c r="AG23" s="47">
        <v>927</v>
      </c>
      <c r="AH23" s="47">
        <v>757</v>
      </c>
      <c r="AI23" s="47">
        <v>969</v>
      </c>
      <c r="AJ23" s="47">
        <v>123</v>
      </c>
      <c r="AK23" s="47">
        <v>27</v>
      </c>
      <c r="AL23" s="47">
        <v>369</v>
      </c>
      <c r="AM23" s="47">
        <v>399</v>
      </c>
      <c r="AN23" s="47">
        <v>1056</v>
      </c>
      <c r="AO23" s="47">
        <v>1160</v>
      </c>
      <c r="AP23" s="47">
        <v>1355</v>
      </c>
      <c r="AQ23" s="47">
        <v>1410</v>
      </c>
      <c r="AR23" s="47">
        <v>1580</v>
      </c>
      <c r="AS23" s="47">
        <v>1235</v>
      </c>
      <c r="AT23" s="47">
        <v>1296</v>
      </c>
      <c r="AU23" s="47">
        <v>1025</v>
      </c>
      <c r="AV23" s="47">
        <v>1010</v>
      </c>
      <c r="AW23" s="47">
        <v>1230</v>
      </c>
      <c r="AX23" s="47">
        <v>1267</v>
      </c>
      <c r="AY23" s="47">
        <v>1154</v>
      </c>
      <c r="AZ23" s="47">
        <v>1185</v>
      </c>
      <c r="BA23" s="47">
        <v>830</v>
      </c>
      <c r="BB23" s="48">
        <v>800</v>
      </c>
      <c r="BC23" s="42"/>
      <c r="BD23" s="42"/>
    </row>
    <row r="24" spans="1:56" s="5" customFormat="1" ht="30" x14ac:dyDescent="0.25">
      <c r="A24" s="14"/>
      <c r="B24" s="2"/>
      <c r="C24" s="2" t="s">
        <v>43</v>
      </c>
      <c r="D24" s="44">
        <f>D21+D22-D23</f>
        <v>8228</v>
      </c>
      <c r="E24" s="44">
        <f t="shared" ref="E24:BB24" si="0">E21+E22-E23</f>
        <v>9320</v>
      </c>
      <c r="F24" s="44">
        <f t="shared" si="0"/>
        <v>9297</v>
      </c>
      <c r="G24" s="44">
        <f t="shared" si="0"/>
        <v>10261</v>
      </c>
      <c r="H24" s="44">
        <f t="shared" si="0"/>
        <v>563.6</v>
      </c>
      <c r="I24" s="44">
        <f t="shared" si="0"/>
        <v>13777.76</v>
      </c>
      <c r="J24" s="44">
        <f t="shared" si="0"/>
        <v>16046.455999999998</v>
      </c>
      <c r="K24" s="44">
        <f t="shared" si="0"/>
        <v>12759.694</v>
      </c>
      <c r="L24" s="44">
        <f t="shared" si="0"/>
        <v>14075.864</v>
      </c>
      <c r="M24" s="44">
        <f t="shared" si="0"/>
        <v>11354.897000000001</v>
      </c>
      <c r="N24" s="44">
        <f t="shared" si="0"/>
        <v>15970.114000000001</v>
      </c>
      <c r="O24" s="44">
        <f t="shared" si="0"/>
        <v>16006.64</v>
      </c>
      <c r="P24" s="44">
        <f t="shared" si="0"/>
        <v>14576.687</v>
      </c>
      <c r="Q24" s="44">
        <f t="shared" si="0"/>
        <v>16026.328000000001</v>
      </c>
      <c r="R24" s="44">
        <f t="shared" si="0"/>
        <v>16000.536</v>
      </c>
      <c r="S24" s="44">
        <f t="shared" si="0"/>
        <v>18435.608</v>
      </c>
      <c r="T24" s="44">
        <f t="shared" si="0"/>
        <v>18118.024000000001</v>
      </c>
      <c r="U24" s="44">
        <f t="shared" si="0"/>
        <v>17827.776000000002</v>
      </c>
      <c r="V24" s="44">
        <f t="shared" si="0"/>
        <v>17601</v>
      </c>
      <c r="W24" s="44">
        <f t="shared" si="0"/>
        <v>13096.204</v>
      </c>
      <c r="X24" s="44">
        <f t="shared" si="0"/>
        <v>18925.128000000001</v>
      </c>
      <c r="Y24" s="44">
        <f t="shared" si="0"/>
        <v>18500.488000000001</v>
      </c>
      <c r="Z24" s="44">
        <f t="shared" si="0"/>
        <v>12444.876</v>
      </c>
      <c r="AA24" s="44">
        <f t="shared" si="0"/>
        <v>22195</v>
      </c>
      <c r="AB24" s="44">
        <f t="shared" si="0"/>
        <v>18027.008000000002</v>
      </c>
      <c r="AC24" s="44">
        <f t="shared" si="0"/>
        <v>17153</v>
      </c>
      <c r="AD24" s="44">
        <f t="shared" si="0"/>
        <v>20146.008000000002</v>
      </c>
      <c r="AE24" s="44">
        <f t="shared" si="0"/>
        <v>18886.008000000002</v>
      </c>
      <c r="AF24" s="44">
        <f t="shared" si="0"/>
        <v>17717</v>
      </c>
      <c r="AG24" s="44">
        <f t="shared" si="0"/>
        <v>17156.488000000001</v>
      </c>
      <c r="AH24" s="44">
        <f t="shared" si="0"/>
        <v>19320.968000000001</v>
      </c>
      <c r="AI24" s="44">
        <f t="shared" si="0"/>
        <v>11986.4</v>
      </c>
      <c r="AJ24" s="44">
        <f t="shared" si="0"/>
        <v>11121.4</v>
      </c>
      <c r="AK24" s="44">
        <f t="shared" si="0"/>
        <v>15770.3</v>
      </c>
      <c r="AL24" s="44">
        <f t="shared" si="0"/>
        <v>16344.650000000001</v>
      </c>
      <c r="AM24" s="44">
        <f t="shared" si="0"/>
        <v>20574.896000000001</v>
      </c>
      <c r="AN24" s="44">
        <f t="shared" si="0"/>
        <v>21151.776000000002</v>
      </c>
      <c r="AO24" s="44">
        <f t="shared" si="0"/>
        <v>21816.324000000001</v>
      </c>
      <c r="AP24" s="44">
        <f t="shared" si="0"/>
        <v>19930.099999999999</v>
      </c>
      <c r="AQ24" s="44">
        <f t="shared" si="0"/>
        <v>22621.162</v>
      </c>
      <c r="AR24" s="44">
        <f t="shared" si="0"/>
        <v>19836.536</v>
      </c>
      <c r="AS24" s="44">
        <f t="shared" si="0"/>
        <v>22040.554</v>
      </c>
      <c r="AT24" s="44">
        <f t="shared" si="0"/>
        <v>19391.932000000001</v>
      </c>
      <c r="AU24" s="44">
        <f t="shared" si="0"/>
        <v>18353.759999999998</v>
      </c>
      <c r="AV24" s="44">
        <f t="shared" si="0"/>
        <v>20500</v>
      </c>
      <c r="AW24" s="44">
        <f t="shared" si="0"/>
        <v>19225.43</v>
      </c>
      <c r="AX24" s="44">
        <f t="shared" si="0"/>
        <v>18582</v>
      </c>
      <c r="AY24" s="44">
        <f t="shared" si="0"/>
        <v>18266.403999999999</v>
      </c>
      <c r="AZ24" s="44">
        <f t="shared" si="0"/>
        <v>17638.089</v>
      </c>
      <c r="BA24" s="44">
        <f t="shared" si="0"/>
        <v>15385.605</v>
      </c>
      <c r="BB24" s="44">
        <f t="shared" si="0"/>
        <v>16250</v>
      </c>
      <c r="BC24" s="43"/>
      <c r="BD24" s="43"/>
    </row>
    <row r="25" spans="1:56" x14ac:dyDescent="0.25">
      <c r="A25" s="12"/>
      <c r="B25" s="2" t="s">
        <v>15</v>
      </c>
      <c r="C25" s="2" t="s">
        <v>6</v>
      </c>
      <c r="D25" s="44">
        <v>769</v>
      </c>
      <c r="E25" s="44">
        <v>871</v>
      </c>
      <c r="F25" s="44">
        <v>705</v>
      </c>
      <c r="G25" s="44">
        <v>880</v>
      </c>
      <c r="H25" s="44">
        <v>1060</v>
      </c>
      <c r="I25" s="44">
        <v>656</v>
      </c>
      <c r="J25" s="44">
        <v>548</v>
      </c>
      <c r="K25" s="44">
        <v>1077</v>
      </c>
      <c r="L25" s="44">
        <v>1247</v>
      </c>
      <c r="M25" s="44">
        <v>1316</v>
      </c>
      <c r="N25" s="44">
        <v>1396</v>
      </c>
      <c r="O25" s="44">
        <v>1670</v>
      </c>
      <c r="P25" s="44">
        <v>1746</v>
      </c>
      <c r="Q25" s="44">
        <v>1871</v>
      </c>
      <c r="R25" s="44">
        <v>1596</v>
      </c>
      <c r="S25" s="44">
        <v>1792</v>
      </c>
      <c r="T25" s="44">
        <v>2239</v>
      </c>
      <c r="U25" s="44">
        <v>1860</v>
      </c>
      <c r="V25" s="44">
        <v>1690</v>
      </c>
      <c r="W25" s="44">
        <v>2086</v>
      </c>
      <c r="X25" s="44">
        <v>1470</v>
      </c>
      <c r="Y25" s="44">
        <v>2339</v>
      </c>
      <c r="Z25" s="44">
        <v>2420</v>
      </c>
      <c r="AA25" s="44">
        <v>1809</v>
      </c>
      <c r="AB25" s="44">
        <v>2224</v>
      </c>
      <c r="AC25" s="44">
        <v>1680</v>
      </c>
      <c r="AD25" s="44">
        <v>2321</v>
      </c>
      <c r="AE25" s="44">
        <v>3135</v>
      </c>
      <c r="AF25" s="44">
        <v>3535</v>
      </c>
      <c r="AG25" s="44">
        <v>2026</v>
      </c>
      <c r="AH25" s="44">
        <v>1702</v>
      </c>
      <c r="AI25" s="44">
        <v>2132</v>
      </c>
      <c r="AJ25" s="44">
        <v>1318</v>
      </c>
      <c r="AK25" s="44">
        <v>1975</v>
      </c>
      <c r="AL25" s="44">
        <v>1832</v>
      </c>
      <c r="AM25" s="44">
        <v>1950</v>
      </c>
      <c r="AN25" s="44">
        <v>2712</v>
      </c>
      <c r="AO25" s="44">
        <v>2283</v>
      </c>
      <c r="AP25" s="44">
        <v>1884</v>
      </c>
      <c r="AQ25" s="44">
        <v>1725</v>
      </c>
      <c r="AR25" s="44">
        <v>2349</v>
      </c>
      <c r="AS25" s="44">
        <v>2490</v>
      </c>
      <c r="AT25" s="44">
        <v>2320</v>
      </c>
      <c r="AU25" s="44">
        <v>1540</v>
      </c>
      <c r="AV25" s="44">
        <v>1680</v>
      </c>
      <c r="AW25" s="44">
        <v>1886</v>
      </c>
      <c r="AX25" s="44">
        <v>2105</v>
      </c>
      <c r="AY25" s="44">
        <v>1905</v>
      </c>
      <c r="AZ25" s="44">
        <v>2130</v>
      </c>
      <c r="BA25" s="44">
        <v>1960</v>
      </c>
      <c r="BB25" s="44">
        <v>1465</v>
      </c>
      <c r="BC25" s="42">
        <f>200500/1000</f>
        <v>200.5</v>
      </c>
      <c r="BD25" s="42">
        <f>1915000/1000</f>
        <v>1915</v>
      </c>
    </row>
    <row r="26" spans="1:56" s="5" customFormat="1" x14ac:dyDescent="0.25">
      <c r="A26" s="14"/>
      <c r="B26" s="6"/>
      <c r="C26" s="6" t="s">
        <v>7</v>
      </c>
      <c r="D26" s="47">
        <v>73</v>
      </c>
      <c r="E26" s="47">
        <v>84</v>
      </c>
      <c r="F26" s="47">
        <v>241</v>
      </c>
      <c r="G26" s="47">
        <v>152</v>
      </c>
      <c r="H26" s="47">
        <v>139</v>
      </c>
      <c r="I26" s="47">
        <v>162</v>
      </c>
      <c r="J26" s="47">
        <v>807</v>
      </c>
      <c r="K26" s="47">
        <v>229</v>
      </c>
      <c r="L26" s="47">
        <v>2</v>
      </c>
      <c r="M26" s="47">
        <v>14</v>
      </c>
      <c r="N26" s="47">
        <v>161</v>
      </c>
      <c r="O26" s="47">
        <v>13</v>
      </c>
      <c r="P26" s="47">
        <v>9</v>
      </c>
      <c r="Q26" s="47">
        <v>0</v>
      </c>
      <c r="R26" s="47">
        <v>0</v>
      </c>
      <c r="S26" s="47">
        <v>0</v>
      </c>
      <c r="T26" s="47">
        <v>0</v>
      </c>
      <c r="U26" s="47">
        <v>0</v>
      </c>
      <c r="V26" s="47">
        <v>0</v>
      </c>
      <c r="W26" s="47">
        <v>0</v>
      </c>
      <c r="X26" s="47">
        <v>255</v>
      </c>
      <c r="Y26" s="47">
        <v>131</v>
      </c>
      <c r="Z26" s="47">
        <v>59</v>
      </c>
      <c r="AA26" s="47">
        <v>282</v>
      </c>
      <c r="AB26" s="47">
        <v>118</v>
      </c>
      <c r="AC26" s="47">
        <v>306</v>
      </c>
      <c r="AD26" s="47">
        <v>32</v>
      </c>
      <c r="AE26" s="47">
        <v>0</v>
      </c>
      <c r="AF26" s="47">
        <v>0</v>
      </c>
      <c r="AG26" s="47">
        <v>500</v>
      </c>
      <c r="AH26" s="47">
        <v>642</v>
      </c>
      <c r="AI26" s="47">
        <v>250</v>
      </c>
      <c r="AJ26" s="47">
        <v>1050</v>
      </c>
      <c r="AK26" s="47">
        <v>333</v>
      </c>
      <c r="AL26" s="47">
        <v>914</v>
      </c>
      <c r="AM26" s="47">
        <v>881</v>
      </c>
      <c r="AN26" s="47">
        <v>797</v>
      </c>
      <c r="AO26" s="47">
        <v>584</v>
      </c>
      <c r="AP26" s="47">
        <v>585</v>
      </c>
      <c r="AQ26" s="47">
        <v>909</v>
      </c>
      <c r="AR26" s="47">
        <v>438</v>
      </c>
      <c r="AS26" s="47">
        <v>561</v>
      </c>
      <c r="AT26" s="47">
        <v>871</v>
      </c>
      <c r="AU26" s="47">
        <v>1278</v>
      </c>
      <c r="AV26" s="47">
        <v>1396</v>
      </c>
      <c r="AW26" s="47">
        <v>1211</v>
      </c>
      <c r="AX26" s="47">
        <v>866</v>
      </c>
      <c r="AY26" s="47">
        <v>1484</v>
      </c>
      <c r="AZ26" s="47">
        <v>1402</v>
      </c>
      <c r="BA26" s="47">
        <v>1396</v>
      </c>
      <c r="BB26" s="47">
        <v>1600</v>
      </c>
      <c r="BC26" s="43">
        <f>1849581/1000</f>
        <v>1849.5809999999999</v>
      </c>
      <c r="BD26" s="43"/>
    </row>
    <row r="27" spans="1:56" x14ac:dyDescent="0.25">
      <c r="A27" s="12"/>
      <c r="B27" s="2"/>
      <c r="C27" s="2" t="s">
        <v>8</v>
      </c>
      <c r="D27" s="44">
        <v>0</v>
      </c>
      <c r="E27" s="44">
        <v>0</v>
      </c>
      <c r="F27" s="44">
        <v>0</v>
      </c>
      <c r="G27" s="44">
        <v>0</v>
      </c>
      <c r="H27" s="44">
        <v>0</v>
      </c>
      <c r="I27" s="44">
        <v>0</v>
      </c>
      <c r="J27" s="44">
        <v>0</v>
      </c>
      <c r="K27" s="44">
        <v>0</v>
      </c>
      <c r="L27" s="44">
        <v>0</v>
      </c>
      <c r="M27" s="44">
        <v>6</v>
      </c>
      <c r="N27" s="44">
        <v>4</v>
      </c>
      <c r="O27" s="44">
        <v>2</v>
      </c>
      <c r="P27" s="44">
        <v>365</v>
      </c>
      <c r="Q27" s="44">
        <v>422</v>
      </c>
      <c r="R27" s="44">
        <v>43</v>
      </c>
      <c r="S27" s="44">
        <v>31</v>
      </c>
      <c r="T27" s="44">
        <v>242</v>
      </c>
      <c r="U27" s="44">
        <v>142</v>
      </c>
      <c r="V27" s="44">
        <v>126</v>
      </c>
      <c r="W27" s="44">
        <v>141</v>
      </c>
      <c r="X27" s="44">
        <v>13</v>
      </c>
      <c r="Y27" s="44">
        <v>6</v>
      </c>
      <c r="Z27" s="44">
        <v>157</v>
      </c>
      <c r="AA27" s="44">
        <v>104</v>
      </c>
      <c r="AB27" s="44">
        <v>110</v>
      </c>
      <c r="AC27" s="44">
        <v>78</v>
      </c>
      <c r="AD27" s="44">
        <v>54</v>
      </c>
      <c r="AE27" s="44">
        <v>270</v>
      </c>
      <c r="AF27" s="44">
        <v>1157</v>
      </c>
      <c r="AG27" s="44">
        <v>300</v>
      </c>
      <c r="AH27" s="44">
        <v>114</v>
      </c>
      <c r="AI27" s="44">
        <v>125</v>
      </c>
      <c r="AJ27" s="44">
        <v>0</v>
      </c>
      <c r="AK27" s="44">
        <v>110</v>
      </c>
      <c r="AL27" s="44">
        <v>140</v>
      </c>
      <c r="AM27" s="44">
        <v>160</v>
      </c>
      <c r="AN27" s="44">
        <v>125</v>
      </c>
      <c r="AO27" s="44">
        <v>200</v>
      </c>
      <c r="AP27" s="44">
        <v>160</v>
      </c>
      <c r="AQ27" s="44">
        <v>232</v>
      </c>
      <c r="AR27" s="44">
        <v>200</v>
      </c>
      <c r="AS27" s="44">
        <v>379</v>
      </c>
      <c r="AT27" s="44">
        <v>310</v>
      </c>
      <c r="AU27" s="44">
        <v>379</v>
      </c>
      <c r="AV27" s="44">
        <v>324</v>
      </c>
      <c r="AW27" s="44">
        <v>278</v>
      </c>
      <c r="AX27" s="44">
        <v>317</v>
      </c>
      <c r="AY27" s="44">
        <v>343</v>
      </c>
      <c r="AZ27" s="44">
        <v>376</v>
      </c>
      <c r="BA27" s="44">
        <v>373</v>
      </c>
      <c r="BB27" s="44">
        <v>350</v>
      </c>
      <c r="BC27" s="42">
        <f>21401/1000</f>
        <v>21.401</v>
      </c>
      <c r="BD27" s="42"/>
    </row>
    <row r="28" spans="1:56" s="5" customFormat="1" x14ac:dyDescent="0.25">
      <c r="A28" s="14"/>
      <c r="B28" s="6"/>
      <c r="C28" s="6" t="s">
        <v>9</v>
      </c>
      <c r="D28" s="47">
        <v>842</v>
      </c>
      <c r="E28" s="47">
        <v>955</v>
      </c>
      <c r="F28" s="47">
        <v>946</v>
      </c>
      <c r="G28" s="47">
        <v>932</v>
      </c>
      <c r="H28" s="47">
        <v>982</v>
      </c>
      <c r="I28" s="47">
        <v>857</v>
      </c>
      <c r="J28" s="47">
        <v>1279</v>
      </c>
      <c r="K28" s="47">
        <v>1452</v>
      </c>
      <c r="L28" s="47">
        <v>1238</v>
      </c>
      <c r="M28" s="47">
        <v>1294</v>
      </c>
      <c r="N28" s="47">
        <v>1283</v>
      </c>
      <c r="O28" s="47">
        <v>1433</v>
      </c>
      <c r="P28" s="47">
        <v>1461</v>
      </c>
      <c r="Q28" s="47">
        <v>1559</v>
      </c>
      <c r="R28" s="47">
        <v>1638</v>
      </c>
      <c r="S28" s="47">
        <v>1744</v>
      </c>
      <c r="T28" s="47">
        <v>1698</v>
      </c>
      <c r="U28" s="47">
        <v>1702</v>
      </c>
      <c r="V28" s="47">
        <v>1934</v>
      </c>
      <c r="W28" s="47">
        <v>1807</v>
      </c>
      <c r="X28" s="47">
        <v>1993</v>
      </c>
      <c r="Y28" s="47">
        <v>1997</v>
      </c>
      <c r="Z28" s="47">
        <v>2045</v>
      </c>
      <c r="AA28" s="47">
        <v>2384</v>
      </c>
      <c r="AB28" s="47">
        <v>2179</v>
      </c>
      <c r="AC28" s="47">
        <v>2200</v>
      </c>
      <c r="AD28" s="47">
        <v>2254</v>
      </c>
      <c r="AE28" s="47">
        <v>2732</v>
      </c>
      <c r="AF28" s="47">
        <v>2486</v>
      </c>
      <c r="AG28" s="47">
        <v>2339</v>
      </c>
      <c r="AH28" s="47">
        <v>2295</v>
      </c>
      <c r="AI28" s="47">
        <v>2177</v>
      </c>
      <c r="AJ28" s="47">
        <v>2198</v>
      </c>
      <c r="AK28" s="47">
        <v>2468</v>
      </c>
      <c r="AL28" s="47">
        <v>2506</v>
      </c>
      <c r="AM28" s="47">
        <v>2521</v>
      </c>
      <c r="AN28" s="47">
        <v>2834</v>
      </c>
      <c r="AO28" s="47">
        <v>2667</v>
      </c>
      <c r="AP28" s="47">
        <v>2609</v>
      </c>
      <c r="AQ28" s="47">
        <v>2650</v>
      </c>
      <c r="AR28" s="47">
        <v>2650</v>
      </c>
      <c r="AS28" s="47">
        <v>2570</v>
      </c>
      <c r="AT28" s="47">
        <v>2570</v>
      </c>
      <c r="AU28" s="47">
        <v>2740</v>
      </c>
      <c r="AV28" s="47">
        <v>2770</v>
      </c>
      <c r="AW28" s="47">
        <v>2810</v>
      </c>
      <c r="AX28" s="47">
        <v>2810</v>
      </c>
      <c r="AY28" s="47">
        <v>2860</v>
      </c>
      <c r="AZ28" s="47">
        <v>3000</v>
      </c>
      <c r="BA28" s="47">
        <v>3000</v>
      </c>
      <c r="BB28" s="47">
        <v>3000</v>
      </c>
      <c r="BC28" s="43">
        <f>BC25+BC26-BC27</f>
        <v>2028.68</v>
      </c>
      <c r="BD28" s="43"/>
    </row>
    <row r="34" spans="1:54" s="5" customFormat="1" x14ac:dyDescent="0.25">
      <c r="A34" s="32"/>
      <c r="B34" s="32"/>
      <c r="C34" s="32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6"/>
      <c r="AD34" s="36"/>
      <c r="AE34" s="33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</row>
    <row r="35" spans="1:54" x14ac:dyDescent="0.25">
      <c r="A35" s="34"/>
      <c r="B35" s="34"/>
      <c r="C35" s="34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</row>
    <row r="36" spans="1:54" s="5" customFormat="1" x14ac:dyDescent="0.25">
      <c r="A36" s="32"/>
      <c r="B36" s="32"/>
      <c r="C36" s="32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</row>
    <row r="37" spans="1:54" x14ac:dyDescent="0.25">
      <c r="A37" s="34"/>
      <c r="B37" s="34"/>
      <c r="C37" s="34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</row>
    <row r="38" spans="1:54" s="5" customFormat="1" x14ac:dyDescent="0.25">
      <c r="A38" s="32"/>
      <c r="B38" s="32"/>
      <c r="C38" s="32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/>
      <c r="AW38" s="33"/>
      <c r="AX38" s="33"/>
      <c r="AY38" s="33"/>
      <c r="AZ38" s="33"/>
      <c r="BA38" s="33"/>
      <c r="BB38" s="33"/>
    </row>
    <row r="39" spans="1:54" x14ac:dyDescent="0.25">
      <c r="A39" s="34"/>
      <c r="B39" s="34"/>
      <c r="C39" s="34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/>
      <c r="BB39" s="35"/>
    </row>
    <row r="40" spans="1:54" s="5" customFormat="1" x14ac:dyDescent="0.25">
      <c r="A40" s="32"/>
      <c r="B40" s="32"/>
      <c r="C40" s="32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6"/>
      <c r="AS40" s="33"/>
      <c r="AT40" s="33"/>
      <c r="AU40" s="33"/>
      <c r="AV40" s="33"/>
      <c r="AW40" s="33"/>
      <c r="AX40" s="33"/>
      <c r="AY40" s="33"/>
      <c r="AZ40" s="33"/>
      <c r="BA40" s="33"/>
      <c r="BB40" s="33"/>
    </row>
    <row r="41" spans="1:54" x14ac:dyDescent="0.25">
      <c r="A41" s="34"/>
      <c r="B41" s="34"/>
      <c r="C41" s="34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/>
      <c r="AK41" s="35"/>
      <c r="AL41" s="35"/>
      <c r="AM41" s="35"/>
      <c r="AN41" s="35"/>
      <c r="AO41" s="35"/>
      <c r="AP41" s="35"/>
      <c r="AQ41" s="35"/>
      <c r="AR41" s="35"/>
      <c r="AS41" s="35"/>
      <c r="AT41" s="35"/>
      <c r="AU41" s="35"/>
      <c r="AV41" s="35"/>
      <c r="AW41" s="35"/>
      <c r="AX41" s="35"/>
      <c r="AY41" s="35"/>
      <c r="AZ41" s="35"/>
      <c r="BA41" s="35"/>
      <c r="BB41" s="35"/>
    </row>
    <row r="42" spans="1:54" s="5" customFormat="1" x14ac:dyDescent="0.25">
      <c r="A42" s="32"/>
      <c r="B42" s="32"/>
      <c r="C42" s="32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/>
      <c r="AW42" s="33"/>
      <c r="AX42" s="33"/>
      <c r="AY42" s="33"/>
      <c r="AZ42" s="33"/>
      <c r="BA42" s="33"/>
      <c r="BB42" s="33"/>
    </row>
    <row r="43" spans="1:54" x14ac:dyDescent="0.25">
      <c r="A43" s="34"/>
      <c r="B43" s="34"/>
      <c r="C43" s="34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  <c r="AN43" s="35"/>
      <c r="AO43" s="35"/>
      <c r="AP43" s="35"/>
      <c r="AQ43" s="35"/>
      <c r="AR43" s="35"/>
      <c r="AS43" s="35"/>
      <c r="AT43" s="35"/>
      <c r="AU43" s="35"/>
      <c r="AV43" s="35"/>
      <c r="AW43" s="35"/>
      <c r="AX43" s="35"/>
      <c r="AY43" s="35"/>
      <c r="AZ43" s="35"/>
      <c r="BA43" s="35"/>
      <c r="BB43" s="35"/>
    </row>
    <row r="44" spans="1:54" s="5" customFormat="1" x14ac:dyDescent="0.25">
      <c r="A44" s="32"/>
      <c r="B44" s="32"/>
      <c r="C44" s="32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6"/>
      <c r="O44" s="36"/>
      <c r="P44" s="36"/>
      <c r="Q44" s="36"/>
      <c r="R44" s="33"/>
      <c r="S44" s="36"/>
      <c r="T44" s="33"/>
      <c r="U44" s="33"/>
      <c r="V44" s="36"/>
      <c r="W44" s="33"/>
      <c r="X44" s="36"/>
      <c r="Y44" s="36"/>
      <c r="Z44" s="33"/>
      <c r="AA44" s="36"/>
      <c r="AB44" s="36"/>
      <c r="AC44" s="36"/>
      <c r="AD44" s="36"/>
      <c r="AE44" s="36"/>
      <c r="AF44" s="36"/>
      <c r="AG44" s="33"/>
      <c r="AH44" s="33"/>
      <c r="AI44" s="36"/>
      <c r="AJ44" s="33"/>
      <c r="AK44" s="33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36"/>
      <c r="BB44" s="36"/>
    </row>
    <row r="45" spans="1:54" x14ac:dyDescent="0.25">
      <c r="A45" s="34"/>
      <c r="B45" s="34"/>
      <c r="C45" s="34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  <c r="AM45" s="35"/>
      <c r="AN45" s="35"/>
      <c r="AO45" s="35"/>
      <c r="AP45" s="35"/>
      <c r="AQ45" s="35"/>
      <c r="AR45" s="35"/>
      <c r="AS45" s="35"/>
      <c r="AT45" s="35"/>
      <c r="AU45" s="35"/>
      <c r="AV45" s="35"/>
      <c r="AW45" s="35"/>
      <c r="AX45" s="35"/>
      <c r="AY45" s="35"/>
      <c r="AZ45" s="35"/>
      <c r="BA45" s="35"/>
      <c r="BB45" s="35"/>
    </row>
    <row r="46" spans="1:54" s="5" customFormat="1" x14ac:dyDescent="0.25">
      <c r="A46" s="32"/>
      <c r="B46" s="32"/>
      <c r="C46" s="32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6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6"/>
      <c r="AB46" s="36"/>
      <c r="AC46" s="36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6"/>
      <c r="BA46" s="33"/>
      <c r="BB46" s="36"/>
    </row>
    <row r="47" spans="1:54" x14ac:dyDescent="0.25">
      <c r="A47" s="34"/>
      <c r="B47" s="34"/>
      <c r="C47" s="34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7"/>
      <c r="AF47" s="35"/>
      <c r="AG47" s="35"/>
      <c r="AH47" s="35"/>
      <c r="AI47" s="37"/>
      <c r="AJ47" s="35"/>
      <c r="AK47" s="35"/>
      <c r="AL47" s="37"/>
      <c r="AM47" s="37"/>
      <c r="AN47" s="37"/>
      <c r="AO47" s="35"/>
      <c r="AP47" s="37"/>
      <c r="AQ47" s="37"/>
      <c r="AR47" s="37"/>
      <c r="AS47" s="37"/>
      <c r="AT47" s="37"/>
      <c r="AU47" s="37"/>
      <c r="AV47" s="37"/>
      <c r="AW47" s="37"/>
      <c r="AX47" s="37"/>
      <c r="AY47" s="37"/>
      <c r="AZ47" s="37"/>
      <c r="BA47" s="37"/>
      <c r="BB47" s="37"/>
    </row>
    <row r="48" spans="1:54" s="5" customFormat="1" x14ac:dyDescent="0.25">
      <c r="A48" s="34"/>
      <c r="B48" s="34"/>
      <c r="C48" s="34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</row>
    <row r="49" spans="1:54" x14ac:dyDescent="0.25">
      <c r="A49" s="34"/>
      <c r="B49" s="32"/>
      <c r="C49" s="32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3"/>
      <c r="AT49" s="33"/>
      <c r="AU49" s="33"/>
      <c r="AV49" s="33"/>
      <c r="AW49" s="33"/>
      <c r="AX49" s="33"/>
      <c r="AY49" s="33"/>
      <c r="AZ49" s="33"/>
      <c r="BA49" s="33"/>
      <c r="BB49" s="33"/>
    </row>
    <row r="50" spans="1:54" s="5" customFormat="1" x14ac:dyDescent="0.25">
      <c r="A50" s="34"/>
      <c r="B50" s="34"/>
      <c r="C50" s="34"/>
      <c r="D50" s="35"/>
      <c r="E50" s="35"/>
      <c r="F50" s="35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</row>
    <row r="51" spans="1:54" x14ac:dyDescent="0.25">
      <c r="A51" s="34"/>
      <c r="B51" s="32"/>
      <c r="C51" s="32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  <c r="AM51" s="33"/>
      <c r="AN51" s="33"/>
      <c r="AO51" s="33"/>
      <c r="AP51" s="33"/>
      <c r="AQ51" s="33"/>
      <c r="AR51" s="33"/>
      <c r="AS51" s="36"/>
      <c r="AT51" s="36"/>
      <c r="AU51" s="36"/>
      <c r="AV51" s="36"/>
      <c r="AW51" s="36"/>
      <c r="AX51" s="36"/>
      <c r="AY51" s="36"/>
      <c r="AZ51" s="36"/>
      <c r="BA51" s="36"/>
      <c r="BB51" s="36"/>
    </row>
    <row r="52" spans="1:54" x14ac:dyDescent="0.25">
      <c r="A52" s="34"/>
      <c r="B52" s="34"/>
      <c r="C52" s="34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  <c r="AP52" s="37"/>
      <c r="AQ52" s="37"/>
      <c r="AR52" s="37"/>
      <c r="AS52" s="37"/>
      <c r="AT52" s="37"/>
      <c r="AU52" s="37"/>
      <c r="AV52" s="37"/>
      <c r="AW52" s="37"/>
      <c r="AX52" s="37"/>
      <c r="AY52" s="37"/>
      <c r="AZ52" s="37"/>
      <c r="BA52" s="37"/>
      <c r="BB52" s="37"/>
    </row>
    <row r="53" spans="1:54" s="5" customFormat="1" x14ac:dyDescent="0.25">
      <c r="A53" s="32"/>
      <c r="B53" s="32"/>
      <c r="C53" s="32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</row>
    <row r="54" spans="1:54" x14ac:dyDescent="0.25">
      <c r="A54" s="34"/>
      <c r="B54" s="34"/>
      <c r="C54" s="34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</row>
    <row r="55" spans="1:54" s="5" customFormat="1" x14ac:dyDescent="0.25">
      <c r="A55" s="32"/>
      <c r="B55" s="32"/>
      <c r="C55" s="32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  <c r="AJ55" s="36"/>
      <c r="AK55" s="36"/>
      <c r="AL55" s="36"/>
      <c r="AM55" s="36"/>
      <c r="AN55" s="36"/>
      <c r="AO55" s="36"/>
      <c r="AP55" s="36"/>
      <c r="AQ55" s="36"/>
      <c r="AR55" s="36"/>
      <c r="AS55" s="36"/>
      <c r="AT55" s="36"/>
      <c r="AU55" s="36"/>
      <c r="AV55" s="36"/>
      <c r="AW55" s="36"/>
      <c r="AX55" s="36"/>
      <c r="AY55" s="36"/>
      <c r="AZ55" s="36"/>
      <c r="BA55" s="36"/>
      <c r="BB55" s="36"/>
    </row>
    <row r="56" spans="1:54" x14ac:dyDescent="0.25">
      <c r="A56" s="34"/>
      <c r="B56" s="34"/>
      <c r="C56" s="34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  <c r="AS56" s="37"/>
      <c r="AT56" s="37"/>
      <c r="AU56" s="37"/>
      <c r="AV56" s="37"/>
      <c r="AW56" s="37"/>
      <c r="AX56" s="37"/>
      <c r="AY56" s="37"/>
      <c r="AZ56" s="37"/>
      <c r="BA56" s="37"/>
      <c r="BB56" s="37"/>
    </row>
    <row r="57" spans="1:54" s="5" customFormat="1" x14ac:dyDescent="0.25">
      <c r="A57" s="32"/>
      <c r="B57" s="32"/>
      <c r="C57" s="32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6"/>
      <c r="V57" s="36"/>
      <c r="W57" s="36"/>
      <c r="X57" s="33"/>
      <c r="Y57" s="33"/>
      <c r="Z57" s="33"/>
      <c r="AA57" s="33"/>
      <c r="AB57" s="36"/>
      <c r="AC57" s="36"/>
      <c r="AD57" s="33"/>
      <c r="AE57" s="33"/>
      <c r="AF57" s="33"/>
      <c r="AG57" s="33"/>
      <c r="AH57" s="33"/>
      <c r="AI57" s="33"/>
      <c r="AJ57" s="36"/>
      <c r="AK57" s="36"/>
      <c r="AL57" s="36"/>
      <c r="AM57" s="33"/>
      <c r="AN57" s="33"/>
      <c r="AO57" s="36"/>
      <c r="AP57" s="36"/>
      <c r="AQ57" s="36"/>
      <c r="AR57" s="33"/>
      <c r="AS57" s="33"/>
      <c r="AT57" s="33"/>
      <c r="AU57" s="33"/>
      <c r="AV57" s="33"/>
      <c r="AW57" s="36"/>
      <c r="AX57" s="36"/>
      <c r="AY57" s="33"/>
      <c r="AZ57" s="36"/>
      <c r="BA57" s="33"/>
      <c r="BB57" s="36"/>
    </row>
    <row r="58" spans="1:54" x14ac:dyDescent="0.25">
      <c r="A58" s="34"/>
      <c r="B58" s="34"/>
      <c r="C58" s="34"/>
      <c r="D58" s="35"/>
      <c r="E58" s="35"/>
      <c r="F58" s="35"/>
      <c r="G58" s="35"/>
      <c r="H58" s="35"/>
      <c r="I58" s="35"/>
      <c r="J58" s="35"/>
      <c r="K58" s="37"/>
      <c r="L58" s="35"/>
      <c r="M58" s="37"/>
      <c r="N58" s="35"/>
      <c r="O58" s="35"/>
      <c r="P58" s="35"/>
      <c r="Q58" s="37"/>
      <c r="R58" s="35"/>
      <c r="S58" s="37"/>
      <c r="T58" s="37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  <c r="AF58" s="35"/>
      <c r="AG58" s="35"/>
      <c r="AH58" s="35"/>
      <c r="AI58" s="35"/>
      <c r="AJ58" s="35"/>
      <c r="AK58" s="35"/>
      <c r="AL58" s="35"/>
      <c r="AM58" s="35"/>
      <c r="AN58" s="35"/>
      <c r="AO58" s="35"/>
      <c r="AP58" s="35"/>
      <c r="AQ58" s="35"/>
      <c r="AR58" s="37"/>
      <c r="AS58" s="37"/>
      <c r="AT58" s="37"/>
      <c r="AU58" s="37"/>
      <c r="AV58" s="35"/>
      <c r="AW58" s="37"/>
      <c r="AX58" s="37"/>
      <c r="AY58" s="37"/>
      <c r="AZ58" s="37"/>
      <c r="BA58" s="37"/>
      <c r="BB58" s="37"/>
    </row>
    <row r="59" spans="1:54" s="5" customFormat="1" x14ac:dyDescent="0.25">
      <c r="A59" s="32"/>
      <c r="B59" s="32"/>
      <c r="C59" s="32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36"/>
      <c r="AO59" s="36"/>
      <c r="AP59" s="36"/>
      <c r="AQ59" s="36"/>
      <c r="AR59" s="36"/>
      <c r="AS59" s="36"/>
      <c r="AT59" s="36"/>
      <c r="AU59" s="36"/>
      <c r="AV59" s="36"/>
      <c r="AW59" s="36"/>
      <c r="AX59" s="36"/>
      <c r="AY59" s="36"/>
      <c r="AZ59" s="36"/>
      <c r="BA59" s="36"/>
      <c r="BB59" s="36"/>
    </row>
    <row r="60" spans="1:54" x14ac:dyDescent="0.25">
      <c r="A60" s="34"/>
      <c r="B60" s="34"/>
      <c r="C60" s="34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7"/>
      <c r="AV60" s="37"/>
      <c r="AW60" s="37"/>
      <c r="AX60" s="37"/>
      <c r="AY60" s="37"/>
      <c r="AZ60" s="37"/>
      <c r="BA60" s="37"/>
      <c r="BB60" s="37"/>
    </row>
    <row r="61" spans="1:54" s="5" customFormat="1" x14ac:dyDescent="0.25">
      <c r="A61" s="32"/>
      <c r="B61" s="32"/>
      <c r="C61" s="32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  <c r="AG61" s="33"/>
      <c r="AH61" s="33"/>
      <c r="AI61" s="33"/>
      <c r="AJ61" s="36"/>
      <c r="AK61" s="36"/>
      <c r="AL61" s="36"/>
      <c r="AM61" s="36"/>
      <c r="AN61" s="36"/>
      <c r="AO61" s="36"/>
      <c r="AP61" s="36"/>
      <c r="AQ61" s="36"/>
      <c r="AR61" s="33"/>
      <c r="AS61" s="33"/>
      <c r="AT61" s="33"/>
      <c r="AU61" s="33"/>
      <c r="AV61" s="33"/>
      <c r="AW61" s="33"/>
      <c r="AX61" s="33"/>
      <c r="AY61" s="33"/>
      <c r="AZ61" s="33"/>
      <c r="BA61" s="33"/>
      <c r="BB61" s="33"/>
    </row>
    <row r="62" spans="1:54" x14ac:dyDescent="0.25">
      <c r="A62" s="34"/>
      <c r="B62" s="34"/>
      <c r="C62" s="34"/>
      <c r="D62" s="35"/>
      <c r="E62" s="35"/>
      <c r="F62" s="37"/>
      <c r="G62" s="37"/>
      <c r="H62" s="37"/>
      <c r="I62" s="35"/>
      <c r="J62" s="37"/>
      <c r="K62" s="35"/>
      <c r="L62" s="37"/>
      <c r="M62" s="37"/>
      <c r="N62" s="37"/>
      <c r="O62" s="37"/>
      <c r="P62" s="37"/>
      <c r="Q62" s="35"/>
      <c r="R62" s="35"/>
      <c r="S62" s="35"/>
      <c r="T62" s="35"/>
      <c r="U62" s="35"/>
      <c r="V62" s="35"/>
      <c r="W62" s="35"/>
      <c r="X62" s="35"/>
      <c r="Y62" s="35"/>
      <c r="Z62" s="37"/>
      <c r="AA62" s="35"/>
      <c r="AB62" s="35"/>
      <c r="AC62" s="35"/>
      <c r="AD62" s="35"/>
      <c r="AE62" s="35"/>
      <c r="AF62" s="35"/>
      <c r="AG62" s="35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5"/>
      <c r="AS62" s="35"/>
      <c r="AT62" s="35"/>
      <c r="AU62" s="35"/>
      <c r="AV62" s="37"/>
      <c r="AW62" s="37"/>
      <c r="AX62" s="37"/>
      <c r="AY62" s="37"/>
      <c r="AZ62" s="37"/>
      <c r="BA62" s="37"/>
      <c r="BB62" s="37"/>
    </row>
    <row r="63" spans="1:54" s="5" customFormat="1" x14ac:dyDescent="0.25">
      <c r="A63" s="32"/>
      <c r="B63" s="32"/>
      <c r="C63" s="32"/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  <c r="AJ63" s="36"/>
      <c r="AK63" s="36"/>
      <c r="AL63" s="36"/>
      <c r="AM63" s="36"/>
      <c r="AN63" s="36"/>
      <c r="AO63" s="36"/>
      <c r="AP63" s="36"/>
      <c r="AQ63" s="36"/>
      <c r="AR63" s="36"/>
      <c r="AS63" s="36"/>
      <c r="AT63" s="36"/>
      <c r="AU63" s="36"/>
      <c r="AV63" s="36"/>
      <c r="AW63" s="36"/>
      <c r="AX63" s="36"/>
      <c r="AY63" s="36"/>
      <c r="AZ63" s="36"/>
      <c r="BA63" s="36"/>
      <c r="BB63" s="36"/>
    </row>
    <row r="64" spans="1:54" x14ac:dyDescent="0.25">
      <c r="A64" s="34"/>
      <c r="B64" s="34"/>
      <c r="C64" s="34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7"/>
      <c r="AE64" s="37"/>
      <c r="AF64" s="37"/>
      <c r="AG64" s="37"/>
      <c r="AH64" s="37"/>
      <c r="AI64" s="37"/>
      <c r="AJ64" s="37"/>
      <c r="AK64" s="37"/>
      <c r="AL64" s="37"/>
      <c r="AM64" s="37"/>
      <c r="AN64" s="37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</row>
    <row r="65" spans="1:54" s="5" customFormat="1" x14ac:dyDescent="0.25">
      <c r="A65" s="32"/>
      <c r="B65" s="32"/>
      <c r="C65" s="32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  <c r="AG65" s="33"/>
      <c r="AH65" s="33"/>
      <c r="AI65" s="33"/>
      <c r="AJ65" s="33"/>
      <c r="AK65" s="33"/>
      <c r="AL65" s="36"/>
      <c r="AM65" s="36"/>
      <c r="AN65" s="33"/>
      <c r="AO65" s="36"/>
      <c r="AP65" s="33"/>
      <c r="AQ65" s="33"/>
      <c r="AR65" s="33"/>
      <c r="AS65" s="36"/>
      <c r="AT65" s="36"/>
      <c r="AU65" s="33"/>
      <c r="AV65" s="33"/>
      <c r="AW65" s="33"/>
      <c r="AX65" s="33"/>
      <c r="AY65" s="33"/>
      <c r="AZ65" s="33"/>
      <c r="BA65" s="33"/>
      <c r="BB65" s="33"/>
    </row>
    <row r="66" spans="1:54" x14ac:dyDescent="0.25">
      <c r="A66" s="34"/>
      <c r="B66" s="34"/>
      <c r="C66" s="34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5"/>
      <c r="AE66" s="37"/>
      <c r="AF66" s="37"/>
      <c r="AG66" s="37"/>
      <c r="AH66" s="37"/>
      <c r="AI66" s="37"/>
      <c r="AJ66" s="37"/>
      <c r="AK66" s="37"/>
      <c r="AL66" s="37"/>
      <c r="AM66" s="37"/>
      <c r="AN66" s="37"/>
      <c r="AO66" s="37"/>
      <c r="AP66" s="37"/>
      <c r="AQ66" s="37"/>
      <c r="AR66" s="37"/>
      <c r="AS66" s="37"/>
      <c r="AT66" s="37"/>
      <c r="AU66" s="37"/>
      <c r="AV66" s="37"/>
      <c r="AW66" s="37"/>
      <c r="AX66" s="37"/>
      <c r="AY66" s="37"/>
      <c r="AZ66" s="37"/>
      <c r="BA66" s="37"/>
      <c r="BB66" s="37"/>
    </row>
    <row r="67" spans="1:54" s="5" customFormat="1" x14ac:dyDescent="0.25">
      <c r="A67" s="32"/>
      <c r="B67" s="32"/>
      <c r="C67" s="32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6"/>
      <c r="AE67" s="36"/>
      <c r="AF67" s="36"/>
      <c r="AG67" s="36"/>
      <c r="AH67" s="36"/>
      <c r="AI67" s="36"/>
      <c r="AJ67" s="36"/>
      <c r="AK67" s="36"/>
      <c r="AL67" s="36"/>
      <c r="AM67" s="36"/>
      <c r="AN67" s="36"/>
      <c r="AO67" s="36"/>
      <c r="AP67" s="36"/>
      <c r="AQ67" s="36"/>
      <c r="AR67" s="36"/>
      <c r="AS67" s="36"/>
      <c r="AT67" s="36"/>
      <c r="AU67" s="36"/>
      <c r="AV67" s="36"/>
      <c r="AW67" s="36"/>
      <c r="AX67" s="36"/>
      <c r="AY67" s="36"/>
      <c r="AZ67" s="36"/>
      <c r="BA67" s="36"/>
      <c r="BB67" s="36"/>
    </row>
    <row r="68" spans="1:54" x14ac:dyDescent="0.25">
      <c r="A68" s="34"/>
      <c r="B68" s="34"/>
      <c r="C68" s="34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7"/>
      <c r="AF68" s="37"/>
      <c r="AG68" s="37"/>
      <c r="AH68" s="37"/>
      <c r="AI68" s="37"/>
      <c r="AJ68" s="37"/>
      <c r="AK68" s="37"/>
      <c r="AL68" s="37"/>
      <c r="AM68" s="37"/>
      <c r="AN68" s="37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37"/>
      <c r="BA68" s="37"/>
      <c r="BB68" s="37"/>
    </row>
    <row r="69" spans="1:54" s="5" customFormat="1" x14ac:dyDescent="0.25">
      <c r="A69" s="32"/>
      <c r="B69" s="32"/>
      <c r="C69" s="32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6"/>
      <c r="AD69" s="33"/>
      <c r="AE69" s="33"/>
      <c r="AF69" s="33"/>
      <c r="AG69" s="33"/>
      <c r="AH69" s="33"/>
      <c r="AI69" s="33"/>
      <c r="AJ69" s="33"/>
      <c r="AK69" s="33"/>
      <c r="AL69" s="33"/>
      <c r="AM69" s="33"/>
      <c r="AN69" s="33"/>
      <c r="AO69" s="36"/>
      <c r="AP69" s="33"/>
      <c r="AQ69" s="33"/>
      <c r="AR69" s="33"/>
      <c r="AS69" s="33"/>
      <c r="AT69" s="36"/>
      <c r="AU69" s="33"/>
      <c r="AV69" s="33"/>
      <c r="AW69" s="33"/>
      <c r="AX69" s="33"/>
      <c r="AY69" s="33"/>
      <c r="AZ69" s="33"/>
      <c r="BA69" s="33"/>
      <c r="BB69" s="33"/>
    </row>
    <row r="70" spans="1:54" x14ac:dyDescent="0.25">
      <c r="A70" s="34"/>
      <c r="B70" s="34"/>
      <c r="C70" s="34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5"/>
      <c r="AE70" s="35"/>
      <c r="AF70" s="35"/>
      <c r="AG70" s="35"/>
      <c r="AH70" s="35"/>
      <c r="AI70" s="35"/>
      <c r="AJ70" s="35"/>
      <c r="AK70" s="35"/>
      <c r="AL70" s="35"/>
      <c r="AM70" s="35"/>
      <c r="AN70" s="35"/>
      <c r="AO70" s="35"/>
      <c r="AP70" s="35"/>
      <c r="AQ70" s="35"/>
      <c r="AR70" s="35"/>
      <c r="AS70" s="35"/>
      <c r="AT70" s="35"/>
      <c r="AU70" s="35"/>
      <c r="AV70" s="35"/>
      <c r="AW70" s="35"/>
      <c r="AX70" s="35"/>
      <c r="AY70" s="35"/>
      <c r="AZ70" s="35"/>
      <c r="BA70" s="35"/>
      <c r="BB70" s="35"/>
    </row>
    <row r="71" spans="1:54" s="5" customFormat="1" x14ac:dyDescent="0.25">
      <c r="A71" s="32"/>
      <c r="B71" s="32"/>
      <c r="C71" s="32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  <c r="AC71" s="36"/>
      <c r="AD71" s="36"/>
      <c r="AE71" s="36"/>
      <c r="AF71" s="36"/>
      <c r="AG71" s="36"/>
      <c r="AH71" s="36"/>
      <c r="AI71" s="36"/>
      <c r="AJ71" s="36"/>
      <c r="AK71" s="36"/>
      <c r="AL71" s="36"/>
      <c r="AM71" s="36"/>
      <c r="AN71" s="36"/>
      <c r="AO71" s="36"/>
      <c r="AP71" s="36"/>
      <c r="AQ71" s="36"/>
      <c r="AR71" s="36"/>
      <c r="AS71" s="36"/>
      <c r="AT71" s="36"/>
      <c r="AU71" s="36"/>
      <c r="AV71" s="36"/>
      <c r="AW71" s="36"/>
      <c r="AX71" s="36"/>
      <c r="AY71" s="36"/>
      <c r="AZ71" s="36"/>
      <c r="BA71" s="36"/>
      <c r="BB71" s="36"/>
    </row>
    <row r="72" spans="1:54" x14ac:dyDescent="0.25">
      <c r="A72" s="34"/>
      <c r="B72" s="34"/>
      <c r="C72" s="34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35"/>
      <c r="AE72" s="35"/>
      <c r="AF72" s="35"/>
      <c r="AG72" s="35"/>
      <c r="AH72" s="35"/>
      <c r="AI72" s="35"/>
      <c r="AJ72" s="35"/>
      <c r="AK72" s="35"/>
      <c r="AL72" s="35"/>
      <c r="AM72" s="35"/>
      <c r="AN72" s="35"/>
      <c r="AO72" s="35"/>
      <c r="AP72" s="35"/>
      <c r="AQ72" s="35"/>
      <c r="AR72" s="35"/>
      <c r="AS72" s="35"/>
      <c r="AT72" s="35"/>
      <c r="AU72" s="37"/>
      <c r="AV72" s="37"/>
      <c r="AW72" s="37"/>
      <c r="AX72" s="37"/>
      <c r="AY72" s="37"/>
      <c r="AZ72" s="37"/>
      <c r="BA72" s="37"/>
      <c r="BB72" s="37"/>
    </row>
    <row r="73" spans="1:54" s="5" customFormat="1" x14ac:dyDescent="0.25">
      <c r="A73" s="32"/>
      <c r="B73" s="32"/>
      <c r="C73" s="32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  <c r="AN73" s="33"/>
      <c r="AO73" s="33"/>
      <c r="AP73" s="33"/>
      <c r="AQ73" s="33"/>
      <c r="AR73" s="33"/>
      <c r="AS73" s="33"/>
      <c r="AT73" s="33"/>
      <c r="AU73" s="33"/>
      <c r="AV73" s="33"/>
      <c r="AW73" s="33"/>
      <c r="AX73" s="33"/>
      <c r="AY73" s="33"/>
      <c r="AZ73" s="33"/>
      <c r="BA73" s="33"/>
      <c r="BB73" s="33"/>
    </row>
    <row r="74" spans="1:54" x14ac:dyDescent="0.25">
      <c r="A74" s="34"/>
      <c r="B74" s="34"/>
      <c r="C74" s="34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35"/>
      <c r="AE74" s="35"/>
      <c r="AF74" s="35"/>
      <c r="AG74" s="35"/>
      <c r="AH74" s="35"/>
      <c r="AI74" s="35"/>
      <c r="AJ74" s="35"/>
      <c r="AK74" s="35"/>
      <c r="AL74" s="35"/>
      <c r="AM74" s="35"/>
      <c r="AN74" s="35"/>
      <c r="AO74" s="35"/>
      <c r="AP74" s="35"/>
      <c r="AQ74" s="35"/>
      <c r="AR74" s="35"/>
      <c r="AS74" s="35"/>
      <c r="AT74" s="35"/>
      <c r="AU74" s="35"/>
      <c r="AV74" s="35"/>
      <c r="AW74" s="35"/>
      <c r="AX74" s="35"/>
      <c r="AY74" s="35"/>
      <c r="AZ74" s="35"/>
      <c r="BA74" s="35"/>
      <c r="BB74" s="35"/>
    </row>
    <row r="75" spans="1:54" s="5" customFormat="1" x14ac:dyDescent="0.25">
      <c r="A75" s="32"/>
      <c r="B75" s="32"/>
      <c r="C75" s="32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6"/>
      <c r="AR75" s="33"/>
      <c r="AS75" s="33"/>
      <c r="AT75" s="33"/>
      <c r="AU75" s="36"/>
      <c r="AV75" s="36"/>
      <c r="AW75" s="36"/>
      <c r="AX75" s="36"/>
      <c r="AY75" s="36"/>
      <c r="AZ75" s="36"/>
      <c r="BA75" s="36"/>
      <c r="BB75" s="36"/>
    </row>
    <row r="76" spans="1:54" s="5" customFormat="1" x14ac:dyDescent="0.25">
      <c r="A76" s="34"/>
      <c r="B76" s="34"/>
      <c r="C76" s="34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</row>
    <row r="77" spans="1:54" x14ac:dyDescent="0.25">
      <c r="A77" s="34"/>
      <c r="B77" s="32"/>
      <c r="C77" s="32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3"/>
      <c r="AY77" s="33"/>
      <c r="AZ77" s="33"/>
      <c r="BA77" s="33"/>
      <c r="BB77" s="33"/>
    </row>
    <row r="78" spans="1:54" s="5" customFormat="1" x14ac:dyDescent="0.25">
      <c r="A78" s="34"/>
      <c r="B78" s="34"/>
      <c r="C78" s="34"/>
      <c r="D78" s="35"/>
      <c r="E78" s="35"/>
      <c r="F78" s="35"/>
      <c r="G78" s="35"/>
      <c r="H78" s="35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  <c r="AP78" s="37"/>
      <c r="AQ78" s="37"/>
      <c r="AR78" s="37"/>
      <c r="AS78" s="37"/>
      <c r="AT78" s="37"/>
      <c r="AU78" s="37"/>
      <c r="AV78" s="37"/>
      <c r="AW78" s="37"/>
      <c r="AX78" s="37"/>
      <c r="AY78" s="37"/>
      <c r="AZ78" s="37"/>
      <c r="BA78" s="37"/>
      <c r="BB78" s="37"/>
    </row>
    <row r="79" spans="1:54" x14ac:dyDescent="0.25">
      <c r="A79" s="34"/>
      <c r="B79" s="32"/>
      <c r="C79" s="32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  <c r="AJ79" s="36"/>
      <c r="AK79" s="36"/>
      <c r="AL79" s="36"/>
      <c r="AM79" s="36"/>
      <c r="AN79" s="36"/>
      <c r="AO79" s="36"/>
      <c r="AP79" s="36"/>
      <c r="AQ79" s="36"/>
      <c r="AR79" s="36"/>
      <c r="AS79" s="36"/>
      <c r="AT79" s="36"/>
      <c r="AU79" s="36"/>
      <c r="AV79" s="36"/>
      <c r="AW79" s="36"/>
      <c r="AX79" s="36"/>
      <c r="AY79" s="36"/>
      <c r="AZ79" s="36"/>
      <c r="BA79" s="36"/>
      <c r="BB79" s="36"/>
    </row>
    <row r="80" spans="1:54" s="5" customFormat="1" x14ac:dyDescent="0.25">
      <c r="A80" s="32"/>
      <c r="B80" s="32"/>
      <c r="C80" s="32"/>
      <c r="D80" s="33"/>
      <c r="E80" s="33"/>
      <c r="F80" s="33"/>
      <c r="G80" s="33"/>
      <c r="H80" s="33"/>
      <c r="I80" s="33"/>
      <c r="J80" s="33"/>
      <c r="K80" s="33"/>
      <c r="L80" s="33"/>
      <c r="M80" s="36"/>
      <c r="N80" s="36"/>
      <c r="O80" s="36"/>
      <c r="P80" s="33"/>
      <c r="Q80" s="36"/>
      <c r="R80" s="36"/>
      <c r="S80" s="36"/>
      <c r="T80" s="36"/>
      <c r="U80" s="36"/>
      <c r="V80" s="36"/>
      <c r="W80" s="36"/>
      <c r="X80" s="36"/>
      <c r="Y80" s="36"/>
      <c r="Z80" s="36"/>
      <c r="AA80" s="36"/>
      <c r="AB80" s="36"/>
      <c r="AC80" s="36"/>
      <c r="AD80" s="36"/>
      <c r="AE80" s="36"/>
      <c r="AF80" s="36"/>
      <c r="AG80" s="36"/>
      <c r="AH80" s="36"/>
      <c r="AI80" s="36"/>
      <c r="AJ80" s="36"/>
      <c r="AK80" s="36"/>
      <c r="AL80" s="36"/>
      <c r="AM80" s="36"/>
      <c r="AN80" s="36"/>
      <c r="AO80" s="36"/>
      <c r="AP80" s="36"/>
      <c r="AQ80" s="36"/>
      <c r="AR80" s="36"/>
      <c r="AS80" s="36"/>
      <c r="AT80" s="36"/>
      <c r="AU80" s="36"/>
      <c r="AV80" s="36"/>
      <c r="AW80" s="36"/>
      <c r="AX80" s="36"/>
      <c r="AY80" s="36"/>
      <c r="AZ80" s="36"/>
      <c r="BA80" s="36"/>
      <c r="BB80" s="36"/>
    </row>
    <row r="81" spans="1:54" x14ac:dyDescent="0.25">
      <c r="A81" s="34"/>
      <c r="B81" s="34"/>
      <c r="C81" s="34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</row>
    <row r="82" spans="1:54" s="5" customFormat="1" x14ac:dyDescent="0.25">
      <c r="A82" s="32"/>
      <c r="B82" s="32"/>
      <c r="C82" s="32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33"/>
      <c r="AK82" s="33"/>
      <c r="AL82" s="33"/>
      <c r="AM82" s="33"/>
      <c r="AN82" s="33"/>
      <c r="AO82" s="33"/>
      <c r="AP82" s="33"/>
      <c r="AQ82" s="33"/>
      <c r="AR82" s="33"/>
      <c r="AS82" s="33"/>
      <c r="AT82" s="33"/>
      <c r="AU82" s="36"/>
      <c r="AV82" s="33"/>
      <c r="AW82" s="33"/>
      <c r="AX82" s="33"/>
      <c r="AY82" s="33"/>
      <c r="AZ82" s="33"/>
      <c r="BA82" s="36"/>
      <c r="BB82" s="36"/>
    </row>
    <row r="83" spans="1:54" x14ac:dyDescent="0.25">
      <c r="A83" s="34"/>
      <c r="B83" s="34"/>
      <c r="C83" s="34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  <c r="AK83" s="37"/>
      <c r="AL83" s="37"/>
      <c r="AM83" s="37"/>
      <c r="AN83" s="37"/>
      <c r="AO83" s="37"/>
      <c r="AP83" s="37"/>
      <c r="AQ83" s="37"/>
      <c r="AR83" s="37"/>
      <c r="AS83" s="37"/>
      <c r="AT83" s="37"/>
      <c r="AU83" s="37"/>
      <c r="AV83" s="37"/>
      <c r="AW83" s="37"/>
      <c r="AX83" s="37"/>
      <c r="AY83" s="37"/>
      <c r="AZ83" s="37"/>
      <c r="BA83" s="37"/>
      <c r="BB83" s="37"/>
    </row>
    <row r="84" spans="1:54" s="5" customFormat="1" x14ac:dyDescent="0.25">
      <c r="A84" s="32"/>
      <c r="B84" s="32"/>
      <c r="C84" s="32"/>
      <c r="D84" s="33"/>
      <c r="E84" s="33"/>
      <c r="F84" s="33"/>
      <c r="G84" s="33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  <c r="AB84" s="36"/>
      <c r="AC84" s="36"/>
      <c r="AD84" s="36"/>
      <c r="AE84" s="36"/>
      <c r="AF84" s="36"/>
      <c r="AG84" s="36"/>
      <c r="AH84" s="36"/>
      <c r="AI84" s="36"/>
      <c r="AJ84" s="36"/>
      <c r="AK84" s="36"/>
      <c r="AL84" s="36"/>
      <c r="AM84" s="36"/>
      <c r="AN84" s="36"/>
      <c r="AO84" s="36"/>
      <c r="AP84" s="36"/>
      <c r="AQ84" s="36"/>
      <c r="AR84" s="36"/>
      <c r="AS84" s="36"/>
      <c r="AT84" s="36"/>
      <c r="AU84" s="36"/>
      <c r="AV84" s="36"/>
      <c r="AW84" s="36"/>
      <c r="AX84" s="36"/>
      <c r="AY84" s="36"/>
      <c r="AZ84" s="36"/>
      <c r="BA84" s="36"/>
      <c r="BB84" s="36"/>
    </row>
    <row r="85" spans="1:54" x14ac:dyDescent="0.25">
      <c r="A85" s="34"/>
      <c r="B85" s="34"/>
      <c r="C85" s="34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7"/>
      <c r="R85" s="37"/>
      <c r="S85" s="35"/>
      <c r="T85" s="35"/>
      <c r="U85" s="35"/>
      <c r="V85" s="35"/>
      <c r="W85" s="35"/>
      <c r="X85" s="37"/>
      <c r="Y85" s="35"/>
      <c r="Z85" s="35"/>
      <c r="AA85" s="35"/>
      <c r="AB85" s="35"/>
      <c r="AC85" s="35"/>
      <c r="AD85" s="35"/>
      <c r="AE85" s="35"/>
      <c r="AF85" s="35"/>
      <c r="AG85" s="35"/>
      <c r="AH85" s="35"/>
      <c r="AI85" s="35"/>
      <c r="AJ85" s="37"/>
      <c r="AK85" s="35"/>
      <c r="AL85" s="37"/>
      <c r="AM85" s="35"/>
      <c r="AN85" s="35"/>
      <c r="AO85" s="37"/>
      <c r="AP85" s="35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</row>
    <row r="86" spans="1:54" s="5" customFormat="1" x14ac:dyDescent="0.25">
      <c r="A86" s="32"/>
      <c r="B86" s="32"/>
      <c r="C86" s="32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6"/>
      <c r="Y86" s="36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3"/>
      <c r="AY86" s="33"/>
      <c r="AZ86" s="33"/>
      <c r="BA86" s="33"/>
      <c r="BB86" s="36"/>
    </row>
    <row r="87" spans="1:54" x14ac:dyDescent="0.25">
      <c r="A87" s="34"/>
      <c r="B87" s="34"/>
      <c r="C87" s="34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  <c r="AK87" s="37"/>
      <c r="AL87" s="37"/>
      <c r="AM87" s="37"/>
      <c r="AN87" s="37"/>
      <c r="AO87" s="37"/>
      <c r="AP87" s="37"/>
      <c r="AQ87" s="37"/>
      <c r="AR87" s="37"/>
      <c r="AS87" s="37"/>
      <c r="AT87" s="37"/>
      <c r="AU87" s="37"/>
      <c r="AV87" s="37"/>
      <c r="AW87" s="37"/>
      <c r="AX87" s="37"/>
      <c r="AY87" s="37"/>
      <c r="AZ87" s="37"/>
      <c r="BA87" s="37"/>
      <c r="BB87" s="37"/>
    </row>
    <row r="88" spans="1:54" s="5" customFormat="1" x14ac:dyDescent="0.25">
      <c r="A88" s="32"/>
      <c r="B88" s="32"/>
      <c r="C88" s="32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  <c r="AL88" s="33"/>
      <c r="AM88" s="33"/>
      <c r="AN88" s="33"/>
      <c r="AO88" s="33"/>
      <c r="AP88" s="33"/>
      <c r="AQ88" s="33"/>
      <c r="AR88" s="33"/>
      <c r="AS88" s="33"/>
      <c r="AT88" s="33"/>
      <c r="AU88" s="33"/>
      <c r="AV88" s="33"/>
      <c r="AW88" s="33"/>
      <c r="AX88" s="33"/>
      <c r="AY88" s="33"/>
      <c r="AZ88" s="33"/>
      <c r="BA88" s="33"/>
      <c r="BB88" s="33"/>
    </row>
    <row r="89" spans="1:54" x14ac:dyDescent="0.25">
      <c r="A89" s="34"/>
      <c r="B89" s="34"/>
      <c r="C89" s="34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  <c r="AB89" s="35"/>
      <c r="AC89" s="35"/>
      <c r="AD89" s="35"/>
      <c r="AE89" s="35"/>
      <c r="AF89" s="35"/>
      <c r="AG89" s="35"/>
      <c r="AH89" s="35"/>
      <c r="AI89" s="35"/>
      <c r="AJ89" s="35"/>
      <c r="AK89" s="35"/>
      <c r="AL89" s="35"/>
      <c r="AM89" s="35"/>
      <c r="AN89" s="35"/>
      <c r="AO89" s="35"/>
      <c r="AP89" s="35"/>
      <c r="AQ89" s="35"/>
      <c r="AR89" s="35"/>
      <c r="AS89" s="35"/>
      <c r="AT89" s="35"/>
      <c r="AU89" s="35"/>
      <c r="AV89" s="35"/>
      <c r="AW89" s="35"/>
      <c r="AX89" s="35"/>
      <c r="AY89" s="35"/>
      <c r="AZ89" s="35"/>
      <c r="BA89" s="35"/>
      <c r="BB89" s="35"/>
    </row>
    <row r="90" spans="1:54" s="5" customFormat="1" x14ac:dyDescent="0.25">
      <c r="A90" s="32"/>
      <c r="B90" s="32"/>
      <c r="C90" s="32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3"/>
      <c r="AY90" s="33"/>
      <c r="AZ90" s="33"/>
      <c r="BA90" s="33"/>
      <c r="BB90" s="33"/>
    </row>
    <row r="91" spans="1:54" x14ac:dyDescent="0.25">
      <c r="A91" s="34"/>
      <c r="B91" s="34"/>
      <c r="C91" s="34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  <c r="AB91" s="35"/>
      <c r="AC91" s="37"/>
      <c r="AD91" s="35"/>
      <c r="AE91" s="37"/>
      <c r="AF91" s="37"/>
      <c r="AG91" s="37"/>
      <c r="AH91" s="37"/>
      <c r="AI91" s="37"/>
      <c r="AJ91" s="37"/>
      <c r="AK91" s="37"/>
      <c r="AL91" s="37"/>
      <c r="AM91" s="37"/>
      <c r="AN91" s="37"/>
      <c r="AO91" s="37"/>
      <c r="AP91" s="37"/>
      <c r="AQ91" s="37"/>
      <c r="AR91" s="37"/>
      <c r="AS91" s="37"/>
      <c r="AT91" s="37"/>
      <c r="AU91" s="37"/>
      <c r="AV91" s="37"/>
      <c r="AW91" s="37"/>
      <c r="AX91" s="37"/>
      <c r="AY91" s="37"/>
      <c r="AZ91" s="37"/>
      <c r="BA91" s="37"/>
      <c r="BB91" s="37"/>
    </row>
    <row r="92" spans="1:54" s="5" customFormat="1" x14ac:dyDescent="0.25">
      <c r="A92" s="32"/>
      <c r="B92" s="32"/>
      <c r="C92" s="32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3"/>
      <c r="AY92" s="33"/>
      <c r="AZ92" s="33"/>
      <c r="BA92" s="33"/>
      <c r="BB92" s="33"/>
    </row>
    <row r="93" spans="1:54" x14ac:dyDescent="0.25">
      <c r="A93" s="34"/>
      <c r="B93" s="34"/>
      <c r="C93" s="34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35"/>
      <c r="AI93" s="35"/>
      <c r="AJ93" s="35"/>
      <c r="AK93" s="35"/>
      <c r="AL93" s="35"/>
      <c r="AM93" s="35"/>
      <c r="AN93" s="35"/>
      <c r="AO93" s="35"/>
      <c r="AP93" s="35"/>
      <c r="AQ93" s="35"/>
      <c r="AR93" s="35"/>
      <c r="AS93" s="35"/>
      <c r="AT93" s="35"/>
      <c r="AU93" s="35"/>
      <c r="AV93" s="37"/>
      <c r="AW93" s="37"/>
      <c r="AX93" s="37"/>
      <c r="AY93" s="37"/>
      <c r="AZ93" s="37"/>
      <c r="BA93" s="37"/>
      <c r="BB93" s="37"/>
    </row>
    <row r="94" spans="1:54" s="5" customFormat="1" x14ac:dyDescent="0.25">
      <c r="A94" s="32"/>
      <c r="B94" s="32"/>
      <c r="C94" s="32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6"/>
      <c r="AA94" s="33"/>
      <c r="AB94" s="33"/>
      <c r="AC94" s="33"/>
      <c r="AD94" s="36"/>
      <c r="AE94" s="36"/>
      <c r="AF94" s="36"/>
      <c r="AG94" s="36"/>
      <c r="AH94" s="36"/>
      <c r="AI94" s="36"/>
      <c r="AJ94" s="36"/>
      <c r="AK94" s="36"/>
      <c r="AL94" s="36"/>
      <c r="AM94" s="36"/>
      <c r="AN94" s="36"/>
      <c r="AO94" s="36"/>
      <c r="AP94" s="36"/>
      <c r="AQ94" s="36"/>
      <c r="AR94" s="36"/>
      <c r="AS94" s="36"/>
      <c r="AT94" s="36"/>
      <c r="AU94" s="36"/>
      <c r="AV94" s="36"/>
      <c r="AW94" s="36"/>
      <c r="AX94" s="36"/>
      <c r="AY94" s="36"/>
      <c r="AZ94" s="36"/>
      <c r="BA94" s="36"/>
      <c r="BB94" s="36"/>
    </row>
    <row r="95" spans="1:54" x14ac:dyDescent="0.25">
      <c r="A95" s="34"/>
      <c r="B95" s="34"/>
      <c r="C95" s="34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  <c r="BB95" s="35"/>
    </row>
    <row r="96" spans="1:54" s="5" customFormat="1" x14ac:dyDescent="0.25">
      <c r="A96" s="32"/>
      <c r="B96" s="32"/>
      <c r="C96" s="32"/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3"/>
      <c r="AY96" s="33"/>
      <c r="AZ96" s="33"/>
      <c r="BA96" s="33"/>
      <c r="BB96" s="33"/>
    </row>
    <row r="97" spans="1:54" s="5" customFormat="1" x14ac:dyDescent="0.25">
      <c r="A97" s="34"/>
      <c r="B97" s="34"/>
      <c r="C97" s="34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AU97" s="35"/>
      <c r="AV97" s="35"/>
      <c r="AW97" s="35"/>
      <c r="AX97" s="35"/>
      <c r="AY97" s="35"/>
      <c r="AZ97" s="35"/>
      <c r="BA97" s="35"/>
      <c r="BB97" s="35"/>
    </row>
    <row r="98" spans="1:54" x14ac:dyDescent="0.25">
      <c r="A98" s="34"/>
      <c r="B98" s="32"/>
      <c r="C98" s="32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6"/>
      <c r="T98" s="36"/>
      <c r="U98" s="36"/>
      <c r="V98" s="36"/>
      <c r="W98" s="33"/>
      <c r="X98" s="33"/>
      <c r="Y98" s="33"/>
      <c r="Z98" s="36"/>
      <c r="AA98" s="33"/>
      <c r="AB98" s="36"/>
      <c r="AC98" s="36"/>
      <c r="AD98" s="36"/>
      <c r="AE98" s="33"/>
      <c r="AF98" s="33"/>
      <c r="AG98" s="33"/>
      <c r="AH98" s="36"/>
      <c r="AI98" s="33"/>
      <c r="AJ98" s="36"/>
      <c r="AK98" s="36"/>
      <c r="AL98" s="36"/>
      <c r="AM98" s="36"/>
      <c r="AN98" s="36"/>
      <c r="AO98" s="36"/>
      <c r="AP98" s="36"/>
      <c r="AQ98" s="36"/>
      <c r="AR98" s="36"/>
      <c r="AS98" s="36"/>
      <c r="AT98" s="36"/>
      <c r="AU98" s="36"/>
      <c r="AV98" s="36"/>
      <c r="AW98" s="36"/>
      <c r="AX98" s="36"/>
      <c r="AY98" s="36"/>
      <c r="AZ98" s="36"/>
      <c r="BA98" s="36"/>
      <c r="BB98" s="36"/>
    </row>
    <row r="99" spans="1:54" s="5" customFormat="1" x14ac:dyDescent="0.25">
      <c r="A99" s="34"/>
      <c r="B99" s="34"/>
      <c r="C99" s="34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</row>
    <row r="100" spans="1:54" x14ac:dyDescent="0.25">
      <c r="A100" s="34"/>
      <c r="B100" s="32"/>
      <c r="C100" s="32"/>
      <c r="D100" s="33"/>
      <c r="E100" s="33"/>
      <c r="F100" s="33"/>
      <c r="G100" s="33"/>
      <c r="H100" s="33"/>
      <c r="I100" s="33"/>
      <c r="J100" s="36"/>
      <c r="K100" s="33"/>
      <c r="L100" s="36"/>
      <c r="M100" s="36"/>
      <c r="N100" s="36"/>
      <c r="O100" s="36"/>
      <c r="P100" s="36"/>
      <c r="Q100" s="36"/>
      <c r="R100" s="33"/>
      <c r="S100" s="36"/>
      <c r="T100" s="36"/>
      <c r="U100" s="36"/>
      <c r="V100" s="36"/>
      <c r="W100" s="36"/>
      <c r="X100" s="36"/>
      <c r="Y100" s="33"/>
      <c r="Z100" s="36"/>
      <c r="AA100" s="36"/>
      <c r="AB100" s="36"/>
      <c r="AC100" s="36"/>
      <c r="AD100" s="36"/>
      <c r="AE100" s="36"/>
      <c r="AF100" s="33"/>
      <c r="AG100" s="33"/>
      <c r="AH100" s="36"/>
      <c r="AI100" s="36"/>
      <c r="AJ100" s="36"/>
      <c r="AK100" s="36"/>
      <c r="AL100" s="36"/>
      <c r="AM100" s="36"/>
      <c r="AN100" s="36"/>
      <c r="AO100" s="36"/>
      <c r="AP100" s="36"/>
      <c r="AQ100" s="36"/>
      <c r="AR100" s="36"/>
      <c r="AS100" s="36"/>
      <c r="AT100" s="36"/>
      <c r="AU100" s="36"/>
      <c r="AV100" s="36"/>
      <c r="AW100" s="36"/>
      <c r="AX100" s="36"/>
      <c r="AY100" s="36"/>
      <c r="AZ100" s="36"/>
      <c r="BA100" s="36"/>
      <c r="BB100" s="36"/>
    </row>
    <row r="101" spans="1:54" s="5" customFormat="1" x14ac:dyDescent="0.25">
      <c r="A101" s="32"/>
      <c r="B101" s="32"/>
      <c r="C101" s="32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  <c r="AA101" s="36"/>
      <c r="AB101" s="36"/>
      <c r="AC101" s="36"/>
      <c r="AD101" s="36"/>
      <c r="AE101" s="36"/>
      <c r="AF101" s="36"/>
      <c r="AG101" s="36"/>
      <c r="AH101" s="36"/>
      <c r="AI101" s="36"/>
      <c r="AJ101" s="36"/>
      <c r="AK101" s="36"/>
      <c r="AL101" s="36"/>
      <c r="AM101" s="36"/>
      <c r="AN101" s="36"/>
      <c r="AO101" s="36"/>
      <c r="AP101" s="36"/>
      <c r="AQ101" s="36"/>
      <c r="AR101" s="36"/>
      <c r="AS101" s="36"/>
      <c r="AT101" s="36"/>
      <c r="AU101" s="36"/>
      <c r="AV101" s="36"/>
      <c r="AW101" s="36"/>
      <c r="AX101" s="36"/>
      <c r="AY101" s="36"/>
      <c r="AZ101" s="36"/>
      <c r="BA101" s="36"/>
      <c r="BB101" s="36"/>
    </row>
    <row r="102" spans="1:54" x14ac:dyDescent="0.25">
      <c r="A102" s="34"/>
      <c r="B102" s="34"/>
      <c r="C102" s="34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</row>
    <row r="103" spans="1:54" s="5" customFormat="1" x14ac:dyDescent="0.25">
      <c r="A103" s="32"/>
      <c r="B103" s="32"/>
      <c r="C103" s="32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  <c r="AJ103" s="36"/>
      <c r="AK103" s="36"/>
      <c r="AL103" s="36"/>
      <c r="AM103" s="36"/>
      <c r="AN103" s="36"/>
      <c r="AO103" s="36"/>
      <c r="AP103" s="36"/>
      <c r="AQ103" s="36"/>
      <c r="AR103" s="36"/>
      <c r="AS103" s="36"/>
      <c r="AT103" s="36"/>
      <c r="AU103" s="36"/>
      <c r="AV103" s="36"/>
      <c r="AW103" s="36"/>
      <c r="AX103" s="36"/>
      <c r="AY103" s="36"/>
      <c r="AZ103" s="36"/>
      <c r="BA103" s="36"/>
      <c r="BB103" s="36"/>
    </row>
    <row r="104" spans="1:54" x14ac:dyDescent="0.25">
      <c r="A104" s="34"/>
      <c r="B104" s="34"/>
      <c r="C104" s="34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  <c r="AD104" s="37"/>
      <c r="AE104" s="37"/>
      <c r="AF104" s="37"/>
      <c r="AG104" s="37"/>
      <c r="AH104" s="37"/>
      <c r="AI104" s="37"/>
      <c r="AJ104" s="37"/>
      <c r="AK104" s="37"/>
      <c r="AL104" s="37"/>
      <c r="AM104" s="37"/>
      <c r="AN104" s="37"/>
      <c r="AO104" s="37"/>
      <c r="AP104" s="37"/>
      <c r="AQ104" s="37"/>
      <c r="AR104" s="37"/>
      <c r="AS104" s="37"/>
      <c r="AT104" s="37"/>
      <c r="AU104" s="37"/>
      <c r="AV104" s="37"/>
      <c r="AW104" s="37"/>
      <c r="AX104" s="37"/>
      <c r="AY104" s="37"/>
      <c r="AZ104" s="37"/>
      <c r="BA104" s="37"/>
      <c r="BB104" s="37"/>
    </row>
    <row r="105" spans="1:54" s="5" customFormat="1" x14ac:dyDescent="0.25">
      <c r="A105" s="32"/>
      <c r="B105" s="32"/>
      <c r="C105" s="32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  <c r="AA105" s="36"/>
      <c r="AB105" s="36"/>
      <c r="AC105" s="36"/>
      <c r="AD105" s="36"/>
      <c r="AE105" s="36"/>
      <c r="AF105" s="36"/>
      <c r="AG105" s="36"/>
      <c r="AH105" s="36"/>
      <c r="AI105" s="36"/>
      <c r="AJ105" s="36"/>
      <c r="AK105" s="36"/>
      <c r="AL105" s="36"/>
      <c r="AM105" s="36"/>
      <c r="AN105" s="36"/>
      <c r="AO105" s="36"/>
      <c r="AP105" s="36"/>
      <c r="AQ105" s="36"/>
      <c r="AR105" s="36"/>
      <c r="AS105" s="36"/>
      <c r="AT105" s="36"/>
      <c r="AU105" s="36"/>
      <c r="AV105" s="36"/>
      <c r="AW105" s="36"/>
      <c r="AX105" s="36"/>
      <c r="AY105" s="36"/>
      <c r="AZ105" s="36"/>
      <c r="BA105" s="36"/>
      <c r="BB105" s="36"/>
    </row>
    <row r="106" spans="1:54" x14ac:dyDescent="0.25">
      <c r="A106" s="34"/>
      <c r="B106" s="34"/>
      <c r="C106" s="34"/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7"/>
      <c r="R106" s="35"/>
      <c r="S106" s="35"/>
      <c r="T106" s="35"/>
      <c r="U106" s="35"/>
      <c r="V106" s="37"/>
      <c r="W106" s="37"/>
      <c r="X106" s="35"/>
      <c r="Y106" s="37"/>
      <c r="Z106" s="37"/>
      <c r="AA106" s="35"/>
      <c r="AB106" s="35"/>
      <c r="AC106" s="35"/>
      <c r="AD106" s="37"/>
      <c r="AE106" s="35"/>
      <c r="AF106" s="35"/>
      <c r="AG106" s="35"/>
      <c r="AH106" s="35"/>
      <c r="AI106" s="35"/>
      <c r="AJ106" s="35"/>
      <c r="AK106" s="35"/>
      <c r="AL106" s="37"/>
      <c r="AM106" s="37"/>
      <c r="AN106" s="35"/>
      <c r="AO106" s="35"/>
      <c r="AP106" s="35"/>
      <c r="AQ106" s="35"/>
      <c r="AR106" s="35"/>
      <c r="AS106" s="35"/>
      <c r="AT106" s="35"/>
      <c r="AU106" s="35"/>
      <c r="AV106" s="35"/>
      <c r="AW106" s="35"/>
      <c r="AX106" s="35"/>
      <c r="AY106" s="35"/>
      <c r="AZ106" s="35"/>
      <c r="BA106" s="37"/>
      <c r="BB106" s="37"/>
    </row>
    <row r="107" spans="1:54" s="5" customFormat="1" x14ac:dyDescent="0.25">
      <c r="A107" s="32"/>
      <c r="B107" s="32"/>
      <c r="C107" s="32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6"/>
      <c r="AC107" s="36"/>
      <c r="AD107" s="36"/>
      <c r="AE107" s="36"/>
      <c r="AF107" s="36"/>
      <c r="AG107" s="36"/>
      <c r="AH107" s="36"/>
      <c r="AI107" s="36"/>
      <c r="AJ107" s="36"/>
      <c r="AK107" s="36"/>
      <c r="AL107" s="36"/>
      <c r="AM107" s="33"/>
      <c r="AN107" s="36"/>
      <c r="AO107" s="36"/>
      <c r="AP107" s="36"/>
      <c r="AQ107" s="36"/>
      <c r="AR107" s="36"/>
      <c r="AS107" s="36"/>
      <c r="AT107" s="36"/>
      <c r="AU107" s="36"/>
      <c r="AV107" s="36"/>
      <c r="AW107" s="36"/>
      <c r="AX107" s="36"/>
      <c r="AY107" s="33"/>
      <c r="AZ107" s="33"/>
      <c r="BA107" s="33"/>
      <c r="BB107" s="33"/>
    </row>
    <row r="108" spans="1:54" x14ac:dyDescent="0.25">
      <c r="A108" s="34"/>
      <c r="B108" s="34"/>
      <c r="C108" s="34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  <c r="AF108" s="37"/>
      <c r="AG108" s="37"/>
      <c r="AH108" s="37"/>
      <c r="AI108" s="37"/>
      <c r="AJ108" s="37"/>
      <c r="AK108" s="37"/>
      <c r="AL108" s="37"/>
      <c r="AM108" s="37"/>
      <c r="AN108" s="37"/>
      <c r="AO108" s="37"/>
      <c r="AP108" s="37"/>
      <c r="AQ108" s="37"/>
      <c r="AR108" s="37"/>
      <c r="AS108" s="37"/>
      <c r="AT108" s="37"/>
      <c r="AU108" s="37"/>
      <c r="AV108" s="37"/>
      <c r="AW108" s="37"/>
      <c r="AX108" s="37"/>
      <c r="AY108" s="37"/>
      <c r="AZ108" s="37"/>
      <c r="BA108" s="37"/>
      <c r="BB108" s="37"/>
    </row>
    <row r="109" spans="1:54" s="5" customFormat="1" x14ac:dyDescent="0.25">
      <c r="A109" s="32"/>
      <c r="B109" s="32"/>
      <c r="C109" s="32"/>
      <c r="D109" s="36"/>
      <c r="E109" s="36"/>
      <c r="F109" s="36"/>
      <c r="G109" s="36"/>
      <c r="H109" s="36"/>
      <c r="I109" s="36"/>
      <c r="J109" s="36"/>
      <c r="K109" s="36"/>
      <c r="L109" s="36"/>
      <c r="M109" s="36"/>
      <c r="N109" s="36"/>
      <c r="O109" s="36"/>
      <c r="P109" s="36"/>
      <c r="Q109" s="36"/>
      <c r="R109" s="36"/>
      <c r="S109" s="36"/>
      <c r="T109" s="36"/>
      <c r="U109" s="36"/>
      <c r="V109" s="36"/>
      <c r="W109" s="36"/>
      <c r="X109" s="36"/>
      <c r="Y109" s="36"/>
      <c r="Z109" s="36"/>
      <c r="AA109" s="36"/>
      <c r="AB109" s="36"/>
      <c r="AC109" s="36"/>
      <c r="AD109" s="36"/>
      <c r="AE109" s="36"/>
      <c r="AF109" s="36"/>
      <c r="AG109" s="36"/>
      <c r="AH109" s="36"/>
      <c r="AI109" s="36"/>
      <c r="AJ109" s="36"/>
      <c r="AK109" s="36"/>
      <c r="AL109" s="36"/>
      <c r="AM109" s="36"/>
      <c r="AN109" s="36"/>
      <c r="AO109" s="36"/>
      <c r="AP109" s="36"/>
      <c r="AQ109" s="36"/>
      <c r="AR109" s="36"/>
      <c r="AS109" s="36"/>
      <c r="AT109" s="36"/>
      <c r="AU109" s="36"/>
      <c r="AV109" s="36"/>
      <c r="AW109" s="36"/>
      <c r="AX109" s="36"/>
      <c r="AY109" s="36"/>
      <c r="AZ109" s="36"/>
      <c r="BA109" s="36"/>
      <c r="BB109" s="36"/>
    </row>
    <row r="110" spans="1:54" x14ac:dyDescent="0.25">
      <c r="A110" s="34"/>
      <c r="B110" s="34"/>
      <c r="C110" s="34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7"/>
      <c r="Q110" s="37"/>
      <c r="R110" s="35"/>
      <c r="S110" s="35"/>
      <c r="T110" s="35"/>
      <c r="U110" s="37"/>
      <c r="V110" s="37"/>
      <c r="W110" s="37"/>
      <c r="X110" s="37"/>
      <c r="Y110" s="37"/>
      <c r="Z110" s="37"/>
      <c r="AA110" s="35"/>
      <c r="AB110" s="35"/>
      <c r="AC110" s="35"/>
      <c r="AD110" s="35"/>
      <c r="AE110" s="35"/>
      <c r="AF110" s="37"/>
      <c r="AG110" s="37"/>
      <c r="AH110" s="37"/>
      <c r="AI110" s="37"/>
      <c r="AJ110" s="35"/>
      <c r="AK110" s="35"/>
      <c r="AL110" s="37"/>
      <c r="AM110" s="37"/>
      <c r="AN110" s="37"/>
      <c r="AO110" s="37"/>
      <c r="AP110" s="35"/>
      <c r="AQ110" s="35"/>
      <c r="AR110" s="35"/>
      <c r="AS110" s="35"/>
      <c r="AT110" s="37"/>
      <c r="AU110" s="37"/>
      <c r="AV110" s="37"/>
      <c r="AW110" s="37"/>
      <c r="AX110" s="37"/>
      <c r="AY110" s="37"/>
      <c r="AZ110" s="37"/>
      <c r="BA110" s="37"/>
      <c r="BB110" s="37"/>
    </row>
    <row r="111" spans="1:54" s="5" customFormat="1" x14ac:dyDescent="0.25">
      <c r="A111" s="32"/>
      <c r="B111" s="32"/>
      <c r="C111" s="32"/>
      <c r="D111" s="33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6"/>
      <c r="AD111" s="36"/>
      <c r="AE111" s="36"/>
      <c r="AF111" s="36"/>
      <c r="AG111" s="33"/>
      <c r="AH111" s="33"/>
      <c r="AI111" s="33"/>
      <c r="AJ111" s="33"/>
      <c r="AK111" s="33"/>
      <c r="AL111" s="33"/>
      <c r="AM111" s="33"/>
      <c r="AN111" s="33"/>
      <c r="AO111" s="33"/>
      <c r="AP111" s="33"/>
      <c r="AQ111" s="36"/>
      <c r="AR111" s="33"/>
      <c r="AS111" s="33"/>
      <c r="AT111" s="33"/>
      <c r="AU111" s="33"/>
      <c r="AV111" s="33"/>
      <c r="AW111" s="33"/>
      <c r="AX111" s="33"/>
      <c r="AY111" s="33"/>
      <c r="AZ111" s="33"/>
      <c r="BA111" s="33"/>
      <c r="BB111" s="33"/>
    </row>
    <row r="112" spans="1:54" x14ac:dyDescent="0.25">
      <c r="A112" s="34"/>
      <c r="B112" s="34"/>
      <c r="C112" s="34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  <c r="AD112" s="37"/>
      <c r="AE112" s="37"/>
      <c r="AF112" s="37"/>
      <c r="AG112" s="37"/>
      <c r="AH112" s="37"/>
      <c r="AI112" s="37"/>
      <c r="AJ112" s="37"/>
      <c r="AK112" s="37"/>
      <c r="AL112" s="37"/>
      <c r="AM112" s="37"/>
      <c r="AN112" s="37"/>
      <c r="AO112" s="37"/>
      <c r="AP112" s="37"/>
      <c r="AQ112" s="37"/>
      <c r="AR112" s="37"/>
      <c r="AS112" s="37"/>
      <c r="AT112" s="37"/>
      <c r="AU112" s="37"/>
      <c r="AV112" s="37"/>
      <c r="AW112" s="37"/>
      <c r="AX112" s="37"/>
      <c r="AY112" s="37"/>
      <c r="AZ112" s="37"/>
      <c r="BA112" s="37"/>
      <c r="BB112" s="37"/>
    </row>
    <row r="113" spans="1:54" s="5" customFormat="1" x14ac:dyDescent="0.25">
      <c r="A113" s="32"/>
      <c r="B113" s="32"/>
      <c r="C113" s="32"/>
      <c r="D113" s="33"/>
      <c r="E113" s="33"/>
      <c r="F113" s="33"/>
      <c r="G113" s="33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  <c r="AE113" s="36"/>
      <c r="AF113" s="36"/>
      <c r="AG113" s="36"/>
      <c r="AH113" s="36"/>
      <c r="AI113" s="36"/>
      <c r="AJ113" s="36"/>
      <c r="AK113" s="36"/>
      <c r="AL113" s="36"/>
      <c r="AM113" s="36"/>
      <c r="AN113" s="36"/>
      <c r="AO113" s="36"/>
      <c r="AP113" s="36"/>
      <c r="AQ113" s="36"/>
      <c r="AR113" s="36"/>
      <c r="AS113" s="36"/>
      <c r="AT113" s="36"/>
      <c r="AU113" s="36"/>
      <c r="AV113" s="36"/>
      <c r="AW113" s="36"/>
      <c r="AX113" s="36"/>
      <c r="AY113" s="36"/>
      <c r="AZ113" s="36"/>
      <c r="BA113" s="36"/>
      <c r="BB113" s="36"/>
    </row>
    <row r="114" spans="1:54" x14ac:dyDescent="0.25">
      <c r="A114" s="34"/>
      <c r="B114" s="34"/>
      <c r="C114" s="34"/>
      <c r="D114" s="35"/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35"/>
      <c r="AE114" s="35"/>
      <c r="AF114" s="35"/>
      <c r="AG114" s="35"/>
      <c r="AH114" s="35"/>
      <c r="AI114" s="35"/>
      <c r="AJ114" s="35"/>
      <c r="AK114" s="35"/>
      <c r="AL114" s="35"/>
      <c r="AM114" s="35"/>
      <c r="AN114" s="37"/>
      <c r="AO114" s="37"/>
      <c r="AP114" s="37"/>
      <c r="AQ114" s="37"/>
      <c r="AR114" s="37"/>
      <c r="AS114" s="37"/>
      <c r="AT114" s="37"/>
      <c r="AU114" s="37"/>
      <c r="AV114" s="37"/>
      <c r="AW114" s="37"/>
      <c r="AX114" s="37"/>
      <c r="AY114" s="37"/>
      <c r="AZ114" s="37"/>
      <c r="BA114" s="37"/>
      <c r="BB114" s="37"/>
    </row>
    <row r="115" spans="1:54" s="5" customFormat="1" x14ac:dyDescent="0.25">
      <c r="A115" s="32"/>
      <c r="B115" s="32"/>
      <c r="C115" s="32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  <c r="AA115" s="33"/>
      <c r="AB115" s="36"/>
      <c r="AC115" s="36"/>
      <c r="AD115" s="36"/>
      <c r="AE115" s="36"/>
      <c r="AF115" s="36"/>
      <c r="AG115" s="36"/>
      <c r="AH115" s="36"/>
      <c r="AI115" s="36"/>
      <c r="AJ115" s="33"/>
      <c r="AK115" s="36"/>
      <c r="AL115" s="33"/>
      <c r="AM115" s="33"/>
      <c r="AN115" s="33"/>
      <c r="AO115" s="33"/>
      <c r="AP115" s="33"/>
      <c r="AQ115" s="33"/>
      <c r="AR115" s="33"/>
      <c r="AS115" s="33"/>
      <c r="AT115" s="33"/>
      <c r="AU115" s="33"/>
      <c r="AV115" s="33"/>
      <c r="AW115" s="33"/>
      <c r="AX115" s="33"/>
      <c r="AY115" s="33"/>
      <c r="AZ115" s="33"/>
      <c r="BA115" s="33"/>
      <c r="BB115" s="33"/>
    </row>
    <row r="116" spans="1:54" x14ac:dyDescent="0.25">
      <c r="A116" s="34"/>
      <c r="B116" s="34"/>
      <c r="C116" s="34"/>
      <c r="D116" s="35"/>
      <c r="E116" s="35"/>
      <c r="F116" s="35"/>
      <c r="G116" s="35"/>
      <c r="H116" s="37"/>
      <c r="I116" s="37"/>
      <c r="J116" s="37"/>
      <c r="K116" s="37"/>
      <c r="L116" s="37"/>
      <c r="M116" s="37"/>
      <c r="N116" s="37"/>
      <c r="O116" s="37"/>
      <c r="P116" s="37"/>
      <c r="Q116" s="37"/>
      <c r="R116" s="37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  <c r="AD116" s="37"/>
      <c r="AE116" s="37"/>
      <c r="AF116" s="37"/>
      <c r="AG116" s="37"/>
      <c r="AH116" s="37"/>
      <c r="AI116" s="37"/>
      <c r="AJ116" s="37"/>
      <c r="AK116" s="37"/>
      <c r="AL116" s="37"/>
      <c r="AM116" s="37"/>
      <c r="AN116" s="37"/>
      <c r="AO116" s="37"/>
      <c r="AP116" s="37"/>
      <c r="AQ116" s="37"/>
      <c r="AR116" s="37"/>
      <c r="AS116" s="37"/>
      <c r="AT116" s="37"/>
      <c r="AU116" s="37"/>
      <c r="AV116" s="37"/>
      <c r="AW116" s="37"/>
      <c r="AX116" s="37"/>
      <c r="AY116" s="37"/>
      <c r="AZ116" s="37"/>
      <c r="BA116" s="37"/>
      <c r="BB116" s="37"/>
    </row>
    <row r="117" spans="1:54" s="5" customFormat="1" x14ac:dyDescent="0.25">
      <c r="A117" s="32"/>
      <c r="B117" s="32"/>
      <c r="C117" s="32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6"/>
      <c r="W117" s="36"/>
      <c r="X117" s="36"/>
      <c r="Y117" s="36"/>
      <c r="Z117" s="36"/>
      <c r="AA117" s="36"/>
      <c r="AB117" s="36"/>
      <c r="AC117" s="36"/>
      <c r="AD117" s="36"/>
      <c r="AE117" s="36"/>
      <c r="AF117" s="36"/>
      <c r="AG117" s="36"/>
      <c r="AH117" s="36"/>
      <c r="AI117" s="36"/>
      <c r="AJ117" s="36"/>
      <c r="AK117" s="36"/>
      <c r="AL117" s="36"/>
      <c r="AM117" s="36"/>
      <c r="AN117" s="36"/>
      <c r="AO117" s="36"/>
      <c r="AP117" s="36"/>
      <c r="AQ117" s="36"/>
      <c r="AR117" s="36"/>
      <c r="AS117" s="36"/>
      <c r="AT117" s="36"/>
      <c r="AU117" s="36"/>
      <c r="AV117" s="36"/>
      <c r="AW117" s="36"/>
      <c r="AX117" s="36"/>
      <c r="AY117" s="36"/>
      <c r="AZ117" s="36"/>
      <c r="BA117" s="36"/>
      <c r="BB117" s="36"/>
    </row>
    <row r="118" spans="1:54" x14ac:dyDescent="0.25">
      <c r="A118" s="34"/>
      <c r="B118" s="34"/>
      <c r="C118" s="34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35"/>
      <c r="AE118" s="35"/>
      <c r="AF118" s="37"/>
      <c r="AG118" s="35"/>
      <c r="AH118" s="35"/>
      <c r="AI118" s="35"/>
      <c r="AJ118" s="35"/>
      <c r="AK118" s="35"/>
      <c r="AL118" s="37"/>
      <c r="AM118" s="35"/>
      <c r="AN118" s="35"/>
      <c r="AO118" s="35"/>
      <c r="AP118" s="35"/>
      <c r="AQ118" s="35"/>
      <c r="AR118" s="35"/>
      <c r="AS118" s="35"/>
      <c r="AT118" s="35"/>
      <c r="AU118" s="37"/>
      <c r="AV118" s="35"/>
      <c r="AW118" s="35"/>
      <c r="AX118" s="35"/>
      <c r="AY118" s="35"/>
      <c r="AZ118" s="35"/>
      <c r="BA118" s="35"/>
      <c r="BB118" s="35"/>
    </row>
    <row r="119" spans="1:54" s="5" customFormat="1" x14ac:dyDescent="0.25">
      <c r="A119" s="32"/>
      <c r="B119" s="32"/>
      <c r="C119" s="32"/>
      <c r="D119" s="33"/>
      <c r="E119" s="33"/>
      <c r="F119" s="33"/>
      <c r="G119" s="33"/>
      <c r="H119" s="33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3"/>
      <c r="T119" s="36"/>
      <c r="U119" s="36"/>
      <c r="V119" s="36"/>
      <c r="W119" s="36"/>
      <c r="X119" s="33"/>
      <c r="Y119" s="33"/>
      <c r="Z119" s="33"/>
      <c r="AA119" s="36"/>
      <c r="AB119" s="36"/>
      <c r="AC119" s="33"/>
      <c r="AD119" s="36"/>
      <c r="AE119" s="33"/>
      <c r="AF119" s="33"/>
      <c r="AG119" s="33"/>
      <c r="AH119" s="33"/>
      <c r="AI119" s="33"/>
      <c r="AJ119" s="36"/>
      <c r="AK119" s="36"/>
      <c r="AL119" s="33"/>
      <c r="AM119" s="33"/>
      <c r="AN119" s="33"/>
      <c r="AO119" s="36"/>
      <c r="AP119" s="36"/>
      <c r="AQ119" s="36"/>
      <c r="AR119" s="36"/>
      <c r="AS119" s="36"/>
      <c r="AT119" s="36"/>
      <c r="AU119" s="33"/>
      <c r="AV119" s="33"/>
      <c r="AW119" s="36"/>
      <c r="AX119" s="36"/>
      <c r="AY119" s="33"/>
      <c r="AZ119" s="33"/>
      <c r="BA119" s="33"/>
      <c r="BB119" s="33"/>
    </row>
    <row r="120" spans="1:54" x14ac:dyDescent="0.25">
      <c r="A120" s="34"/>
      <c r="B120" s="34"/>
      <c r="C120" s="34"/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  <c r="Q120" s="37"/>
      <c r="R120" s="37"/>
      <c r="S120" s="37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  <c r="AD120" s="37"/>
      <c r="AE120" s="37"/>
      <c r="AF120" s="37"/>
      <c r="AG120" s="37"/>
      <c r="AH120" s="37"/>
      <c r="AI120" s="37"/>
      <c r="AJ120" s="37"/>
      <c r="AK120" s="37"/>
      <c r="AL120" s="37"/>
      <c r="AM120" s="37"/>
      <c r="AN120" s="37"/>
      <c r="AO120" s="37"/>
      <c r="AP120" s="37"/>
      <c r="AQ120" s="37"/>
      <c r="AR120" s="37"/>
      <c r="AS120" s="37"/>
      <c r="AT120" s="37"/>
      <c r="AU120" s="37"/>
      <c r="AV120" s="37"/>
      <c r="AW120" s="37"/>
      <c r="AX120" s="37"/>
      <c r="AY120" s="37"/>
      <c r="AZ120" s="37"/>
      <c r="BA120" s="37"/>
      <c r="BB120" s="37"/>
    </row>
    <row r="121" spans="1:54" s="5" customFormat="1" x14ac:dyDescent="0.25">
      <c r="A121" s="32"/>
      <c r="B121" s="32"/>
      <c r="C121" s="32"/>
      <c r="D121" s="36"/>
      <c r="E121" s="36"/>
      <c r="F121" s="36"/>
      <c r="G121" s="36"/>
      <c r="H121" s="36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36"/>
      <c r="W121" s="36"/>
      <c r="X121" s="36"/>
      <c r="Y121" s="36"/>
      <c r="Z121" s="36"/>
      <c r="AA121" s="36"/>
      <c r="AB121" s="36"/>
      <c r="AC121" s="36"/>
      <c r="AD121" s="36"/>
      <c r="AE121" s="36"/>
      <c r="AF121" s="36"/>
      <c r="AG121" s="36"/>
      <c r="AH121" s="36"/>
      <c r="AI121" s="36"/>
      <c r="AJ121" s="36"/>
      <c r="AK121" s="36"/>
      <c r="AL121" s="36"/>
      <c r="AM121" s="36"/>
      <c r="AN121" s="36"/>
      <c r="AO121" s="36"/>
      <c r="AP121" s="36"/>
      <c r="AQ121" s="36"/>
      <c r="AR121" s="36"/>
      <c r="AS121" s="36"/>
      <c r="AT121" s="36"/>
      <c r="AU121" s="36"/>
      <c r="AV121" s="36"/>
      <c r="AW121" s="36"/>
      <c r="AX121" s="36"/>
      <c r="AY121" s="36"/>
      <c r="AZ121" s="36"/>
      <c r="BA121" s="36"/>
      <c r="BB121" s="36"/>
    </row>
    <row r="122" spans="1:54" x14ac:dyDescent="0.25">
      <c r="A122" s="34"/>
      <c r="B122" s="34"/>
      <c r="C122" s="34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  <c r="AS122" s="35"/>
      <c r="AT122" s="35"/>
      <c r="AU122" s="35"/>
      <c r="AV122" s="35"/>
      <c r="AW122" s="35"/>
      <c r="AX122" s="35"/>
      <c r="AY122" s="35"/>
      <c r="AZ122" s="35"/>
      <c r="BA122" s="35"/>
      <c r="BB122" s="35"/>
    </row>
    <row r="123" spans="1:54" s="5" customFormat="1" x14ac:dyDescent="0.25">
      <c r="A123" s="32"/>
      <c r="B123" s="32"/>
      <c r="C123" s="32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  <c r="AF123" s="36"/>
      <c r="AG123" s="33"/>
      <c r="AH123" s="33"/>
      <c r="AI123" s="33"/>
      <c r="AJ123" s="33"/>
      <c r="AK123" s="33"/>
      <c r="AL123" s="33"/>
      <c r="AM123" s="33"/>
      <c r="AN123" s="33"/>
      <c r="AO123" s="33"/>
      <c r="AP123" s="33"/>
      <c r="AQ123" s="33"/>
      <c r="AR123" s="33"/>
      <c r="AS123" s="33"/>
      <c r="AT123" s="33"/>
      <c r="AU123" s="33"/>
      <c r="AV123" s="33"/>
      <c r="AW123" s="33"/>
      <c r="AX123" s="33"/>
      <c r="AY123" s="33"/>
      <c r="AZ123" s="33"/>
      <c r="BA123" s="33"/>
      <c r="BB123" s="33"/>
    </row>
    <row r="124" spans="1:54" x14ac:dyDescent="0.25">
      <c r="A124" s="34"/>
      <c r="B124" s="34"/>
      <c r="C124" s="34"/>
      <c r="D124" s="37"/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37"/>
      <c r="S124" s="37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  <c r="AD124" s="37"/>
      <c r="AE124" s="37"/>
      <c r="AF124" s="37"/>
      <c r="AG124" s="37"/>
      <c r="AH124" s="37"/>
      <c r="AI124" s="37"/>
      <c r="AJ124" s="37"/>
      <c r="AK124" s="37"/>
      <c r="AL124" s="37"/>
      <c r="AM124" s="37"/>
      <c r="AN124" s="37"/>
      <c r="AO124" s="37"/>
      <c r="AP124" s="37"/>
      <c r="AQ124" s="37"/>
      <c r="AR124" s="37"/>
      <c r="AS124" s="37"/>
      <c r="AT124" s="37"/>
      <c r="AU124" s="37"/>
      <c r="AV124" s="37"/>
      <c r="AW124" s="37"/>
      <c r="AX124" s="37"/>
      <c r="AY124" s="37"/>
      <c r="AZ124" s="37"/>
      <c r="BA124" s="37"/>
      <c r="BB124" s="37"/>
    </row>
    <row r="125" spans="1:54" s="5" customFormat="1" x14ac:dyDescent="0.25">
      <c r="A125" s="34"/>
      <c r="B125" s="34"/>
      <c r="C125" s="34"/>
      <c r="D125" s="35"/>
      <c r="E125" s="35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7"/>
      <c r="AF125" s="37"/>
      <c r="AG125" s="37"/>
      <c r="AH125" s="37"/>
      <c r="AI125" s="37"/>
      <c r="AJ125" s="37"/>
      <c r="AK125" s="37"/>
      <c r="AL125" s="37"/>
      <c r="AM125" s="37"/>
      <c r="AN125" s="37"/>
      <c r="AO125" s="37"/>
      <c r="AP125" s="37"/>
      <c r="AQ125" s="37"/>
      <c r="AR125" s="37"/>
      <c r="AS125" s="37"/>
      <c r="AT125" s="37"/>
      <c r="AU125" s="37"/>
      <c r="AV125" s="37"/>
      <c r="AW125" s="37"/>
      <c r="AX125" s="37"/>
      <c r="AY125" s="37"/>
      <c r="AZ125" s="37"/>
      <c r="BA125" s="37"/>
      <c r="BB125" s="37"/>
    </row>
    <row r="126" spans="1:54" x14ac:dyDescent="0.25">
      <c r="A126" s="34"/>
      <c r="B126" s="32"/>
      <c r="C126" s="32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36"/>
      <c r="AJ126" s="33"/>
      <c r="AK126" s="36"/>
      <c r="AL126" s="36"/>
      <c r="AM126" s="36"/>
      <c r="AN126" s="36"/>
      <c r="AO126" s="33"/>
      <c r="AP126" s="33"/>
      <c r="AQ126" s="33"/>
      <c r="AR126" s="36"/>
      <c r="AS126" s="36"/>
      <c r="AT126" s="33"/>
      <c r="AU126" s="36"/>
      <c r="AV126" s="36"/>
      <c r="AW126" s="36"/>
      <c r="AX126" s="36"/>
      <c r="AY126" s="33"/>
      <c r="AZ126" s="36"/>
      <c r="BA126" s="36"/>
      <c r="BB126" s="36"/>
    </row>
    <row r="127" spans="1:54" s="5" customFormat="1" x14ac:dyDescent="0.25">
      <c r="A127" s="34"/>
      <c r="B127" s="34"/>
      <c r="C127" s="34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35"/>
      <c r="AE127" s="35"/>
      <c r="AF127" s="35"/>
      <c r="AG127" s="35"/>
      <c r="AH127" s="35"/>
      <c r="AI127" s="37"/>
      <c r="AJ127" s="37"/>
      <c r="AK127" s="37"/>
      <c r="AL127" s="35"/>
      <c r="AM127" s="35"/>
      <c r="AN127" s="35"/>
      <c r="AO127" s="35"/>
      <c r="AP127" s="35"/>
      <c r="AQ127" s="35"/>
      <c r="AR127" s="35"/>
      <c r="AS127" s="35"/>
      <c r="AT127" s="35"/>
      <c r="AU127" s="35"/>
      <c r="AV127" s="35"/>
      <c r="AW127" s="35"/>
      <c r="AX127" s="35"/>
      <c r="AY127" s="35"/>
      <c r="AZ127" s="35"/>
      <c r="BA127" s="35"/>
      <c r="BB127" s="35"/>
    </row>
    <row r="128" spans="1:54" x14ac:dyDescent="0.25">
      <c r="A128" s="34"/>
      <c r="B128" s="32"/>
      <c r="C128" s="32"/>
      <c r="D128" s="36"/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  <c r="AJ128" s="36"/>
      <c r="AK128" s="36"/>
      <c r="AL128" s="36"/>
      <c r="AM128" s="36"/>
      <c r="AN128" s="36"/>
      <c r="AO128" s="36"/>
      <c r="AP128" s="36"/>
      <c r="AQ128" s="36"/>
      <c r="AR128" s="36"/>
      <c r="AS128" s="36"/>
      <c r="AT128" s="36"/>
      <c r="AU128" s="36"/>
      <c r="AV128" s="36"/>
      <c r="AW128" s="36"/>
      <c r="AX128" s="36"/>
      <c r="AY128" s="36"/>
      <c r="AZ128" s="36"/>
      <c r="BA128" s="36"/>
      <c r="BB128" s="36"/>
    </row>
    <row r="129" spans="1:54" x14ac:dyDescent="0.25">
      <c r="A129" s="34"/>
      <c r="B129" s="34"/>
      <c r="C129" s="34"/>
      <c r="D129" s="37"/>
      <c r="E129" s="37"/>
      <c r="F129" s="37"/>
      <c r="G129" s="37"/>
      <c r="H129" s="37"/>
      <c r="I129" s="37"/>
      <c r="J129" s="37"/>
      <c r="K129" s="37"/>
      <c r="L129" s="37"/>
      <c r="M129" s="37"/>
      <c r="N129" s="37"/>
      <c r="O129" s="37"/>
      <c r="P129" s="37"/>
      <c r="Q129" s="37"/>
      <c r="R129" s="37"/>
      <c r="S129" s="37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  <c r="AD129" s="37"/>
      <c r="AE129" s="37"/>
      <c r="AF129" s="37"/>
      <c r="AG129" s="37"/>
      <c r="AH129" s="37"/>
      <c r="AI129" s="37"/>
      <c r="AJ129" s="37"/>
      <c r="AK129" s="37"/>
      <c r="AL129" s="37"/>
      <c r="AM129" s="37"/>
      <c r="AN129" s="37"/>
      <c r="AO129" s="37"/>
      <c r="AP129" s="37"/>
      <c r="AQ129" s="37"/>
      <c r="AR129" s="37"/>
      <c r="AS129" s="37"/>
      <c r="AT129" s="37"/>
      <c r="AU129" s="37"/>
      <c r="AV129" s="37"/>
      <c r="AW129" s="37"/>
      <c r="AX129" s="37"/>
      <c r="AY129" s="37"/>
      <c r="AZ129" s="37"/>
      <c r="BA129" s="37"/>
      <c r="BB129" s="37"/>
    </row>
    <row r="130" spans="1:54" s="5" customFormat="1" x14ac:dyDescent="0.25">
      <c r="A130" s="32"/>
      <c r="B130" s="32"/>
      <c r="C130" s="32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  <c r="AJ130" s="36"/>
      <c r="AK130" s="36"/>
      <c r="AL130" s="36"/>
      <c r="AM130" s="36"/>
      <c r="AN130" s="36"/>
      <c r="AO130" s="36"/>
      <c r="AP130" s="33"/>
      <c r="AQ130" s="36"/>
      <c r="AR130" s="33"/>
      <c r="AS130" s="36"/>
      <c r="AT130" s="33"/>
      <c r="AU130" s="36"/>
      <c r="AV130" s="36"/>
      <c r="AW130" s="36"/>
      <c r="AX130" s="33"/>
      <c r="AY130" s="33"/>
      <c r="AZ130" s="33"/>
      <c r="BA130" s="36"/>
      <c r="BB130" s="36"/>
    </row>
    <row r="131" spans="1:54" x14ac:dyDescent="0.25">
      <c r="A131" s="34"/>
      <c r="B131" s="34"/>
      <c r="C131" s="34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35"/>
      <c r="AE131" s="35"/>
      <c r="AF131" s="35"/>
      <c r="AG131" s="35"/>
      <c r="AH131" s="35"/>
      <c r="AI131" s="35"/>
      <c r="AJ131" s="35"/>
      <c r="AK131" s="35"/>
      <c r="AL131" s="35"/>
      <c r="AM131" s="35"/>
      <c r="AN131" s="35"/>
      <c r="AO131" s="37"/>
      <c r="AP131" s="35"/>
      <c r="AQ131" s="35"/>
      <c r="AR131" s="35"/>
      <c r="AS131" s="37"/>
      <c r="AT131" s="37"/>
      <c r="AU131" s="37"/>
      <c r="AV131" s="37"/>
      <c r="AW131" s="37"/>
      <c r="AX131" s="37"/>
      <c r="AY131" s="37"/>
      <c r="AZ131" s="35"/>
      <c r="BA131" s="35"/>
      <c r="BB131" s="37"/>
    </row>
    <row r="132" spans="1:54" s="5" customFormat="1" x14ac:dyDescent="0.25">
      <c r="A132" s="32"/>
      <c r="B132" s="32"/>
      <c r="C132" s="32"/>
      <c r="D132" s="3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  <c r="AE132" s="36"/>
      <c r="AF132" s="36"/>
      <c r="AG132" s="36"/>
      <c r="AH132" s="36"/>
      <c r="AI132" s="36"/>
      <c r="AJ132" s="36"/>
      <c r="AK132" s="36"/>
      <c r="AL132" s="36"/>
      <c r="AM132" s="36"/>
      <c r="AN132" s="36"/>
      <c r="AO132" s="36"/>
      <c r="AP132" s="36"/>
      <c r="AQ132" s="36"/>
      <c r="AR132" s="36"/>
      <c r="AS132" s="36"/>
      <c r="AT132" s="36"/>
      <c r="AU132" s="36"/>
      <c r="AV132" s="36"/>
      <c r="AW132" s="36"/>
      <c r="AX132" s="36"/>
      <c r="AY132" s="36"/>
      <c r="AZ132" s="36"/>
      <c r="BA132" s="36"/>
      <c r="BB132" s="36"/>
    </row>
    <row r="133" spans="1:54" x14ac:dyDescent="0.25">
      <c r="A133" s="34"/>
      <c r="B133" s="34"/>
      <c r="C133" s="34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37"/>
      <c r="R133" s="37"/>
      <c r="S133" s="37"/>
      <c r="T133" s="37"/>
      <c r="U133" s="37"/>
      <c r="V133" s="37"/>
      <c r="W133" s="37"/>
      <c r="X133" s="37"/>
      <c r="Y133" s="37"/>
      <c r="Z133" s="37"/>
      <c r="AA133" s="37"/>
      <c r="AB133" s="37"/>
      <c r="AC133" s="37"/>
      <c r="AD133" s="37"/>
      <c r="AE133" s="37"/>
      <c r="AF133" s="37"/>
      <c r="AG133" s="37"/>
      <c r="AH133" s="37"/>
      <c r="AI133" s="37"/>
      <c r="AJ133" s="37"/>
      <c r="AK133" s="37"/>
      <c r="AL133" s="37"/>
      <c r="AM133" s="37"/>
      <c r="AN133" s="37"/>
      <c r="AO133" s="37"/>
      <c r="AP133" s="37"/>
      <c r="AQ133" s="37"/>
      <c r="AR133" s="37"/>
      <c r="AS133" s="37"/>
      <c r="AT133" s="37"/>
      <c r="AU133" s="37"/>
      <c r="AV133" s="37"/>
      <c r="AW133" s="37"/>
      <c r="AX133" s="37"/>
      <c r="AY133" s="37"/>
      <c r="AZ133" s="37"/>
      <c r="BA133" s="37"/>
      <c r="BB133" s="37"/>
    </row>
    <row r="134" spans="1:54" s="5" customFormat="1" x14ac:dyDescent="0.25">
      <c r="A134" s="32"/>
      <c r="B134" s="32"/>
      <c r="C134" s="32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6"/>
      <c r="Z134" s="36"/>
      <c r="AA134" s="36"/>
      <c r="AB134" s="36"/>
      <c r="AC134" s="36"/>
      <c r="AD134" s="36"/>
      <c r="AE134" s="36"/>
      <c r="AF134" s="36"/>
      <c r="AG134" s="36"/>
      <c r="AH134" s="36"/>
      <c r="AI134" s="36"/>
      <c r="AJ134" s="36"/>
      <c r="AK134" s="36"/>
      <c r="AL134" s="36"/>
      <c r="AM134" s="36"/>
      <c r="AN134" s="36"/>
      <c r="AO134" s="36"/>
      <c r="AP134" s="36"/>
      <c r="AQ134" s="36"/>
      <c r="AR134" s="36"/>
      <c r="AS134" s="36"/>
      <c r="AT134" s="36"/>
      <c r="AU134" s="36"/>
      <c r="AV134" s="36"/>
      <c r="AW134" s="36"/>
      <c r="AX134" s="36"/>
      <c r="AY134" s="36"/>
      <c r="AZ134" s="36"/>
      <c r="BA134" s="36"/>
      <c r="BB134" s="36"/>
    </row>
    <row r="135" spans="1:54" x14ac:dyDescent="0.25">
      <c r="A135" s="34"/>
      <c r="B135" s="34"/>
      <c r="C135" s="34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  <c r="AE135" s="35"/>
      <c r="AF135" s="35"/>
      <c r="AG135" s="35"/>
      <c r="AH135" s="35"/>
      <c r="AI135" s="35"/>
      <c r="AJ135" s="35"/>
      <c r="AK135" s="35"/>
      <c r="AL135" s="35"/>
      <c r="AM135" s="35"/>
      <c r="AN135" s="35"/>
      <c r="AO135" s="35"/>
      <c r="AP135" s="35"/>
      <c r="AQ135" s="35"/>
      <c r="AR135" s="35"/>
      <c r="AS135" s="35"/>
      <c r="AT135" s="35"/>
      <c r="AU135" s="35"/>
      <c r="AV135" s="35"/>
      <c r="AW135" s="35"/>
      <c r="AX135" s="35"/>
      <c r="AY135" s="35"/>
      <c r="AZ135" s="35"/>
      <c r="BA135" s="35"/>
      <c r="BB135" s="35"/>
    </row>
    <row r="136" spans="1:54" s="5" customFormat="1" x14ac:dyDescent="0.25">
      <c r="A136" s="32"/>
      <c r="B136" s="32"/>
      <c r="C136" s="32"/>
      <c r="D136" s="3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6"/>
      <c r="W136" s="36"/>
      <c r="X136" s="36"/>
      <c r="Y136" s="36"/>
      <c r="Z136" s="36"/>
      <c r="AA136" s="36"/>
      <c r="AB136" s="36"/>
      <c r="AC136" s="36"/>
      <c r="AD136" s="36"/>
      <c r="AE136" s="36"/>
      <c r="AF136" s="36"/>
      <c r="AG136" s="36"/>
      <c r="AH136" s="36"/>
      <c r="AI136" s="36"/>
      <c r="AJ136" s="36"/>
      <c r="AK136" s="36"/>
      <c r="AL136" s="36"/>
      <c r="AM136" s="36"/>
      <c r="AN136" s="36"/>
      <c r="AO136" s="36"/>
      <c r="AP136" s="36"/>
      <c r="AQ136" s="36"/>
      <c r="AR136" s="36"/>
      <c r="AS136" s="36"/>
      <c r="AT136" s="36"/>
      <c r="AU136" s="36"/>
      <c r="AV136" s="36"/>
      <c r="AW136" s="36"/>
      <c r="AX136" s="36"/>
      <c r="AY136" s="36"/>
      <c r="AZ136" s="36"/>
      <c r="BA136" s="36"/>
      <c r="BB136" s="36"/>
    </row>
    <row r="137" spans="1:54" x14ac:dyDescent="0.25">
      <c r="A137" s="34"/>
      <c r="B137" s="34"/>
      <c r="C137" s="34"/>
      <c r="D137" s="37"/>
      <c r="E137" s="37"/>
      <c r="F137" s="37"/>
      <c r="G137" s="37"/>
      <c r="H137" s="37"/>
      <c r="I137" s="37"/>
      <c r="J137" s="37"/>
      <c r="K137" s="37"/>
      <c r="L137" s="37"/>
      <c r="M137" s="37"/>
      <c r="N137" s="37"/>
      <c r="O137" s="37"/>
      <c r="P137" s="37"/>
      <c r="Q137" s="37"/>
      <c r="R137" s="37"/>
      <c r="S137" s="37"/>
      <c r="T137" s="37"/>
      <c r="U137" s="37"/>
      <c r="V137" s="37"/>
      <c r="W137" s="37"/>
      <c r="X137" s="37"/>
      <c r="Y137" s="37"/>
      <c r="Z137" s="37"/>
      <c r="AA137" s="37"/>
      <c r="AB137" s="37"/>
      <c r="AC137" s="37"/>
      <c r="AD137" s="37"/>
      <c r="AE137" s="37"/>
      <c r="AF137" s="37"/>
      <c r="AG137" s="37"/>
      <c r="AH137" s="37"/>
      <c r="AI137" s="37"/>
      <c r="AJ137" s="37"/>
      <c r="AK137" s="37"/>
      <c r="AL137" s="37"/>
      <c r="AM137" s="37"/>
      <c r="AN137" s="37"/>
      <c r="AO137" s="37"/>
      <c r="AP137" s="37"/>
      <c r="AQ137" s="37"/>
      <c r="AR137" s="35"/>
      <c r="AS137" s="37"/>
      <c r="AT137" s="37"/>
      <c r="AU137" s="35"/>
      <c r="AV137" s="37"/>
      <c r="AW137" s="35"/>
      <c r="AX137" s="35"/>
      <c r="AY137" s="35"/>
      <c r="AZ137" s="35"/>
      <c r="BA137" s="35"/>
      <c r="BB137" s="35"/>
    </row>
    <row r="138" spans="1:54" s="5" customFormat="1" x14ac:dyDescent="0.25">
      <c r="A138" s="32"/>
      <c r="B138" s="32"/>
      <c r="C138" s="32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F138" s="33"/>
      <c r="AG138" s="33"/>
      <c r="AH138" s="33"/>
      <c r="AI138" s="33"/>
      <c r="AJ138" s="33"/>
      <c r="AK138" s="33"/>
      <c r="AL138" s="33"/>
      <c r="AM138" s="33"/>
      <c r="AN138" s="33"/>
      <c r="AO138" s="33"/>
      <c r="AP138" s="33"/>
      <c r="AQ138" s="33"/>
      <c r="AR138" s="33"/>
      <c r="AS138" s="33"/>
      <c r="AT138" s="33"/>
      <c r="AU138" s="33"/>
      <c r="AV138" s="33"/>
      <c r="AW138" s="33"/>
      <c r="AX138" s="33"/>
      <c r="AY138" s="33"/>
      <c r="AZ138" s="33"/>
      <c r="BA138" s="33"/>
      <c r="BB138" s="33"/>
    </row>
    <row r="139" spans="1:54" x14ac:dyDescent="0.25">
      <c r="A139" s="34"/>
      <c r="B139" s="34"/>
      <c r="C139" s="34"/>
      <c r="D139" s="37"/>
      <c r="E139" s="37"/>
      <c r="F139" s="37"/>
      <c r="G139" s="37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  <c r="AE139" s="35"/>
      <c r="AF139" s="35"/>
      <c r="AG139" s="35"/>
      <c r="AH139" s="35"/>
      <c r="AI139" s="35"/>
      <c r="AJ139" s="35"/>
      <c r="AK139" s="35"/>
      <c r="AL139" s="35"/>
      <c r="AM139" s="35"/>
      <c r="AN139" s="35"/>
      <c r="AO139" s="35"/>
      <c r="AP139" s="35"/>
      <c r="AQ139" s="35"/>
      <c r="AR139" s="35"/>
      <c r="AS139" s="35"/>
      <c r="AT139" s="35"/>
      <c r="AU139" s="35"/>
      <c r="AV139" s="35"/>
      <c r="AW139" s="35"/>
      <c r="AX139" s="35"/>
      <c r="AY139" s="35"/>
      <c r="AZ139" s="35"/>
      <c r="BA139" s="35"/>
      <c r="BB139" s="35"/>
    </row>
    <row r="140" spans="1:54" s="5" customFormat="1" x14ac:dyDescent="0.25">
      <c r="A140" s="32"/>
      <c r="B140" s="32"/>
      <c r="C140" s="32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6"/>
      <c r="R140" s="36"/>
      <c r="S140" s="36"/>
      <c r="T140" s="36"/>
      <c r="U140" s="36"/>
      <c r="V140" s="36"/>
      <c r="W140" s="36"/>
      <c r="X140" s="36"/>
      <c r="Y140" s="36"/>
      <c r="Z140" s="36"/>
      <c r="AA140" s="36"/>
      <c r="AB140" s="36"/>
      <c r="AC140" s="36"/>
      <c r="AD140" s="36"/>
      <c r="AE140" s="36"/>
      <c r="AF140" s="36"/>
      <c r="AG140" s="36"/>
      <c r="AH140" s="36"/>
      <c r="AI140" s="36"/>
      <c r="AJ140" s="36"/>
      <c r="AK140" s="36"/>
      <c r="AL140" s="36"/>
      <c r="AM140" s="36"/>
      <c r="AN140" s="33"/>
      <c r="AO140" s="36"/>
      <c r="AP140" s="33"/>
      <c r="AQ140" s="33"/>
      <c r="AR140" s="33"/>
      <c r="AS140" s="33"/>
      <c r="AT140" s="33"/>
      <c r="AU140" s="33"/>
      <c r="AV140" s="33"/>
      <c r="AW140" s="36"/>
      <c r="AX140" s="36"/>
      <c r="AY140" s="33"/>
      <c r="AZ140" s="33"/>
      <c r="BA140" s="33"/>
      <c r="BB140" s="33"/>
    </row>
    <row r="141" spans="1:54" x14ac:dyDescent="0.25">
      <c r="A141" s="34"/>
      <c r="B141" s="34"/>
      <c r="C141" s="34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  <c r="AE141" s="35"/>
      <c r="AF141" s="35"/>
      <c r="AG141" s="35"/>
      <c r="AH141" s="35"/>
      <c r="AI141" s="35"/>
      <c r="AJ141" s="35"/>
      <c r="AK141" s="35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</row>
    <row r="142" spans="1:54" s="5" customFormat="1" x14ac:dyDescent="0.25">
      <c r="A142" s="32"/>
      <c r="B142" s="32"/>
      <c r="C142" s="32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3"/>
      <c r="AI142" s="33"/>
      <c r="AJ142" s="33"/>
      <c r="AK142" s="3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6"/>
      <c r="AY142" s="36"/>
      <c r="AZ142" s="36"/>
      <c r="BA142" s="36"/>
      <c r="BB142" s="36"/>
    </row>
    <row r="143" spans="1:54" x14ac:dyDescent="0.25">
      <c r="A143" s="34"/>
      <c r="B143" s="34"/>
      <c r="C143" s="34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7"/>
      <c r="AY143" s="37"/>
      <c r="AZ143" s="37"/>
      <c r="BA143" s="37"/>
      <c r="BB143" s="37"/>
    </row>
    <row r="144" spans="1:54" s="5" customFormat="1" x14ac:dyDescent="0.25">
      <c r="A144" s="32"/>
      <c r="B144" s="32"/>
      <c r="C144" s="32"/>
      <c r="D144" s="33"/>
      <c r="E144" s="33"/>
      <c r="F144" s="36"/>
      <c r="G144" s="36"/>
      <c r="H144" s="36"/>
      <c r="I144" s="36"/>
      <c r="J144" s="36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6"/>
      <c r="W144" s="36"/>
      <c r="X144" s="36"/>
      <c r="Y144" s="36"/>
      <c r="Z144" s="36"/>
      <c r="AA144" s="36"/>
      <c r="AB144" s="36"/>
      <c r="AC144" s="36"/>
      <c r="AD144" s="36"/>
      <c r="AE144" s="36"/>
      <c r="AF144" s="36"/>
      <c r="AG144" s="36"/>
      <c r="AH144" s="36"/>
      <c r="AI144" s="36"/>
      <c r="AJ144" s="36"/>
      <c r="AK144" s="36"/>
      <c r="AL144" s="36"/>
      <c r="AM144" s="36"/>
      <c r="AN144" s="36"/>
      <c r="AO144" s="36"/>
      <c r="AP144" s="36"/>
      <c r="AQ144" s="36"/>
      <c r="AR144" s="36"/>
      <c r="AS144" s="36"/>
      <c r="AT144" s="36"/>
      <c r="AU144" s="36"/>
      <c r="AV144" s="36"/>
      <c r="AW144" s="36"/>
      <c r="AX144" s="36"/>
      <c r="AY144" s="36"/>
      <c r="AZ144" s="36"/>
      <c r="BA144" s="36"/>
      <c r="BB144" s="36"/>
    </row>
    <row r="145" spans="1:54" x14ac:dyDescent="0.25">
      <c r="A145" s="34"/>
      <c r="B145" s="34"/>
      <c r="C145" s="34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</row>
    <row r="146" spans="1:54" s="5" customFormat="1" x14ac:dyDescent="0.25">
      <c r="A146" s="32"/>
      <c r="B146" s="32"/>
      <c r="C146" s="32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6"/>
      <c r="AW146" s="33"/>
      <c r="AX146" s="36"/>
      <c r="AY146" s="33"/>
      <c r="AZ146" s="33"/>
      <c r="BA146" s="33"/>
      <c r="BB146" s="33"/>
    </row>
    <row r="147" spans="1:54" x14ac:dyDescent="0.25">
      <c r="A147" s="34"/>
      <c r="B147" s="34"/>
      <c r="C147" s="34"/>
      <c r="D147" s="35"/>
      <c r="E147" s="35"/>
      <c r="F147" s="35"/>
      <c r="G147" s="35"/>
      <c r="H147" s="37"/>
      <c r="I147" s="35"/>
      <c r="J147" s="35"/>
      <c r="K147" s="35"/>
      <c r="L147" s="35"/>
      <c r="M147" s="37"/>
      <c r="N147" s="37"/>
      <c r="O147" s="37"/>
      <c r="P147" s="37"/>
      <c r="Q147" s="37"/>
      <c r="R147" s="37"/>
      <c r="S147" s="37"/>
      <c r="T147" s="37"/>
      <c r="U147" s="37"/>
      <c r="V147" s="37"/>
      <c r="W147" s="37"/>
      <c r="X147" s="37"/>
      <c r="Y147" s="37"/>
      <c r="Z147" s="37"/>
      <c r="AA147" s="37"/>
      <c r="AB147" s="37"/>
      <c r="AC147" s="37"/>
      <c r="AD147" s="37"/>
      <c r="AE147" s="37"/>
      <c r="AF147" s="37"/>
      <c r="AG147" s="37"/>
      <c r="AH147" s="37"/>
      <c r="AI147" s="37"/>
      <c r="AJ147" s="37"/>
      <c r="AK147" s="37"/>
      <c r="AL147" s="37"/>
      <c r="AM147" s="37"/>
      <c r="AN147" s="37"/>
      <c r="AO147" s="37"/>
      <c r="AP147" s="37"/>
      <c r="AQ147" s="37"/>
      <c r="AR147" s="37"/>
      <c r="AS147" s="37"/>
      <c r="AT147" s="37"/>
      <c r="AU147" s="37"/>
      <c r="AV147" s="37"/>
      <c r="AW147" s="37"/>
      <c r="AX147" s="37"/>
      <c r="AY147" s="37"/>
      <c r="AZ147" s="37"/>
      <c r="BA147" s="37"/>
      <c r="BB147" s="37"/>
    </row>
    <row r="148" spans="1:54" s="5" customFormat="1" x14ac:dyDescent="0.25">
      <c r="A148" s="32"/>
      <c r="B148" s="32"/>
      <c r="C148" s="32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</row>
    <row r="149" spans="1:54" x14ac:dyDescent="0.25">
      <c r="A149" s="34"/>
      <c r="B149" s="34"/>
      <c r="C149" s="34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</row>
    <row r="150" spans="1:54" s="5" customFormat="1" x14ac:dyDescent="0.25">
      <c r="A150" s="32"/>
      <c r="B150" s="32"/>
      <c r="C150" s="32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</row>
    <row r="151" spans="1:54" x14ac:dyDescent="0.25">
      <c r="A151" s="34"/>
      <c r="B151" s="34"/>
      <c r="C151" s="34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</row>
    <row r="152" spans="1:54" s="5" customFormat="1" x14ac:dyDescent="0.25">
      <c r="A152" s="34"/>
      <c r="B152" s="34"/>
      <c r="C152" s="34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7"/>
      <c r="AK152" s="37"/>
      <c r="AL152" s="37"/>
      <c r="AM152" s="37"/>
      <c r="AN152" s="37"/>
      <c r="AO152" s="37"/>
      <c r="AP152" s="37"/>
      <c r="AQ152" s="37"/>
      <c r="AR152" s="37"/>
      <c r="AS152" s="37"/>
      <c r="AT152" s="37"/>
      <c r="AU152" s="37"/>
      <c r="AV152" s="37"/>
      <c r="AW152" s="37"/>
      <c r="AX152" s="37"/>
      <c r="AY152" s="37"/>
      <c r="AZ152" s="37"/>
      <c r="BA152" s="37"/>
      <c r="BB152" s="37"/>
    </row>
    <row r="153" spans="1:54" x14ac:dyDescent="0.25">
      <c r="A153" s="34"/>
      <c r="B153" s="32"/>
      <c r="C153" s="32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  <c r="AM153" s="33"/>
      <c r="AN153" s="36"/>
      <c r="AO153" s="33"/>
      <c r="AP153" s="33"/>
      <c r="AQ153" s="33"/>
      <c r="AR153" s="33"/>
      <c r="AS153" s="36"/>
      <c r="AT153" s="36"/>
      <c r="AU153" s="33"/>
      <c r="AV153" s="33"/>
      <c r="AW153" s="36"/>
      <c r="AX153" s="33"/>
      <c r="AY153" s="36"/>
      <c r="AZ153" s="36"/>
      <c r="BA153" s="33"/>
      <c r="BB153" s="36"/>
    </row>
    <row r="154" spans="1:54" s="5" customFormat="1" x14ac:dyDescent="0.25">
      <c r="A154" s="34"/>
      <c r="B154" s="34"/>
      <c r="C154" s="34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  <c r="AM154" s="35"/>
      <c r="AN154" s="35"/>
      <c r="AO154" s="35"/>
      <c r="AP154" s="35"/>
      <c r="AQ154" s="35"/>
      <c r="AR154" s="35"/>
      <c r="AS154" s="35"/>
      <c r="AT154" s="35"/>
      <c r="AU154" s="35"/>
      <c r="AV154" s="35"/>
      <c r="AW154" s="35"/>
      <c r="AX154" s="35"/>
      <c r="AY154" s="35"/>
      <c r="AZ154" s="35"/>
      <c r="BA154" s="35"/>
      <c r="BB154" s="35"/>
    </row>
    <row r="155" spans="1:54" x14ac:dyDescent="0.25">
      <c r="A155" s="34"/>
      <c r="B155" s="32"/>
      <c r="C155" s="32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6"/>
      <c r="W155" s="36"/>
      <c r="X155" s="36"/>
      <c r="Y155" s="36"/>
      <c r="Z155" s="36"/>
      <c r="AA155" s="36"/>
      <c r="AB155" s="36"/>
      <c r="AC155" s="36"/>
      <c r="AD155" s="36"/>
      <c r="AE155" s="36"/>
      <c r="AF155" s="36"/>
      <c r="AG155" s="36"/>
      <c r="AH155" s="36"/>
      <c r="AI155" s="36"/>
      <c r="AJ155" s="36"/>
      <c r="AK155" s="36"/>
      <c r="AL155" s="36"/>
      <c r="AM155" s="36"/>
      <c r="AN155" s="36"/>
      <c r="AO155" s="36"/>
      <c r="AP155" s="36"/>
      <c r="AQ155" s="36"/>
      <c r="AR155" s="36"/>
      <c r="AS155" s="36"/>
      <c r="AT155" s="36"/>
      <c r="AU155" s="36"/>
      <c r="AV155" s="36"/>
      <c r="AW155" s="36"/>
      <c r="AX155" s="36"/>
      <c r="AY155" s="36"/>
      <c r="AZ155" s="36"/>
      <c r="BA155" s="36"/>
      <c r="BB155" s="36"/>
    </row>
    <row r="156" spans="1:54" x14ac:dyDescent="0.25">
      <c r="A156" s="34"/>
      <c r="B156" s="34"/>
      <c r="C156" s="34"/>
      <c r="D156" s="37"/>
      <c r="E156" s="37"/>
      <c r="F156" s="37"/>
      <c r="G156" s="37"/>
      <c r="H156" s="37"/>
      <c r="I156" s="37"/>
      <c r="J156" s="37"/>
      <c r="K156" s="37"/>
      <c r="L156" s="37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  <c r="AD156" s="37"/>
      <c r="AE156" s="37"/>
      <c r="AF156" s="37"/>
      <c r="AG156" s="37"/>
      <c r="AH156" s="37"/>
      <c r="AI156" s="37"/>
      <c r="AJ156" s="37"/>
      <c r="AK156" s="37"/>
      <c r="AL156" s="37"/>
      <c r="AM156" s="37"/>
      <c r="AN156" s="37"/>
      <c r="AO156" s="37"/>
      <c r="AP156" s="37"/>
      <c r="AQ156" s="37"/>
      <c r="AR156" s="37"/>
      <c r="AS156" s="37"/>
      <c r="AT156" s="37"/>
      <c r="AU156" s="37"/>
      <c r="AV156" s="37"/>
      <c r="AW156" s="37"/>
      <c r="AX156" s="37"/>
      <c r="AY156" s="37"/>
      <c r="AZ156" s="37"/>
      <c r="BA156" s="37"/>
      <c r="BB156" s="37"/>
    </row>
    <row r="157" spans="1:54" s="5" customFormat="1" x14ac:dyDescent="0.25">
      <c r="A157" s="32"/>
      <c r="B157" s="32"/>
      <c r="C157" s="32"/>
      <c r="D157" s="33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6"/>
      <c r="V157" s="36"/>
      <c r="W157" s="36"/>
      <c r="X157" s="36"/>
      <c r="Y157" s="36"/>
      <c r="Z157" s="36"/>
      <c r="AA157" s="36"/>
      <c r="AB157" s="36"/>
      <c r="AC157" s="36"/>
      <c r="AD157" s="36"/>
      <c r="AE157" s="36"/>
      <c r="AF157" s="36"/>
      <c r="AG157" s="36"/>
      <c r="AH157" s="36"/>
      <c r="AI157" s="36"/>
      <c r="AJ157" s="36"/>
      <c r="AK157" s="36"/>
      <c r="AL157" s="36"/>
      <c r="AM157" s="36"/>
      <c r="AN157" s="36"/>
      <c r="AO157" s="36"/>
      <c r="AP157" s="36"/>
      <c r="AQ157" s="36"/>
      <c r="AR157" s="36"/>
      <c r="AS157" s="36"/>
      <c r="AT157" s="36"/>
      <c r="AU157" s="36"/>
      <c r="AV157" s="36"/>
      <c r="AW157" s="36"/>
      <c r="AX157" s="36"/>
      <c r="AY157" s="36"/>
      <c r="AZ157" s="36"/>
      <c r="BA157" s="36"/>
      <c r="BB157" s="36"/>
    </row>
    <row r="158" spans="1:54" x14ac:dyDescent="0.25">
      <c r="A158" s="34"/>
      <c r="B158" s="34"/>
      <c r="C158" s="34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35"/>
      <c r="AE158" s="35"/>
      <c r="AF158" s="35"/>
      <c r="AG158" s="35"/>
      <c r="AH158" s="35"/>
      <c r="AI158" s="35"/>
      <c r="AJ158" s="35"/>
      <c r="AK158" s="35"/>
      <c r="AL158" s="35"/>
      <c r="AM158" s="35"/>
      <c r="AN158" s="35"/>
      <c r="AO158" s="35"/>
      <c r="AP158" s="35"/>
      <c r="AQ158" s="35"/>
      <c r="AR158" s="35"/>
      <c r="AS158" s="35"/>
      <c r="AT158" s="35"/>
      <c r="AU158" s="35"/>
      <c r="AV158" s="35"/>
      <c r="AW158" s="35"/>
      <c r="AX158" s="35"/>
      <c r="AY158" s="35"/>
      <c r="AZ158" s="35"/>
      <c r="BA158" s="35"/>
      <c r="BB158" s="35"/>
    </row>
    <row r="159" spans="1:54" s="5" customFormat="1" x14ac:dyDescent="0.25">
      <c r="A159" s="32"/>
      <c r="B159" s="32"/>
      <c r="C159" s="32"/>
      <c r="D159" s="36"/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6"/>
      <c r="W159" s="36"/>
      <c r="X159" s="36"/>
      <c r="Y159" s="36"/>
      <c r="Z159" s="36"/>
      <c r="AA159" s="36"/>
      <c r="AB159" s="36"/>
      <c r="AC159" s="36"/>
      <c r="AD159" s="36"/>
      <c r="AE159" s="36"/>
      <c r="AF159" s="36"/>
      <c r="AG159" s="36"/>
      <c r="AH159" s="36"/>
      <c r="AI159" s="36"/>
      <c r="AJ159" s="36"/>
      <c r="AK159" s="36"/>
      <c r="AL159" s="36"/>
      <c r="AM159" s="36"/>
      <c r="AN159" s="36"/>
      <c r="AO159" s="36"/>
      <c r="AP159" s="36"/>
      <c r="AQ159" s="36"/>
      <c r="AR159" s="36"/>
      <c r="AS159" s="36"/>
      <c r="AT159" s="36"/>
      <c r="AU159" s="36"/>
      <c r="AV159" s="36"/>
      <c r="AW159" s="36"/>
      <c r="AX159" s="36"/>
      <c r="AY159" s="36"/>
      <c r="AZ159" s="36"/>
      <c r="BA159" s="36"/>
      <c r="BB159" s="36"/>
    </row>
    <row r="160" spans="1:54" x14ac:dyDescent="0.25">
      <c r="A160" s="34"/>
      <c r="B160" s="34"/>
      <c r="C160" s="34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  <c r="AM160" s="35"/>
      <c r="AN160" s="35"/>
      <c r="AO160" s="35"/>
      <c r="AP160" s="35"/>
      <c r="AQ160" s="37"/>
      <c r="AR160" s="37"/>
      <c r="AS160" s="37"/>
      <c r="AT160" s="37"/>
      <c r="AU160" s="37"/>
      <c r="AV160" s="37"/>
      <c r="AW160" s="37"/>
      <c r="AX160" s="37"/>
      <c r="AY160" s="37"/>
      <c r="AZ160" s="37"/>
      <c r="BA160" s="37"/>
      <c r="BB160" s="37"/>
    </row>
    <row r="161" spans="1:54" s="5" customFormat="1" x14ac:dyDescent="0.25">
      <c r="A161" s="32"/>
      <c r="B161" s="32"/>
      <c r="C161" s="32"/>
      <c r="D161" s="33"/>
      <c r="E161" s="33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  <c r="AM161" s="33"/>
      <c r="AN161" s="33"/>
      <c r="AO161" s="33"/>
      <c r="AP161" s="33"/>
      <c r="AQ161" s="36"/>
      <c r="AR161" s="36"/>
      <c r="AS161" s="36"/>
      <c r="AT161" s="36"/>
      <c r="AU161" s="36"/>
      <c r="AV161" s="36"/>
      <c r="AW161" s="36"/>
      <c r="AX161" s="36"/>
      <c r="AY161" s="36"/>
      <c r="AZ161" s="36"/>
      <c r="BA161" s="36"/>
      <c r="BB161" s="36"/>
    </row>
    <row r="162" spans="1:54" x14ac:dyDescent="0.25">
      <c r="A162" s="34"/>
      <c r="B162" s="34"/>
      <c r="C162" s="34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  <c r="AM162" s="35"/>
      <c r="AN162" s="35"/>
      <c r="AO162" s="35"/>
      <c r="AP162" s="35"/>
      <c r="AQ162" s="37"/>
      <c r="AR162" s="35"/>
      <c r="AS162" s="37"/>
      <c r="AT162" s="35"/>
      <c r="AU162" s="35"/>
      <c r="AV162" s="35"/>
      <c r="AW162" s="35"/>
      <c r="AX162" s="35"/>
      <c r="AY162" s="35"/>
      <c r="AZ162" s="37"/>
      <c r="BA162" s="37"/>
      <c r="BB162" s="37"/>
    </row>
    <row r="163" spans="1:54" s="5" customFormat="1" x14ac:dyDescent="0.25">
      <c r="A163" s="32"/>
      <c r="B163" s="32"/>
      <c r="C163" s="32"/>
      <c r="D163" s="33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  <c r="AM163" s="33"/>
      <c r="AN163" s="33"/>
      <c r="AO163" s="33"/>
      <c r="AP163" s="33"/>
      <c r="AQ163" s="36"/>
      <c r="AR163" s="36"/>
      <c r="AS163" s="36"/>
      <c r="AT163" s="36"/>
      <c r="AU163" s="36"/>
      <c r="AV163" s="36"/>
      <c r="AW163" s="36"/>
      <c r="AX163" s="36"/>
      <c r="AY163" s="36"/>
      <c r="AZ163" s="36"/>
      <c r="BA163" s="36"/>
      <c r="BB163" s="36"/>
    </row>
    <row r="164" spans="1:54" x14ac:dyDescent="0.25">
      <c r="A164" s="34"/>
      <c r="B164" s="34"/>
      <c r="C164" s="34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  <c r="AM164" s="35"/>
      <c r="AN164" s="35"/>
      <c r="AO164" s="35"/>
      <c r="AP164" s="35"/>
      <c r="AQ164" s="37"/>
      <c r="AR164" s="37"/>
      <c r="AS164" s="37"/>
      <c r="AT164" s="35"/>
      <c r="AU164" s="35"/>
      <c r="AV164" s="37"/>
      <c r="AW164" s="37"/>
      <c r="AX164" s="37"/>
      <c r="AY164" s="35"/>
      <c r="AZ164" s="35"/>
      <c r="BA164" s="35"/>
      <c r="BB164" s="37"/>
    </row>
    <row r="165" spans="1:54" s="5" customFormat="1" x14ac:dyDescent="0.25">
      <c r="A165" s="32"/>
      <c r="B165" s="32"/>
      <c r="C165" s="32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  <c r="AM165" s="33"/>
      <c r="AN165" s="33"/>
      <c r="AO165" s="33"/>
      <c r="AP165" s="33"/>
      <c r="AQ165" s="36"/>
      <c r="AR165" s="36"/>
      <c r="AS165" s="36"/>
      <c r="AT165" s="36"/>
      <c r="AU165" s="36"/>
      <c r="AV165" s="36"/>
      <c r="AW165" s="36"/>
      <c r="AX165" s="36"/>
      <c r="AY165" s="36"/>
      <c r="AZ165" s="36"/>
      <c r="BA165" s="36"/>
      <c r="BB165" s="36"/>
    </row>
    <row r="166" spans="1:54" x14ac:dyDescent="0.25">
      <c r="A166" s="34"/>
      <c r="B166" s="34"/>
      <c r="C166" s="34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  <c r="AM166" s="35"/>
      <c r="AN166" s="35"/>
      <c r="AO166" s="35"/>
      <c r="AP166" s="35"/>
      <c r="AQ166" s="35"/>
      <c r="AR166" s="35"/>
      <c r="AS166" s="35"/>
      <c r="AT166" s="35"/>
      <c r="AU166" s="35"/>
      <c r="AV166" s="35"/>
      <c r="AW166" s="35"/>
      <c r="AX166" s="35"/>
      <c r="AY166" s="35"/>
      <c r="AZ166" s="35"/>
      <c r="BA166" s="35"/>
      <c r="BB166" s="35"/>
    </row>
    <row r="167" spans="1:54" s="5" customFormat="1" x14ac:dyDescent="0.25">
      <c r="A167" s="32"/>
      <c r="B167" s="32"/>
      <c r="C167" s="32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  <c r="AM167" s="33"/>
      <c r="AN167" s="33"/>
      <c r="AO167" s="33"/>
      <c r="AP167" s="33"/>
      <c r="AQ167" s="36"/>
      <c r="AR167" s="36"/>
      <c r="AS167" s="36"/>
      <c r="AT167" s="36"/>
      <c r="AU167" s="36"/>
      <c r="AV167" s="36"/>
      <c r="AW167" s="36"/>
      <c r="AX167" s="36"/>
      <c r="AY167" s="36"/>
      <c r="AZ167" s="36"/>
      <c r="BA167" s="36"/>
      <c r="BB167" s="36"/>
    </row>
    <row r="168" spans="1:54" x14ac:dyDescent="0.25">
      <c r="A168" s="34"/>
      <c r="B168" s="34"/>
      <c r="C168" s="34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  <c r="AM168" s="35"/>
      <c r="AN168" s="35"/>
      <c r="AO168" s="35"/>
      <c r="AP168" s="35"/>
      <c r="AQ168" s="37"/>
      <c r="AR168" s="37"/>
      <c r="AS168" s="37"/>
      <c r="AT168" s="37"/>
      <c r="AU168" s="37"/>
      <c r="AV168" s="37"/>
      <c r="AW168" s="37"/>
      <c r="AX168" s="37"/>
      <c r="AY168" s="37"/>
      <c r="AZ168" s="37"/>
      <c r="BA168" s="37"/>
      <c r="BB168" s="37"/>
    </row>
    <row r="169" spans="1:54" s="5" customFormat="1" x14ac:dyDescent="0.25">
      <c r="A169" s="32"/>
      <c r="B169" s="32"/>
      <c r="C169" s="32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  <c r="AM169" s="33"/>
      <c r="AN169" s="33"/>
      <c r="AO169" s="33"/>
      <c r="AP169" s="33"/>
      <c r="AQ169" s="36"/>
      <c r="AR169" s="36"/>
      <c r="AS169" s="36"/>
      <c r="AT169" s="36"/>
      <c r="AU169" s="36"/>
      <c r="AV169" s="36"/>
      <c r="AW169" s="36"/>
      <c r="AX169" s="36"/>
      <c r="AY169" s="36"/>
      <c r="AZ169" s="36"/>
      <c r="BA169" s="36"/>
      <c r="BB169" s="36"/>
    </row>
    <row r="170" spans="1:54" x14ac:dyDescent="0.25">
      <c r="A170" s="34"/>
      <c r="B170" s="34"/>
      <c r="C170" s="34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  <c r="AM170" s="35"/>
      <c r="AN170" s="35"/>
      <c r="AO170" s="35"/>
      <c r="AP170" s="35"/>
      <c r="AQ170" s="35"/>
      <c r="AR170" s="35"/>
      <c r="AS170" s="35"/>
      <c r="AT170" s="35"/>
      <c r="AU170" s="35"/>
      <c r="AV170" s="35"/>
      <c r="AW170" s="35"/>
      <c r="AX170" s="35"/>
      <c r="AY170" s="35"/>
      <c r="AZ170" s="35"/>
      <c r="BA170" s="35"/>
      <c r="BB170" s="35"/>
    </row>
    <row r="171" spans="1:54" s="5" customFormat="1" x14ac:dyDescent="0.25">
      <c r="A171" s="32"/>
      <c r="B171" s="32"/>
      <c r="C171" s="32"/>
      <c r="D171" s="33"/>
      <c r="E171" s="33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  <c r="AM171" s="33"/>
      <c r="AN171" s="33"/>
      <c r="AO171" s="33"/>
      <c r="AP171" s="33"/>
      <c r="AQ171" s="36"/>
      <c r="AR171" s="36"/>
      <c r="AS171" s="36"/>
      <c r="AT171" s="36"/>
      <c r="AU171" s="36"/>
      <c r="AV171" s="36"/>
      <c r="AW171" s="36"/>
      <c r="AX171" s="36"/>
      <c r="AY171" s="36"/>
      <c r="AZ171" s="36"/>
      <c r="BA171" s="36"/>
      <c r="BB171" s="36"/>
    </row>
    <row r="172" spans="1:54" x14ac:dyDescent="0.25">
      <c r="A172" s="34"/>
      <c r="B172" s="34"/>
      <c r="C172" s="34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  <c r="AM172" s="35"/>
      <c r="AN172" s="35"/>
      <c r="AO172" s="35"/>
      <c r="AP172" s="35"/>
      <c r="AQ172" s="35"/>
      <c r="AR172" s="35"/>
      <c r="AS172" s="35"/>
      <c r="AT172" s="35"/>
      <c r="AU172" s="35"/>
      <c r="AV172" s="35"/>
      <c r="AW172" s="35"/>
      <c r="AX172" s="35"/>
      <c r="AY172" s="35"/>
      <c r="AZ172" s="35"/>
      <c r="BA172" s="35"/>
      <c r="BB172" s="35"/>
    </row>
    <row r="173" spans="1:54" s="5" customFormat="1" x14ac:dyDescent="0.25">
      <c r="A173" s="32"/>
      <c r="B173" s="32"/>
      <c r="C173" s="32"/>
      <c r="D173" s="33"/>
      <c r="E173" s="33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  <c r="AM173" s="33"/>
      <c r="AN173" s="33"/>
      <c r="AO173" s="33"/>
      <c r="AP173" s="33"/>
      <c r="AQ173" s="33"/>
      <c r="AR173" s="33"/>
      <c r="AS173" s="33"/>
      <c r="AT173" s="33"/>
      <c r="AU173" s="36"/>
      <c r="AV173" s="33"/>
      <c r="AW173" s="33"/>
      <c r="AX173" s="33"/>
      <c r="AY173" s="36"/>
      <c r="AZ173" s="33"/>
      <c r="BA173" s="33"/>
      <c r="BB173" s="33"/>
    </row>
    <row r="174" spans="1:54" x14ac:dyDescent="0.25">
      <c r="A174" s="34"/>
      <c r="B174" s="34"/>
      <c r="C174" s="34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35"/>
      <c r="AE174" s="35"/>
      <c r="AF174" s="35"/>
      <c r="AG174" s="35"/>
      <c r="AH174" s="35"/>
      <c r="AI174" s="35"/>
      <c r="AJ174" s="35"/>
      <c r="AK174" s="35"/>
      <c r="AL174" s="35"/>
      <c r="AM174" s="35"/>
      <c r="AN174" s="35"/>
      <c r="AO174" s="35"/>
      <c r="AP174" s="35"/>
      <c r="AQ174" s="35"/>
      <c r="AR174" s="35"/>
      <c r="AS174" s="35"/>
      <c r="AT174" s="35"/>
      <c r="AU174" s="35"/>
      <c r="AV174" s="35"/>
      <c r="AW174" s="35"/>
      <c r="AX174" s="35"/>
      <c r="AY174" s="35"/>
      <c r="AZ174" s="35"/>
      <c r="BA174" s="35"/>
      <c r="BB174" s="35"/>
    </row>
    <row r="175" spans="1:54" s="5" customFormat="1" x14ac:dyDescent="0.25">
      <c r="A175" s="32"/>
      <c r="B175" s="32"/>
      <c r="C175" s="32"/>
      <c r="D175" s="33"/>
      <c r="E175" s="33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F175" s="33"/>
      <c r="AG175" s="33"/>
      <c r="AH175" s="33"/>
      <c r="AI175" s="33"/>
      <c r="AJ175" s="33"/>
      <c r="AK175" s="33"/>
      <c r="AL175" s="33"/>
      <c r="AM175" s="33"/>
      <c r="AN175" s="33"/>
      <c r="AO175" s="33"/>
      <c r="AP175" s="33"/>
      <c r="AQ175" s="33"/>
      <c r="AR175" s="33"/>
      <c r="AS175" s="33"/>
      <c r="AT175" s="33"/>
      <c r="AU175" s="36"/>
      <c r="AV175" s="33"/>
      <c r="AW175" s="33"/>
      <c r="AX175" s="36"/>
      <c r="AY175" s="36"/>
      <c r="AZ175" s="33"/>
      <c r="BA175" s="33"/>
      <c r="BB175" s="36"/>
    </row>
    <row r="176" spans="1:54" x14ac:dyDescent="0.25">
      <c r="A176" s="34"/>
      <c r="B176" s="34"/>
      <c r="C176" s="34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  <c r="AB176" s="35"/>
      <c r="AC176" s="35"/>
      <c r="AD176" s="35"/>
      <c r="AE176" s="35"/>
      <c r="AF176" s="35"/>
      <c r="AG176" s="35"/>
      <c r="AH176" s="35"/>
      <c r="AI176" s="35"/>
      <c r="AJ176" s="35"/>
      <c r="AK176" s="35"/>
      <c r="AL176" s="35"/>
      <c r="AM176" s="35"/>
      <c r="AN176" s="35"/>
      <c r="AO176" s="35"/>
      <c r="AP176" s="35"/>
      <c r="AQ176" s="35"/>
      <c r="AR176" s="35"/>
      <c r="AS176" s="35"/>
      <c r="AT176" s="35"/>
      <c r="AU176" s="35"/>
      <c r="AV176" s="35"/>
      <c r="AW176" s="35"/>
      <c r="AX176" s="37"/>
      <c r="AY176" s="37"/>
      <c r="AZ176" s="37"/>
      <c r="BA176" s="37"/>
      <c r="BB176" s="37"/>
    </row>
    <row r="177" spans="1:54" s="5" customFormat="1" x14ac:dyDescent="0.25">
      <c r="A177" s="34"/>
      <c r="B177" s="32"/>
      <c r="C177" s="32"/>
      <c r="D177" s="33"/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F177" s="33"/>
      <c r="AG177" s="33"/>
      <c r="AH177" s="33"/>
      <c r="AI177" s="33"/>
      <c r="AJ177" s="33"/>
      <c r="AK177" s="33"/>
      <c r="AL177" s="33"/>
      <c r="AM177" s="33"/>
      <c r="AN177" s="33"/>
      <c r="AO177" s="33"/>
      <c r="AP177" s="33"/>
      <c r="AQ177" s="33"/>
      <c r="AR177" s="33"/>
      <c r="AS177" s="33"/>
      <c r="AT177" s="33"/>
      <c r="AU177" s="33"/>
      <c r="AV177" s="33"/>
      <c r="AW177" s="33"/>
      <c r="AX177" s="36"/>
      <c r="AY177" s="36"/>
      <c r="AZ177" s="36"/>
      <c r="BA177" s="36"/>
      <c r="BB177" s="36"/>
    </row>
    <row r="178" spans="1:54" x14ac:dyDescent="0.25">
      <c r="A178" s="34"/>
      <c r="B178" s="34"/>
      <c r="C178" s="34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35"/>
      <c r="AE178" s="35"/>
      <c r="AF178" s="35"/>
      <c r="AG178" s="35"/>
      <c r="AH178" s="35"/>
      <c r="AI178" s="35"/>
      <c r="AJ178" s="35"/>
      <c r="AK178" s="35"/>
      <c r="AL178" s="35"/>
      <c r="AM178" s="35"/>
      <c r="AN178" s="35"/>
      <c r="AO178" s="35"/>
      <c r="AP178" s="35"/>
      <c r="AQ178" s="35"/>
      <c r="AR178" s="35"/>
      <c r="AS178" s="35"/>
      <c r="AT178" s="35"/>
      <c r="AU178" s="35"/>
      <c r="AV178" s="35"/>
      <c r="AW178" s="35"/>
      <c r="AX178" s="37"/>
      <c r="AY178" s="37"/>
      <c r="AZ178" s="37"/>
      <c r="BA178" s="37"/>
      <c r="BB178" s="37"/>
    </row>
    <row r="179" spans="1:54" s="5" customFormat="1" x14ac:dyDescent="0.25">
      <c r="A179" s="34"/>
      <c r="B179" s="32"/>
      <c r="C179" s="32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F179" s="33"/>
      <c r="AG179" s="33"/>
      <c r="AH179" s="33"/>
      <c r="AI179" s="33"/>
      <c r="AJ179" s="33"/>
      <c r="AK179" s="33"/>
      <c r="AL179" s="33"/>
      <c r="AM179" s="33"/>
      <c r="AN179" s="33"/>
      <c r="AO179" s="33"/>
      <c r="AP179" s="33"/>
      <c r="AQ179" s="33"/>
      <c r="AR179" s="33"/>
      <c r="AS179" s="33"/>
      <c r="AT179" s="33"/>
      <c r="AU179" s="33"/>
      <c r="AV179" s="33"/>
      <c r="AW179" s="33"/>
      <c r="AX179" s="36"/>
      <c r="AY179" s="36"/>
      <c r="AZ179" s="36"/>
      <c r="BA179" s="36"/>
      <c r="BB179" s="36"/>
    </row>
    <row r="180" spans="1:54" s="5" customFormat="1" x14ac:dyDescent="0.25">
      <c r="A180" s="32"/>
      <c r="B180" s="32"/>
      <c r="C180" s="32"/>
      <c r="D180" s="33"/>
      <c r="E180" s="33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  <c r="AA180" s="33"/>
      <c r="AB180" s="33"/>
      <c r="AC180" s="33"/>
      <c r="AD180" s="33"/>
      <c r="AE180" s="33"/>
      <c r="AF180" s="33"/>
      <c r="AG180" s="33"/>
      <c r="AH180" s="33"/>
      <c r="AI180" s="33"/>
      <c r="AJ180" s="33"/>
      <c r="AK180" s="33"/>
      <c r="AL180" s="33"/>
      <c r="AM180" s="33"/>
      <c r="AN180" s="33"/>
      <c r="AO180" s="33"/>
      <c r="AP180" s="33"/>
      <c r="AQ180" s="36"/>
      <c r="AR180" s="36"/>
      <c r="AS180" s="36"/>
      <c r="AT180" s="36"/>
      <c r="AU180" s="36"/>
      <c r="AV180" s="36"/>
      <c r="AW180" s="36"/>
      <c r="AX180" s="36"/>
      <c r="AY180" s="36"/>
      <c r="AZ180" s="36"/>
      <c r="BA180" s="36"/>
      <c r="BB180" s="36"/>
    </row>
    <row r="181" spans="1:54" x14ac:dyDescent="0.25">
      <c r="A181" s="34"/>
      <c r="B181" s="34"/>
      <c r="C181" s="34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  <c r="AB181" s="35"/>
      <c r="AC181" s="35"/>
      <c r="AD181" s="35"/>
      <c r="AE181" s="35"/>
      <c r="AF181" s="35"/>
      <c r="AG181" s="35"/>
      <c r="AH181" s="35"/>
      <c r="AI181" s="35"/>
      <c r="AJ181" s="35"/>
      <c r="AK181" s="35"/>
      <c r="AL181" s="35"/>
      <c r="AM181" s="35"/>
      <c r="AN181" s="35"/>
      <c r="AO181" s="35"/>
      <c r="AP181" s="35"/>
      <c r="AQ181" s="37"/>
      <c r="AR181" s="37"/>
      <c r="AS181" s="37"/>
      <c r="AT181" s="37"/>
      <c r="AU181" s="37"/>
      <c r="AV181" s="37"/>
      <c r="AW181" s="37"/>
      <c r="AX181" s="37"/>
      <c r="AY181" s="37"/>
      <c r="AZ181" s="37"/>
      <c r="BA181" s="37"/>
      <c r="BB181" s="37"/>
    </row>
    <row r="182" spans="1:54" s="5" customFormat="1" x14ac:dyDescent="0.25">
      <c r="A182" s="32"/>
      <c r="B182" s="32"/>
      <c r="C182" s="32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F182" s="33"/>
      <c r="AG182" s="33"/>
      <c r="AH182" s="33"/>
      <c r="AI182" s="33"/>
      <c r="AJ182" s="33"/>
      <c r="AK182" s="33"/>
      <c r="AL182" s="33"/>
      <c r="AM182" s="33"/>
      <c r="AN182" s="33"/>
      <c r="AO182" s="33"/>
      <c r="AP182" s="33"/>
      <c r="AQ182" s="36"/>
      <c r="AR182" s="36"/>
      <c r="AS182" s="36"/>
      <c r="AT182" s="36"/>
      <c r="AU182" s="36"/>
      <c r="AV182" s="36"/>
      <c r="AW182" s="36"/>
      <c r="AX182" s="36"/>
      <c r="AY182" s="36"/>
      <c r="AZ182" s="36"/>
      <c r="BA182" s="36"/>
      <c r="BB182" s="36"/>
    </row>
    <row r="183" spans="1:54" x14ac:dyDescent="0.25">
      <c r="A183" s="34"/>
      <c r="B183" s="34"/>
      <c r="C183" s="34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35"/>
      <c r="AE183" s="35"/>
      <c r="AF183" s="35"/>
      <c r="AG183" s="35"/>
      <c r="AH183" s="35"/>
      <c r="AI183" s="35"/>
      <c r="AJ183" s="35"/>
      <c r="AK183" s="35"/>
      <c r="AL183" s="35"/>
      <c r="AM183" s="35"/>
      <c r="AN183" s="35"/>
      <c r="AO183" s="35"/>
      <c r="AP183" s="35"/>
      <c r="AQ183" s="37"/>
      <c r="AR183" s="37"/>
      <c r="AS183" s="37"/>
      <c r="AT183" s="37"/>
      <c r="AU183" s="37"/>
      <c r="AV183" s="37"/>
      <c r="AW183" s="37"/>
      <c r="AX183" s="37"/>
      <c r="AY183" s="37"/>
      <c r="AZ183" s="37"/>
      <c r="BA183" s="37"/>
      <c r="BB183" s="37"/>
    </row>
    <row r="184" spans="1:54" s="5" customFormat="1" x14ac:dyDescent="0.25">
      <c r="A184" s="32"/>
      <c r="B184" s="32"/>
      <c r="C184" s="32"/>
      <c r="D184" s="36"/>
      <c r="E184" s="36"/>
      <c r="F184" s="36"/>
      <c r="G184" s="36"/>
      <c r="H184" s="36"/>
      <c r="I184" s="36"/>
      <c r="J184" s="36"/>
      <c r="K184" s="36"/>
      <c r="L184" s="36"/>
      <c r="M184" s="36"/>
      <c r="N184" s="36"/>
      <c r="O184" s="36"/>
      <c r="P184" s="36"/>
      <c r="Q184" s="36"/>
      <c r="R184" s="36"/>
      <c r="S184" s="36"/>
      <c r="T184" s="36"/>
      <c r="U184" s="36"/>
      <c r="V184" s="36"/>
      <c r="W184" s="36"/>
      <c r="X184" s="36"/>
      <c r="Y184" s="36"/>
      <c r="Z184" s="36"/>
      <c r="AA184" s="36"/>
      <c r="AB184" s="36"/>
      <c r="AC184" s="36"/>
      <c r="AD184" s="36"/>
      <c r="AE184" s="36"/>
      <c r="AF184" s="36"/>
      <c r="AG184" s="36"/>
      <c r="AH184" s="36"/>
      <c r="AI184" s="36"/>
      <c r="AJ184" s="36"/>
      <c r="AK184" s="36"/>
      <c r="AL184" s="36"/>
      <c r="AM184" s="36"/>
      <c r="AN184" s="36"/>
      <c r="AO184" s="36"/>
      <c r="AP184" s="36"/>
      <c r="AQ184" s="36"/>
      <c r="AR184" s="36"/>
      <c r="AS184" s="36"/>
      <c r="AT184" s="36"/>
      <c r="AU184" s="36"/>
      <c r="AV184" s="36"/>
      <c r="AW184" s="36"/>
      <c r="AX184" s="36"/>
      <c r="AY184" s="36"/>
      <c r="AZ184" s="36"/>
      <c r="BA184" s="36"/>
      <c r="BB184" s="36"/>
    </row>
    <row r="185" spans="1:54" x14ac:dyDescent="0.25">
      <c r="A185" s="34"/>
      <c r="B185" s="34"/>
      <c r="C185" s="34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35"/>
      <c r="AE185" s="35"/>
      <c r="AF185" s="35"/>
      <c r="AG185" s="35"/>
      <c r="AH185" s="35"/>
      <c r="AI185" s="35"/>
      <c r="AJ185" s="35"/>
      <c r="AK185" s="35"/>
      <c r="AL185" s="35"/>
      <c r="AM185" s="35"/>
      <c r="AN185" s="35"/>
      <c r="AO185" s="35"/>
      <c r="AP185" s="35"/>
      <c r="AQ185" s="35"/>
      <c r="AR185" s="35"/>
      <c r="AS185" s="35"/>
      <c r="AT185" s="35"/>
      <c r="AU185" s="35"/>
      <c r="AV185" s="35"/>
      <c r="AW185" s="35"/>
      <c r="AX185" s="35"/>
      <c r="AY185" s="35"/>
      <c r="AZ185" s="35"/>
      <c r="BA185" s="35"/>
      <c r="BB185" s="35"/>
    </row>
    <row r="186" spans="1:54" s="5" customFormat="1" x14ac:dyDescent="0.25">
      <c r="A186" s="32"/>
      <c r="B186" s="32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F186" s="33"/>
      <c r="AG186" s="33"/>
      <c r="AH186" s="33"/>
      <c r="AI186" s="33"/>
      <c r="AJ186" s="33"/>
      <c r="AK186" s="33"/>
      <c r="AL186" s="33"/>
      <c r="AM186" s="33"/>
      <c r="AN186" s="33"/>
      <c r="AO186" s="33"/>
      <c r="AP186" s="33"/>
      <c r="AQ186" s="33"/>
      <c r="AR186" s="33"/>
      <c r="AS186" s="33"/>
      <c r="AT186" s="33"/>
      <c r="AU186" s="36"/>
      <c r="AV186" s="33"/>
      <c r="AW186" s="33"/>
      <c r="AX186" s="36"/>
      <c r="AY186" s="36"/>
      <c r="AZ186" s="36"/>
      <c r="BA186" s="36"/>
      <c r="BB186" s="36"/>
    </row>
    <row r="187" spans="1:54" x14ac:dyDescent="0.25">
      <c r="A187" s="34"/>
      <c r="B187" s="34"/>
      <c r="C187" s="34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37"/>
      <c r="AA187" s="37"/>
      <c r="AB187" s="37"/>
      <c r="AC187" s="37"/>
      <c r="AD187" s="37"/>
      <c r="AE187" s="37"/>
      <c r="AF187" s="37"/>
      <c r="AG187" s="37"/>
      <c r="AH187" s="37"/>
      <c r="AI187" s="37"/>
      <c r="AJ187" s="37"/>
      <c r="AK187" s="37"/>
      <c r="AL187" s="37"/>
      <c r="AM187" s="37"/>
      <c r="AN187" s="37"/>
      <c r="AO187" s="37"/>
      <c r="AP187" s="37"/>
      <c r="AQ187" s="37"/>
      <c r="AR187" s="37"/>
      <c r="AS187" s="37"/>
      <c r="AT187" s="37"/>
      <c r="AU187" s="37"/>
      <c r="AV187" s="37"/>
      <c r="AW187" s="37"/>
      <c r="AX187" s="37"/>
      <c r="AY187" s="37"/>
      <c r="AZ187" s="37"/>
      <c r="BA187" s="37"/>
      <c r="BB187" s="37"/>
    </row>
    <row r="188" spans="1:54" s="5" customFormat="1" x14ac:dyDescent="0.25">
      <c r="A188" s="32"/>
      <c r="B188" s="32"/>
      <c r="C188" s="32"/>
      <c r="D188" s="36"/>
      <c r="E188" s="36"/>
      <c r="F188" s="36"/>
      <c r="G188" s="36"/>
      <c r="H188" s="36"/>
      <c r="I188" s="36"/>
      <c r="J188" s="36"/>
      <c r="K188" s="36"/>
      <c r="L188" s="36"/>
      <c r="M188" s="36"/>
      <c r="N188" s="36"/>
      <c r="O188" s="36"/>
      <c r="P188" s="36"/>
      <c r="Q188" s="36"/>
      <c r="R188" s="36"/>
      <c r="S188" s="36"/>
      <c r="T188" s="36"/>
      <c r="U188" s="36"/>
      <c r="V188" s="36"/>
      <c r="W188" s="36"/>
      <c r="X188" s="36"/>
      <c r="Y188" s="36"/>
      <c r="Z188" s="36"/>
      <c r="AA188" s="36"/>
      <c r="AB188" s="36"/>
      <c r="AC188" s="36"/>
      <c r="AD188" s="36"/>
      <c r="AE188" s="36"/>
      <c r="AF188" s="36"/>
      <c r="AG188" s="36"/>
      <c r="AH188" s="36"/>
      <c r="AI188" s="36"/>
      <c r="AJ188" s="36"/>
      <c r="AK188" s="36"/>
      <c r="AL188" s="36"/>
      <c r="AM188" s="36"/>
      <c r="AN188" s="36"/>
      <c r="AO188" s="36"/>
      <c r="AP188" s="36"/>
      <c r="AQ188" s="36"/>
      <c r="AR188" s="36"/>
      <c r="AS188" s="36"/>
      <c r="AT188" s="36"/>
      <c r="AU188" s="36"/>
      <c r="AV188" s="36"/>
      <c r="AW188" s="36"/>
      <c r="AX188" s="36"/>
      <c r="AY188" s="36"/>
      <c r="AZ188" s="36"/>
      <c r="BA188" s="36"/>
      <c r="BB188" s="36"/>
    </row>
    <row r="189" spans="1:54" x14ac:dyDescent="0.25">
      <c r="A189" s="34"/>
      <c r="B189" s="34"/>
      <c r="C189" s="34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35"/>
      <c r="AE189" s="35"/>
      <c r="AF189" s="35"/>
      <c r="AG189" s="35"/>
      <c r="AH189" s="35"/>
      <c r="AI189" s="35"/>
      <c r="AJ189" s="35"/>
      <c r="AK189" s="35"/>
      <c r="AL189" s="35"/>
      <c r="AM189" s="35"/>
      <c r="AN189" s="35"/>
      <c r="AO189" s="35"/>
      <c r="AP189" s="35"/>
      <c r="AQ189" s="37"/>
      <c r="AR189" s="37"/>
      <c r="AS189" s="37"/>
      <c r="AT189" s="37"/>
      <c r="AU189" s="35"/>
      <c r="AV189" s="37"/>
      <c r="AW189" s="35"/>
      <c r="AX189" s="35"/>
      <c r="AY189" s="35"/>
      <c r="AZ189" s="35"/>
      <c r="BA189" s="35"/>
      <c r="BB189" s="35"/>
    </row>
  </sheetData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88"/>
  <sheetViews>
    <sheetView workbookViewId="0">
      <pane xSplit="6" ySplit="15" topLeftCell="AV16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">
        <v>2012</v>
      </c>
      <c r="BD1" s="1">
        <v>2013</v>
      </c>
    </row>
    <row r="2" spans="1:56" x14ac:dyDescent="0.25">
      <c r="A2" s="12" t="s">
        <v>31</v>
      </c>
      <c r="B2" s="2" t="s">
        <v>5</v>
      </c>
      <c r="C2" s="2" t="s">
        <v>6</v>
      </c>
      <c r="D2" s="44">
        <v>544</v>
      </c>
      <c r="E2" s="44">
        <v>598</v>
      </c>
      <c r="F2" s="44">
        <v>665</v>
      </c>
      <c r="G2" s="44">
        <v>858</v>
      </c>
      <c r="H2" s="44">
        <v>935</v>
      </c>
      <c r="I2" s="44">
        <v>1021</v>
      </c>
      <c r="J2" s="44">
        <v>1122</v>
      </c>
      <c r="K2" s="44">
        <v>1315</v>
      </c>
      <c r="L2" s="44">
        <v>1507</v>
      </c>
      <c r="M2" s="44">
        <v>1700</v>
      </c>
      <c r="N2" s="44">
        <v>1938</v>
      </c>
      <c r="O2" s="44">
        <v>2300</v>
      </c>
      <c r="P2" s="44">
        <v>1315</v>
      </c>
      <c r="Q2" s="44">
        <v>2350</v>
      </c>
      <c r="R2" s="44">
        <v>2500</v>
      </c>
      <c r="S2" s="44">
        <v>2863</v>
      </c>
      <c r="T2" s="44">
        <v>2675</v>
      </c>
      <c r="U2" s="44">
        <v>1677</v>
      </c>
      <c r="V2" s="44">
        <v>2791</v>
      </c>
      <c r="W2" s="44">
        <v>3300</v>
      </c>
      <c r="X2" s="44">
        <v>3200</v>
      </c>
      <c r="Y2" s="44">
        <v>4350</v>
      </c>
      <c r="Z2" s="44">
        <v>3450</v>
      </c>
      <c r="AA2" s="44">
        <v>3950</v>
      </c>
      <c r="AB2" s="44">
        <v>4350</v>
      </c>
      <c r="AC2" s="44">
        <v>5350</v>
      </c>
      <c r="AD2" s="44">
        <v>4309</v>
      </c>
      <c r="AE2" s="44">
        <v>2736</v>
      </c>
      <c r="AF2" s="44">
        <v>4200</v>
      </c>
      <c r="AG2" s="44">
        <v>4100</v>
      </c>
      <c r="AH2" s="44">
        <v>3800</v>
      </c>
      <c r="AI2" s="44">
        <v>3600</v>
      </c>
      <c r="AJ2" s="44">
        <v>3400</v>
      </c>
      <c r="AK2" s="44">
        <v>2900</v>
      </c>
      <c r="AL2" s="44">
        <v>3800</v>
      </c>
      <c r="AM2" s="44">
        <v>3700</v>
      </c>
      <c r="AN2" s="44">
        <v>3900</v>
      </c>
      <c r="AO2" s="44">
        <v>3700</v>
      </c>
      <c r="AP2" s="44">
        <v>4300</v>
      </c>
      <c r="AQ2" s="44">
        <v>3900</v>
      </c>
      <c r="AR2" s="44">
        <v>4700</v>
      </c>
      <c r="AS2" s="44">
        <v>4500</v>
      </c>
      <c r="AT2" s="44">
        <v>4250</v>
      </c>
      <c r="AU2" s="44">
        <v>4100</v>
      </c>
      <c r="AV2" s="44">
        <v>4210</v>
      </c>
      <c r="AW2" s="44">
        <v>4000</v>
      </c>
      <c r="AX2" s="44">
        <v>3800</v>
      </c>
      <c r="AY2" s="44">
        <v>3850</v>
      </c>
      <c r="AZ2" s="44">
        <v>4500</v>
      </c>
      <c r="BA2" s="44">
        <v>4100</v>
      </c>
      <c r="BB2" s="44">
        <f>4972952/1000</f>
        <v>4972.9520000000002</v>
      </c>
      <c r="BC2" s="42">
        <f>4947530/1000</f>
        <v>4947.53</v>
      </c>
      <c r="BD2" s="42">
        <f>5062828/1000</f>
        <v>5062.8280000000004</v>
      </c>
    </row>
    <row r="3" spans="1:56" s="5" customFormat="1" x14ac:dyDescent="0.25">
      <c r="A3" s="14"/>
      <c r="B3" s="6"/>
      <c r="C3" s="6" t="s">
        <v>7</v>
      </c>
      <c r="D3" s="47">
        <v>0</v>
      </c>
      <c r="E3" s="47">
        <v>0</v>
      </c>
      <c r="F3" s="47">
        <v>0</v>
      </c>
      <c r="G3" s="47">
        <v>0</v>
      </c>
      <c r="H3" s="47">
        <v>0</v>
      </c>
      <c r="I3" s="47">
        <v>0</v>
      </c>
      <c r="J3" s="47">
        <v>0</v>
      </c>
      <c r="K3" s="47">
        <v>0</v>
      </c>
      <c r="L3" s="47">
        <v>0</v>
      </c>
      <c r="M3" s="47">
        <v>0</v>
      </c>
      <c r="N3" s="47">
        <v>0</v>
      </c>
      <c r="O3" s="47">
        <v>0</v>
      </c>
      <c r="P3" s="47">
        <v>0</v>
      </c>
      <c r="Q3" s="47">
        <v>0</v>
      </c>
      <c r="R3" s="47">
        <v>0</v>
      </c>
      <c r="S3" s="47">
        <v>0</v>
      </c>
      <c r="T3" s="47">
        <v>0</v>
      </c>
      <c r="U3" s="47">
        <v>0</v>
      </c>
      <c r="V3" s="47">
        <v>0</v>
      </c>
      <c r="W3" s="47">
        <v>0</v>
      </c>
      <c r="X3" s="47">
        <v>0</v>
      </c>
      <c r="Y3" s="47">
        <v>0</v>
      </c>
      <c r="Z3" s="47">
        <v>0</v>
      </c>
      <c r="AA3" s="47">
        <v>0</v>
      </c>
      <c r="AB3" s="47">
        <v>0</v>
      </c>
      <c r="AC3" s="47">
        <v>0</v>
      </c>
      <c r="AD3" s="47">
        <v>0</v>
      </c>
      <c r="AE3" s="47">
        <v>0</v>
      </c>
      <c r="AF3" s="47">
        <v>0</v>
      </c>
      <c r="AG3" s="47">
        <v>0</v>
      </c>
      <c r="AH3" s="47">
        <v>0</v>
      </c>
      <c r="AI3" s="47">
        <v>350</v>
      </c>
      <c r="AJ3" s="47">
        <v>80</v>
      </c>
      <c r="AK3" s="47">
        <v>8</v>
      </c>
      <c r="AL3" s="47">
        <v>220</v>
      </c>
      <c r="AM3" s="47">
        <v>260</v>
      </c>
      <c r="AN3" s="47">
        <v>230</v>
      </c>
      <c r="AO3" s="47">
        <v>250</v>
      </c>
      <c r="AP3" s="47">
        <v>150</v>
      </c>
      <c r="AQ3" s="47">
        <v>390</v>
      </c>
      <c r="AR3" s="47">
        <v>122</v>
      </c>
      <c r="AS3" s="47">
        <v>5</v>
      </c>
      <c r="AT3" s="47">
        <v>126</v>
      </c>
      <c r="AU3" s="47">
        <v>26</v>
      </c>
      <c r="AV3" s="47">
        <v>126</v>
      </c>
      <c r="AW3" s="47">
        <v>121</v>
      </c>
      <c r="AX3" s="47">
        <v>100</v>
      </c>
      <c r="AY3" s="47">
        <v>250</v>
      </c>
      <c r="AZ3" s="47">
        <v>900</v>
      </c>
      <c r="BA3" s="47">
        <v>500</v>
      </c>
      <c r="BB3" s="47">
        <f>204021/1000</f>
        <v>204.02099999999999</v>
      </c>
      <c r="BC3" s="43"/>
      <c r="BD3" s="43"/>
    </row>
    <row r="4" spans="1:56" x14ac:dyDescent="0.25">
      <c r="A4" s="12"/>
      <c r="B4" s="2"/>
      <c r="C4" s="2" t="s">
        <v>8</v>
      </c>
      <c r="D4" s="44">
        <v>519</v>
      </c>
      <c r="E4" s="44">
        <v>589</v>
      </c>
      <c r="F4" s="44">
        <v>722</v>
      </c>
      <c r="G4" s="44">
        <v>923</v>
      </c>
      <c r="H4" s="44">
        <v>896</v>
      </c>
      <c r="I4" s="44">
        <v>1132</v>
      </c>
      <c r="J4" s="44">
        <v>1180</v>
      </c>
      <c r="K4" s="44">
        <v>1214</v>
      </c>
      <c r="L4" s="44">
        <v>1289</v>
      </c>
      <c r="M4" s="44">
        <v>1502</v>
      </c>
      <c r="N4" s="44">
        <v>1663</v>
      </c>
      <c r="O4" s="44">
        <v>2111</v>
      </c>
      <c r="P4" s="44">
        <v>1039</v>
      </c>
      <c r="Q4" s="44">
        <v>2131</v>
      </c>
      <c r="R4" s="44">
        <v>1979</v>
      </c>
      <c r="S4" s="44">
        <v>2386</v>
      </c>
      <c r="T4" s="44">
        <v>2116</v>
      </c>
      <c r="U4" s="44">
        <v>1217</v>
      </c>
      <c r="V4" s="44">
        <v>2078</v>
      </c>
      <c r="W4" s="44">
        <v>2150</v>
      </c>
      <c r="X4" s="44">
        <v>2142</v>
      </c>
      <c r="Y4" s="44">
        <v>3260</v>
      </c>
      <c r="Z4" s="44">
        <v>2136</v>
      </c>
      <c r="AA4" s="44">
        <v>2846</v>
      </c>
      <c r="AB4" s="44">
        <v>3180</v>
      </c>
      <c r="AC4" s="44">
        <v>3674</v>
      </c>
      <c r="AD4" s="44">
        <v>2916</v>
      </c>
      <c r="AE4" s="44">
        <v>802</v>
      </c>
      <c r="AF4" s="44">
        <v>1560</v>
      </c>
      <c r="AG4" s="44">
        <v>1179</v>
      </c>
      <c r="AH4" s="44">
        <v>1193</v>
      </c>
      <c r="AI4" s="44">
        <v>586</v>
      </c>
      <c r="AJ4" s="44">
        <v>147</v>
      </c>
      <c r="AK4" s="44">
        <v>95</v>
      </c>
      <c r="AL4" s="44">
        <v>160</v>
      </c>
      <c r="AM4" s="44">
        <v>85</v>
      </c>
      <c r="AN4" s="44">
        <v>20</v>
      </c>
      <c r="AO4" s="44">
        <v>80</v>
      </c>
      <c r="AP4" s="44">
        <v>100</v>
      </c>
      <c r="AQ4" s="44">
        <v>75</v>
      </c>
      <c r="AR4" s="44">
        <v>288</v>
      </c>
      <c r="AS4" s="44">
        <v>285</v>
      </c>
      <c r="AT4" s="44">
        <v>284</v>
      </c>
      <c r="AU4" s="44">
        <v>658</v>
      </c>
      <c r="AV4" s="44">
        <v>459</v>
      </c>
      <c r="AW4" s="44">
        <v>117</v>
      </c>
      <c r="AX4" s="44">
        <v>349</v>
      </c>
      <c r="AY4" s="44">
        <v>488</v>
      </c>
      <c r="AZ4" s="44">
        <v>647</v>
      </c>
      <c r="BA4" s="44">
        <v>1250</v>
      </c>
      <c r="BB4" s="44">
        <f>390081/1000</f>
        <v>390.08100000000002</v>
      </c>
      <c r="BC4" s="42"/>
      <c r="BD4" s="42"/>
    </row>
    <row r="5" spans="1:56" s="5" customFormat="1" x14ac:dyDescent="0.25">
      <c r="A5" s="14"/>
      <c r="B5" s="6"/>
      <c r="C5" s="6" t="s">
        <v>9</v>
      </c>
      <c r="D5" s="47">
        <v>10</v>
      </c>
      <c r="E5" s="47">
        <v>15</v>
      </c>
      <c r="F5" s="47">
        <v>15</v>
      </c>
      <c r="G5" s="47">
        <v>20</v>
      </c>
      <c r="H5" s="47">
        <v>25</v>
      </c>
      <c r="I5" s="47">
        <v>29</v>
      </c>
      <c r="J5" s="47">
        <v>35</v>
      </c>
      <c r="K5" s="47">
        <v>55</v>
      </c>
      <c r="L5" s="47">
        <v>104</v>
      </c>
      <c r="M5" s="47">
        <v>176</v>
      </c>
      <c r="N5" s="47">
        <v>220</v>
      </c>
      <c r="O5" s="47">
        <v>280</v>
      </c>
      <c r="P5" s="47">
        <v>295</v>
      </c>
      <c r="Q5" s="47">
        <v>341</v>
      </c>
      <c r="R5" s="47">
        <v>500</v>
      </c>
      <c r="S5" s="47">
        <v>369</v>
      </c>
      <c r="T5" s="47">
        <v>653</v>
      </c>
      <c r="U5" s="47">
        <v>477</v>
      </c>
      <c r="V5" s="47">
        <v>691</v>
      </c>
      <c r="W5" s="47">
        <v>1050</v>
      </c>
      <c r="X5" s="47">
        <v>1108</v>
      </c>
      <c r="Y5" s="47">
        <v>1050</v>
      </c>
      <c r="Z5" s="47">
        <v>1160</v>
      </c>
      <c r="AA5" s="47">
        <v>1174</v>
      </c>
      <c r="AB5" s="47">
        <v>1290</v>
      </c>
      <c r="AC5" s="47">
        <v>1270</v>
      </c>
      <c r="AD5" s="47">
        <v>1630</v>
      </c>
      <c r="AE5" s="47">
        <v>2000</v>
      </c>
      <c r="AF5" s="47">
        <v>2650</v>
      </c>
      <c r="AG5" s="47">
        <v>2700</v>
      </c>
      <c r="AH5" s="47">
        <v>2740</v>
      </c>
      <c r="AI5" s="47">
        <v>3418</v>
      </c>
      <c r="AJ5" s="47">
        <v>3133</v>
      </c>
      <c r="AK5" s="47">
        <v>3023</v>
      </c>
      <c r="AL5" s="47">
        <v>3684</v>
      </c>
      <c r="AM5" s="47">
        <v>3975</v>
      </c>
      <c r="AN5" s="47">
        <v>4185</v>
      </c>
      <c r="AO5" s="47">
        <v>3970</v>
      </c>
      <c r="AP5" s="47">
        <v>4175</v>
      </c>
      <c r="AQ5" s="47">
        <v>4275</v>
      </c>
      <c r="AR5" s="47">
        <v>4375</v>
      </c>
      <c r="AS5" s="47">
        <v>4375</v>
      </c>
      <c r="AT5" s="47">
        <v>4100</v>
      </c>
      <c r="AU5" s="47">
        <v>3550</v>
      </c>
      <c r="AV5" s="47">
        <v>3700</v>
      </c>
      <c r="AW5" s="47">
        <v>4000</v>
      </c>
      <c r="AX5" s="47">
        <v>3600</v>
      </c>
      <c r="AY5" s="47">
        <v>3800</v>
      </c>
      <c r="AZ5" s="47">
        <v>3800</v>
      </c>
      <c r="BA5" s="47">
        <v>3900</v>
      </c>
      <c r="BB5" s="47">
        <f>BB2+BB3-BB4</f>
        <v>4786.8919999999998</v>
      </c>
      <c r="BC5" s="43"/>
      <c r="BD5" s="43"/>
    </row>
    <row r="6" spans="1:56" x14ac:dyDescent="0.25">
      <c r="A6" s="12"/>
      <c r="B6" s="2" t="s">
        <v>10</v>
      </c>
      <c r="C6" s="2" t="s">
        <v>6</v>
      </c>
      <c r="D6" s="44">
        <v>65</v>
      </c>
      <c r="E6" s="44">
        <v>58</v>
      </c>
      <c r="F6" s="44">
        <v>61</v>
      </c>
      <c r="G6" s="44">
        <v>61</v>
      </c>
      <c r="H6" s="44">
        <v>74</v>
      </c>
      <c r="I6" s="44">
        <v>90</v>
      </c>
      <c r="J6" s="44">
        <v>135</v>
      </c>
      <c r="K6" s="44">
        <v>124</v>
      </c>
      <c r="L6" s="44">
        <v>200</v>
      </c>
      <c r="M6" s="44">
        <v>195</v>
      </c>
      <c r="N6" s="44">
        <v>85</v>
      </c>
      <c r="O6" s="44">
        <v>145</v>
      </c>
      <c r="P6" s="44">
        <v>95</v>
      </c>
      <c r="Q6" s="44">
        <v>43</v>
      </c>
      <c r="R6" s="44">
        <v>86</v>
      </c>
      <c r="S6" s="44">
        <v>44</v>
      </c>
      <c r="T6" s="44">
        <v>41</v>
      </c>
      <c r="U6" s="44">
        <v>139</v>
      </c>
      <c r="V6" s="44">
        <v>114</v>
      </c>
      <c r="W6" s="44">
        <v>219</v>
      </c>
      <c r="X6" s="44">
        <v>295</v>
      </c>
      <c r="Y6" s="44">
        <v>270</v>
      </c>
      <c r="Z6" s="44">
        <v>187</v>
      </c>
      <c r="AA6" s="44">
        <v>183</v>
      </c>
      <c r="AB6" s="44">
        <v>121</v>
      </c>
      <c r="AC6" s="44">
        <v>156</v>
      </c>
      <c r="AD6" s="44">
        <v>88</v>
      </c>
      <c r="AE6" s="44">
        <v>114</v>
      </c>
      <c r="AF6" s="44">
        <v>162</v>
      </c>
      <c r="AG6" s="44">
        <v>131</v>
      </c>
      <c r="AH6" s="44">
        <v>149</v>
      </c>
      <c r="AI6" s="44">
        <v>197</v>
      </c>
      <c r="AJ6" s="44">
        <v>142</v>
      </c>
      <c r="AK6" s="44">
        <v>102</v>
      </c>
      <c r="AL6" s="44">
        <v>119</v>
      </c>
      <c r="AM6" s="44">
        <v>124</v>
      </c>
      <c r="AN6" s="44">
        <v>115</v>
      </c>
      <c r="AO6" s="44">
        <v>79</v>
      </c>
      <c r="AP6" s="44">
        <v>62</v>
      </c>
      <c r="AQ6" s="44">
        <v>53</v>
      </c>
      <c r="AR6" s="44">
        <v>56</v>
      </c>
      <c r="AS6" s="44">
        <v>93</v>
      </c>
      <c r="AT6" s="44">
        <v>22</v>
      </c>
      <c r="AU6" s="44">
        <v>21</v>
      </c>
      <c r="AV6" s="44">
        <v>22</v>
      </c>
      <c r="AW6" s="44">
        <v>22</v>
      </c>
      <c r="AX6" s="44">
        <v>16</v>
      </c>
      <c r="AY6" s="44">
        <v>15</v>
      </c>
      <c r="AZ6" s="44">
        <v>3</v>
      </c>
      <c r="BA6" s="44">
        <v>4</v>
      </c>
      <c r="BB6" s="44">
        <f>2268/1000</f>
        <v>2.2679999999999998</v>
      </c>
      <c r="BC6" s="42">
        <f>2363/1000</f>
        <v>2.363</v>
      </c>
      <c r="BD6" s="42">
        <f>2426/1000</f>
        <v>2.4260000000000002</v>
      </c>
    </row>
    <row r="7" spans="1:56" s="5" customFormat="1" x14ac:dyDescent="0.25">
      <c r="A7" s="14"/>
      <c r="B7" s="6"/>
      <c r="C7" s="6" t="s">
        <v>7</v>
      </c>
      <c r="D7" s="47">
        <v>28</v>
      </c>
      <c r="E7" s="47">
        <v>42</v>
      </c>
      <c r="F7" s="47">
        <v>42</v>
      </c>
      <c r="G7" s="47">
        <v>44</v>
      </c>
      <c r="H7" s="47">
        <v>84</v>
      </c>
      <c r="I7" s="47">
        <v>105</v>
      </c>
      <c r="J7" s="47">
        <v>105</v>
      </c>
      <c r="K7" s="47">
        <v>129</v>
      </c>
      <c r="L7" s="47">
        <v>78</v>
      </c>
      <c r="M7" s="47">
        <v>135</v>
      </c>
      <c r="N7" s="47">
        <v>212</v>
      </c>
      <c r="O7" s="47">
        <v>230</v>
      </c>
      <c r="P7" s="47">
        <v>299</v>
      </c>
      <c r="Q7" s="47">
        <v>389</v>
      </c>
      <c r="R7" s="47">
        <v>262</v>
      </c>
      <c r="S7" s="47">
        <v>389</v>
      </c>
      <c r="T7" s="47">
        <v>409</v>
      </c>
      <c r="U7" s="47">
        <v>329</v>
      </c>
      <c r="V7" s="47">
        <v>457</v>
      </c>
      <c r="W7" s="47">
        <v>376</v>
      </c>
      <c r="X7" s="47">
        <v>402</v>
      </c>
      <c r="Y7" s="47">
        <v>243</v>
      </c>
      <c r="Z7" s="47">
        <v>397</v>
      </c>
      <c r="AA7" s="47">
        <v>558</v>
      </c>
      <c r="AB7" s="47">
        <v>614</v>
      </c>
      <c r="AC7" s="47">
        <v>703</v>
      </c>
      <c r="AD7" s="47">
        <v>1290</v>
      </c>
      <c r="AE7" s="47">
        <v>872</v>
      </c>
      <c r="AF7" s="47">
        <v>1252</v>
      </c>
      <c r="AG7" s="47">
        <v>1207</v>
      </c>
      <c r="AH7" s="47">
        <v>1624</v>
      </c>
      <c r="AI7" s="47">
        <v>1641</v>
      </c>
      <c r="AJ7" s="47">
        <v>1522</v>
      </c>
      <c r="AK7" s="47">
        <v>1613</v>
      </c>
      <c r="AL7" s="47">
        <v>1440</v>
      </c>
      <c r="AM7" s="47">
        <v>1545</v>
      </c>
      <c r="AN7" s="47">
        <v>1414</v>
      </c>
      <c r="AO7" s="47">
        <v>1236</v>
      </c>
      <c r="AP7" s="47">
        <v>1207</v>
      </c>
      <c r="AQ7" s="47">
        <v>1696</v>
      </c>
      <c r="AR7" s="47">
        <v>1573</v>
      </c>
      <c r="AS7" s="47">
        <v>1882</v>
      </c>
      <c r="AT7" s="47">
        <v>1945</v>
      </c>
      <c r="AU7" s="47">
        <v>1678</v>
      </c>
      <c r="AV7" s="47">
        <v>2282</v>
      </c>
      <c r="AW7" s="47">
        <v>1892</v>
      </c>
      <c r="AX7" s="47">
        <v>1905</v>
      </c>
      <c r="AY7" s="47">
        <v>1928</v>
      </c>
      <c r="AZ7" s="47">
        <v>1602</v>
      </c>
      <c r="BA7" s="47">
        <v>1806</v>
      </c>
      <c r="BB7" s="47">
        <f>319239/1000</f>
        <v>319.23899999999998</v>
      </c>
      <c r="BC7" s="43"/>
      <c r="BD7" s="43"/>
    </row>
    <row r="8" spans="1:56" x14ac:dyDescent="0.25">
      <c r="A8" s="12"/>
      <c r="B8" s="2"/>
      <c r="C8" s="2" t="s">
        <v>8</v>
      </c>
      <c r="D8" s="44">
        <v>0</v>
      </c>
      <c r="E8" s="44">
        <v>0</v>
      </c>
      <c r="F8" s="44">
        <v>2</v>
      </c>
      <c r="G8" s="44">
        <v>0</v>
      </c>
      <c r="H8" s="44">
        <v>0</v>
      </c>
      <c r="I8" s="44">
        <v>0</v>
      </c>
      <c r="J8" s="44">
        <v>0</v>
      </c>
      <c r="K8" s="44">
        <v>8</v>
      </c>
      <c r="L8" s="44">
        <v>31</v>
      </c>
      <c r="M8" s="44">
        <v>4</v>
      </c>
      <c r="N8" s="44">
        <v>2</v>
      </c>
      <c r="O8" s="44">
        <v>1</v>
      </c>
      <c r="P8" s="44">
        <v>1</v>
      </c>
      <c r="Q8" s="44">
        <v>0</v>
      </c>
      <c r="R8" s="44">
        <v>0</v>
      </c>
      <c r="S8" s="44">
        <v>0</v>
      </c>
      <c r="T8" s="44">
        <v>0</v>
      </c>
      <c r="U8" s="44">
        <v>6</v>
      </c>
      <c r="V8" s="44">
        <v>5</v>
      </c>
      <c r="W8" s="44">
        <v>29</v>
      </c>
      <c r="X8" s="44">
        <v>47</v>
      </c>
      <c r="Y8" s="44">
        <v>83</v>
      </c>
      <c r="Z8" s="44">
        <v>62</v>
      </c>
      <c r="AA8" s="44">
        <v>57</v>
      </c>
      <c r="AB8" s="44">
        <v>54</v>
      </c>
      <c r="AC8" s="44">
        <v>32</v>
      </c>
      <c r="AD8" s="44">
        <v>35</v>
      </c>
      <c r="AE8" s="44">
        <v>62</v>
      </c>
      <c r="AF8" s="44">
        <v>38</v>
      </c>
      <c r="AG8" s="44">
        <v>20</v>
      </c>
      <c r="AH8" s="44">
        <v>25</v>
      </c>
      <c r="AI8" s="44">
        <v>29</v>
      </c>
      <c r="AJ8" s="44">
        <v>30</v>
      </c>
      <c r="AK8" s="44">
        <v>28</v>
      </c>
      <c r="AL8" s="44">
        <v>2</v>
      </c>
      <c r="AM8" s="44">
        <v>0</v>
      </c>
      <c r="AN8" s="44">
        <v>0</v>
      </c>
      <c r="AO8" s="44">
        <v>5</v>
      </c>
      <c r="AP8" s="44">
        <v>9</v>
      </c>
      <c r="AQ8" s="44">
        <v>0</v>
      </c>
      <c r="AR8" s="44">
        <v>0</v>
      </c>
      <c r="AS8" s="44">
        <v>1</v>
      </c>
      <c r="AT8" s="44">
        <v>1</v>
      </c>
      <c r="AU8" s="44">
        <v>2</v>
      </c>
      <c r="AV8" s="44">
        <v>2</v>
      </c>
      <c r="AW8" s="44">
        <v>5</v>
      </c>
      <c r="AX8" s="44">
        <v>2</v>
      </c>
      <c r="AY8" s="44">
        <v>4</v>
      </c>
      <c r="AZ8" s="44">
        <v>8</v>
      </c>
      <c r="BA8" s="44">
        <v>6</v>
      </c>
      <c r="BB8" s="44">
        <f>429/1000</f>
        <v>0.42899999999999999</v>
      </c>
      <c r="BC8" s="42"/>
      <c r="BD8" s="42"/>
    </row>
    <row r="9" spans="1:56" s="5" customFormat="1" x14ac:dyDescent="0.25">
      <c r="A9" s="14"/>
      <c r="B9" s="6"/>
      <c r="C9" s="6" t="s">
        <v>9</v>
      </c>
      <c r="D9" s="47">
        <v>85</v>
      </c>
      <c r="E9" s="47">
        <v>95</v>
      </c>
      <c r="F9" s="47">
        <v>100</v>
      </c>
      <c r="G9" s="47">
        <v>100</v>
      </c>
      <c r="H9" s="47">
        <v>125</v>
      </c>
      <c r="I9" s="47">
        <v>185</v>
      </c>
      <c r="J9" s="47">
        <v>225</v>
      </c>
      <c r="K9" s="47">
        <v>235</v>
      </c>
      <c r="L9" s="47">
        <v>262</v>
      </c>
      <c r="M9" s="47">
        <v>318</v>
      </c>
      <c r="N9" s="47">
        <v>330</v>
      </c>
      <c r="O9" s="47">
        <v>340</v>
      </c>
      <c r="P9" s="47">
        <v>410</v>
      </c>
      <c r="Q9" s="47">
        <v>408</v>
      </c>
      <c r="R9" s="47">
        <v>398</v>
      </c>
      <c r="S9" s="47">
        <v>421</v>
      </c>
      <c r="T9" s="47">
        <v>495</v>
      </c>
      <c r="U9" s="47">
        <v>454</v>
      </c>
      <c r="V9" s="47">
        <v>542</v>
      </c>
      <c r="W9" s="47">
        <v>564</v>
      </c>
      <c r="X9" s="47">
        <v>620</v>
      </c>
      <c r="Y9" s="47">
        <v>490</v>
      </c>
      <c r="Z9" s="47">
        <v>525</v>
      </c>
      <c r="AA9" s="47">
        <v>581</v>
      </c>
      <c r="AB9" s="47">
        <v>597</v>
      </c>
      <c r="AC9" s="47">
        <v>946</v>
      </c>
      <c r="AD9" s="47">
        <v>1134</v>
      </c>
      <c r="AE9" s="47">
        <v>1157</v>
      </c>
      <c r="AF9" s="47">
        <v>1286</v>
      </c>
      <c r="AG9" s="47">
        <v>1355</v>
      </c>
      <c r="AH9" s="47">
        <v>1506</v>
      </c>
      <c r="AI9" s="47">
        <v>1699</v>
      </c>
      <c r="AJ9" s="47">
        <v>1608</v>
      </c>
      <c r="AK9" s="47">
        <v>1653</v>
      </c>
      <c r="AL9" s="47">
        <v>1620</v>
      </c>
      <c r="AM9" s="47">
        <v>1575</v>
      </c>
      <c r="AN9" s="47">
        <v>1596</v>
      </c>
      <c r="AO9" s="47">
        <v>1376</v>
      </c>
      <c r="AP9" s="47">
        <v>1335</v>
      </c>
      <c r="AQ9" s="47">
        <v>1606</v>
      </c>
      <c r="AR9" s="47">
        <v>1685</v>
      </c>
      <c r="AS9" s="47">
        <v>1825</v>
      </c>
      <c r="AT9" s="47">
        <v>1975</v>
      </c>
      <c r="AU9" s="47">
        <v>1875</v>
      </c>
      <c r="AV9" s="47">
        <v>2125</v>
      </c>
      <c r="AW9" s="47">
        <v>2075</v>
      </c>
      <c r="AX9" s="47">
        <v>1975</v>
      </c>
      <c r="AY9" s="47">
        <v>1975</v>
      </c>
      <c r="AZ9" s="47">
        <v>1625</v>
      </c>
      <c r="BA9" s="47">
        <v>1800</v>
      </c>
      <c r="BB9" s="47">
        <f>BB6+BB7-BB8</f>
        <v>321.07799999999997</v>
      </c>
      <c r="BC9" s="43"/>
      <c r="BD9" s="43"/>
    </row>
    <row r="10" spans="1:56" x14ac:dyDescent="0.25">
      <c r="A10" s="12"/>
      <c r="B10" s="2" t="s">
        <v>11</v>
      </c>
      <c r="C10" s="2" t="s">
        <v>6</v>
      </c>
      <c r="D10" s="44">
        <v>0</v>
      </c>
      <c r="E10" s="44">
        <v>0</v>
      </c>
      <c r="F10" s="44">
        <v>0</v>
      </c>
      <c r="G10" s="44">
        <v>0</v>
      </c>
      <c r="H10" s="44">
        <v>31</v>
      </c>
      <c r="I10" s="44">
        <v>19</v>
      </c>
      <c r="J10" s="44">
        <v>38</v>
      </c>
      <c r="K10" s="44">
        <v>53</v>
      </c>
      <c r="L10" s="44">
        <v>45</v>
      </c>
      <c r="M10" s="44">
        <v>48</v>
      </c>
      <c r="N10" s="44">
        <v>50</v>
      </c>
      <c r="O10" s="44">
        <v>54</v>
      </c>
      <c r="P10" s="44">
        <v>72</v>
      </c>
      <c r="Q10" s="44">
        <v>104</v>
      </c>
      <c r="R10" s="44">
        <v>110</v>
      </c>
      <c r="S10" s="44">
        <v>114</v>
      </c>
      <c r="T10" s="44">
        <v>114</v>
      </c>
      <c r="U10" s="44">
        <v>96</v>
      </c>
      <c r="V10" s="44">
        <v>159</v>
      </c>
      <c r="W10" s="44">
        <v>102</v>
      </c>
      <c r="X10" s="44">
        <v>100</v>
      </c>
      <c r="Y10" s="44">
        <v>132</v>
      </c>
      <c r="Z10" s="44">
        <v>113</v>
      </c>
      <c r="AA10" s="44">
        <v>179</v>
      </c>
      <c r="AB10" s="44">
        <v>246</v>
      </c>
      <c r="AC10" s="44">
        <v>309</v>
      </c>
      <c r="AD10" s="44">
        <v>356</v>
      </c>
      <c r="AE10" s="44">
        <v>338</v>
      </c>
      <c r="AF10" s="44">
        <v>517</v>
      </c>
      <c r="AG10" s="44">
        <v>672</v>
      </c>
      <c r="AH10" s="44">
        <v>530</v>
      </c>
      <c r="AI10" s="44">
        <v>435</v>
      </c>
      <c r="AJ10" s="44">
        <v>480</v>
      </c>
      <c r="AK10" s="44">
        <v>480</v>
      </c>
      <c r="AL10" s="44">
        <v>450</v>
      </c>
      <c r="AM10" s="44">
        <v>368</v>
      </c>
      <c r="AN10" s="44">
        <v>360</v>
      </c>
      <c r="AO10" s="44">
        <v>338</v>
      </c>
      <c r="AP10" s="44">
        <v>335</v>
      </c>
      <c r="AQ10" s="44">
        <v>330</v>
      </c>
      <c r="AR10" s="44">
        <v>312</v>
      </c>
      <c r="AS10" s="44">
        <v>270</v>
      </c>
      <c r="AT10" s="44">
        <v>250</v>
      </c>
      <c r="AU10" s="44">
        <v>220</v>
      </c>
      <c r="AV10" s="44">
        <v>217</v>
      </c>
      <c r="AW10" s="44">
        <v>226</v>
      </c>
      <c r="AX10" s="44">
        <v>210</v>
      </c>
      <c r="AY10" s="44">
        <v>210</v>
      </c>
      <c r="AZ10" s="44">
        <v>180</v>
      </c>
      <c r="BA10" s="44">
        <v>170</v>
      </c>
      <c r="BB10" s="44">
        <f>176152/1000</f>
        <v>176.15199999999999</v>
      </c>
      <c r="BC10" s="42">
        <f>180000/1000</f>
        <v>180</v>
      </c>
      <c r="BD10" s="42">
        <f>190000/1000</f>
        <v>190</v>
      </c>
    </row>
    <row r="11" spans="1:56" s="5" customFormat="1" x14ac:dyDescent="0.25">
      <c r="A11" s="14"/>
      <c r="B11" s="6"/>
      <c r="C11" s="6" t="s">
        <v>7</v>
      </c>
      <c r="D11" s="47">
        <v>0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v>0</v>
      </c>
      <c r="O11" s="47">
        <v>0</v>
      </c>
      <c r="P11" s="47">
        <v>0</v>
      </c>
      <c r="Q11" s="47">
        <v>0</v>
      </c>
      <c r="R11" s="47">
        <v>0</v>
      </c>
      <c r="S11" s="47">
        <v>0</v>
      </c>
      <c r="T11" s="47">
        <v>4</v>
      </c>
      <c r="U11" s="47">
        <v>11</v>
      </c>
      <c r="V11" s="47">
        <v>0</v>
      </c>
      <c r="W11" s="47">
        <v>10</v>
      </c>
      <c r="X11" s="47">
        <v>6</v>
      </c>
      <c r="Y11" s="47">
        <v>3</v>
      </c>
      <c r="Z11" s="47">
        <v>0</v>
      </c>
      <c r="AA11" s="47">
        <v>0</v>
      </c>
      <c r="AB11" s="47">
        <v>0</v>
      </c>
      <c r="AC11" s="47">
        <v>0</v>
      </c>
      <c r="AD11" s="47">
        <v>0</v>
      </c>
      <c r="AE11" s="47">
        <v>31</v>
      </c>
      <c r="AF11" s="47">
        <v>0</v>
      </c>
      <c r="AG11" s="47">
        <v>0</v>
      </c>
      <c r="AH11" s="47">
        <v>0</v>
      </c>
      <c r="AI11" s="47">
        <v>57</v>
      </c>
      <c r="AJ11" s="47">
        <v>123</v>
      </c>
      <c r="AK11" s="47">
        <v>124</v>
      </c>
      <c r="AL11" s="47">
        <v>115</v>
      </c>
      <c r="AM11" s="47">
        <v>426</v>
      </c>
      <c r="AN11" s="47">
        <v>550</v>
      </c>
      <c r="AO11" s="47">
        <v>600</v>
      </c>
      <c r="AP11" s="47">
        <v>950</v>
      </c>
      <c r="AQ11" s="47">
        <v>1192</v>
      </c>
      <c r="AR11" s="47">
        <v>1286</v>
      </c>
      <c r="AS11" s="47">
        <v>1550</v>
      </c>
      <c r="AT11" s="47">
        <v>1779</v>
      </c>
      <c r="AU11" s="47">
        <v>1407</v>
      </c>
      <c r="AV11" s="47">
        <v>1517</v>
      </c>
      <c r="AW11" s="47">
        <v>1473</v>
      </c>
      <c r="AX11" s="47">
        <v>1532</v>
      </c>
      <c r="AY11" s="47">
        <v>1753</v>
      </c>
      <c r="AZ11" s="47">
        <v>1510</v>
      </c>
      <c r="BA11" s="47">
        <v>1660</v>
      </c>
      <c r="BB11" s="47">
        <f>1994378/1000</f>
        <v>1994.3779999999999</v>
      </c>
      <c r="BC11" s="43"/>
      <c r="BD11" s="43"/>
    </row>
    <row r="12" spans="1:56" x14ac:dyDescent="0.25">
      <c r="A12" s="12"/>
      <c r="B12" s="2"/>
      <c r="C12" s="2" t="s">
        <v>8</v>
      </c>
      <c r="D12" s="44">
        <v>0</v>
      </c>
      <c r="E12" s="44">
        <v>0</v>
      </c>
      <c r="F12" s="44">
        <v>0</v>
      </c>
      <c r="G12" s="44">
        <v>0</v>
      </c>
      <c r="H12" s="44">
        <v>2</v>
      </c>
      <c r="I12" s="44">
        <v>6</v>
      </c>
      <c r="J12" s="44">
        <v>6</v>
      </c>
      <c r="K12" s="44">
        <v>3</v>
      </c>
      <c r="L12" s="44">
        <v>5</v>
      </c>
      <c r="M12" s="44">
        <v>6</v>
      </c>
      <c r="N12" s="44">
        <v>6</v>
      </c>
      <c r="O12" s="44">
        <v>7</v>
      </c>
      <c r="P12" s="44">
        <v>14</v>
      </c>
      <c r="Q12" s="44">
        <v>7</v>
      </c>
      <c r="R12" s="44">
        <v>24</v>
      </c>
      <c r="S12" s="44">
        <v>8</v>
      </c>
      <c r="T12" s="44">
        <v>12</v>
      </c>
      <c r="U12" s="44">
        <v>7</v>
      </c>
      <c r="V12" s="44">
        <v>10</v>
      </c>
      <c r="W12" s="44">
        <v>6</v>
      </c>
      <c r="X12" s="44">
        <v>3</v>
      </c>
      <c r="Y12" s="44">
        <v>2</v>
      </c>
      <c r="Z12" s="44">
        <v>1</v>
      </c>
      <c r="AA12" s="44">
        <v>1</v>
      </c>
      <c r="AB12" s="44">
        <v>1</v>
      </c>
      <c r="AC12" s="44">
        <v>2</v>
      </c>
      <c r="AD12" s="44">
        <v>0</v>
      </c>
      <c r="AE12" s="44">
        <v>0</v>
      </c>
      <c r="AF12" s="44">
        <v>0</v>
      </c>
      <c r="AG12" s="44">
        <v>0</v>
      </c>
      <c r="AH12" s="44">
        <v>0</v>
      </c>
      <c r="AI12" s="44">
        <v>0</v>
      </c>
      <c r="AJ12" s="44">
        <v>0</v>
      </c>
      <c r="AK12" s="44">
        <v>0</v>
      </c>
      <c r="AL12" s="44">
        <v>0</v>
      </c>
      <c r="AM12" s="44">
        <v>0</v>
      </c>
      <c r="AN12" s="44">
        <v>0</v>
      </c>
      <c r="AO12" s="44">
        <v>0</v>
      </c>
      <c r="AP12" s="44">
        <v>1</v>
      </c>
      <c r="AQ12" s="44">
        <v>1</v>
      </c>
      <c r="AR12" s="44">
        <v>0</v>
      </c>
      <c r="AS12" s="44">
        <v>1</v>
      </c>
      <c r="AT12" s="44">
        <v>1</v>
      </c>
      <c r="AU12" s="44">
        <v>1</v>
      </c>
      <c r="AV12" s="44">
        <v>1</v>
      </c>
      <c r="AW12" s="44">
        <v>1</v>
      </c>
      <c r="AX12" s="44">
        <v>1</v>
      </c>
      <c r="AY12" s="44">
        <v>2</v>
      </c>
      <c r="AZ12" s="44">
        <v>1</v>
      </c>
      <c r="BA12" s="44">
        <v>1</v>
      </c>
      <c r="BB12" s="44">
        <f>1252/1000</f>
        <v>1.252</v>
      </c>
      <c r="BC12" s="42"/>
      <c r="BD12" s="42"/>
    </row>
    <row r="13" spans="1:56" s="5" customFormat="1" x14ac:dyDescent="0.25">
      <c r="A13" s="14"/>
      <c r="B13" s="6"/>
      <c r="C13" s="6" t="s">
        <v>9</v>
      </c>
      <c r="D13" s="47">
        <v>0</v>
      </c>
      <c r="E13" s="47">
        <v>0</v>
      </c>
      <c r="F13" s="47">
        <v>0</v>
      </c>
      <c r="G13" s="47">
        <v>0</v>
      </c>
      <c r="H13" s="47">
        <v>17</v>
      </c>
      <c r="I13" s="47">
        <v>23</v>
      </c>
      <c r="J13" s="47">
        <v>29</v>
      </c>
      <c r="K13" s="47">
        <v>40</v>
      </c>
      <c r="L13" s="47">
        <v>39</v>
      </c>
      <c r="M13" s="47">
        <v>44</v>
      </c>
      <c r="N13" s="47">
        <v>48</v>
      </c>
      <c r="O13" s="47">
        <v>57</v>
      </c>
      <c r="P13" s="47">
        <v>58</v>
      </c>
      <c r="Q13" s="47">
        <v>87</v>
      </c>
      <c r="R13" s="47">
        <v>86</v>
      </c>
      <c r="S13" s="47">
        <v>95</v>
      </c>
      <c r="T13" s="47">
        <v>97</v>
      </c>
      <c r="U13" s="47">
        <v>130</v>
      </c>
      <c r="V13" s="47">
        <v>122</v>
      </c>
      <c r="W13" s="47">
        <v>112</v>
      </c>
      <c r="X13" s="47">
        <v>123</v>
      </c>
      <c r="Y13" s="47">
        <v>117</v>
      </c>
      <c r="Z13" s="47">
        <v>125</v>
      </c>
      <c r="AA13" s="47">
        <v>160</v>
      </c>
      <c r="AB13" s="47">
        <v>227</v>
      </c>
      <c r="AC13" s="47">
        <v>300</v>
      </c>
      <c r="AD13" s="47">
        <v>373</v>
      </c>
      <c r="AE13" s="47">
        <v>399</v>
      </c>
      <c r="AF13" s="47">
        <v>517</v>
      </c>
      <c r="AG13" s="47">
        <v>598</v>
      </c>
      <c r="AH13" s="47">
        <v>554</v>
      </c>
      <c r="AI13" s="47">
        <v>528</v>
      </c>
      <c r="AJ13" s="47">
        <v>595</v>
      </c>
      <c r="AK13" s="47">
        <v>595</v>
      </c>
      <c r="AL13" s="47">
        <v>596</v>
      </c>
      <c r="AM13" s="47">
        <v>794</v>
      </c>
      <c r="AN13" s="47">
        <v>910</v>
      </c>
      <c r="AO13" s="47">
        <v>938</v>
      </c>
      <c r="AP13" s="47">
        <v>1284</v>
      </c>
      <c r="AQ13" s="47">
        <v>1484</v>
      </c>
      <c r="AR13" s="47">
        <v>1571</v>
      </c>
      <c r="AS13" s="47">
        <v>1793</v>
      </c>
      <c r="AT13" s="47">
        <v>2018</v>
      </c>
      <c r="AU13" s="47">
        <v>1637</v>
      </c>
      <c r="AV13" s="47">
        <v>1762</v>
      </c>
      <c r="AW13" s="47">
        <v>1693</v>
      </c>
      <c r="AX13" s="47">
        <v>1742</v>
      </c>
      <c r="AY13" s="47">
        <v>1882</v>
      </c>
      <c r="AZ13" s="47">
        <v>1735</v>
      </c>
      <c r="BA13" s="47">
        <v>1880</v>
      </c>
      <c r="BB13" s="47">
        <f>BB10+BB11-BB12</f>
        <v>2169.2779999999998</v>
      </c>
      <c r="BC13" s="43"/>
      <c r="BD13" s="43"/>
    </row>
    <row r="14" spans="1:56" x14ac:dyDescent="0.25">
      <c r="A14" s="12"/>
      <c r="B14" s="2" t="s">
        <v>12</v>
      </c>
      <c r="C14" s="2" t="s">
        <v>6</v>
      </c>
      <c r="D14" s="44">
        <v>6275</v>
      </c>
      <c r="E14" s="44">
        <v>6525</v>
      </c>
      <c r="F14" s="44">
        <v>7255</v>
      </c>
      <c r="G14" s="44">
        <v>7646</v>
      </c>
      <c r="H14" s="44">
        <v>7499</v>
      </c>
      <c r="I14" s="44">
        <v>7245</v>
      </c>
      <c r="J14" s="44">
        <v>7885</v>
      </c>
      <c r="K14" s="44">
        <v>6353</v>
      </c>
      <c r="L14" s="44">
        <v>6890</v>
      </c>
      <c r="M14" s="44">
        <v>8851</v>
      </c>
      <c r="N14" s="44">
        <v>8956</v>
      </c>
      <c r="O14" s="44">
        <v>9071</v>
      </c>
      <c r="P14" s="44">
        <v>8192</v>
      </c>
      <c r="Q14" s="44">
        <v>9834</v>
      </c>
      <c r="R14" s="44">
        <v>8835</v>
      </c>
      <c r="S14" s="44">
        <v>10098</v>
      </c>
      <c r="T14" s="44">
        <v>9944</v>
      </c>
      <c r="U14" s="44">
        <v>9188</v>
      </c>
      <c r="V14" s="44">
        <v>11530</v>
      </c>
      <c r="W14" s="44">
        <v>10400</v>
      </c>
      <c r="X14" s="44">
        <v>11463</v>
      </c>
      <c r="Y14" s="44">
        <v>11732</v>
      </c>
      <c r="Z14" s="44">
        <v>11139</v>
      </c>
      <c r="AA14" s="44">
        <v>12902</v>
      </c>
      <c r="AB14" s="44">
        <v>13137</v>
      </c>
      <c r="AC14" s="44">
        <v>13374</v>
      </c>
      <c r="AD14" s="44">
        <v>12453</v>
      </c>
      <c r="AE14" s="44">
        <v>12162</v>
      </c>
      <c r="AF14" s="44">
        <v>14034</v>
      </c>
      <c r="AG14" s="44">
        <v>13597</v>
      </c>
      <c r="AH14" s="44">
        <v>11347</v>
      </c>
      <c r="AI14" s="44">
        <v>13464</v>
      </c>
      <c r="AJ14" s="44">
        <v>13145</v>
      </c>
      <c r="AK14" s="44">
        <v>12672</v>
      </c>
      <c r="AL14" s="44">
        <v>14124</v>
      </c>
      <c r="AM14" s="44">
        <v>14388</v>
      </c>
      <c r="AN14" s="44">
        <v>13662</v>
      </c>
      <c r="AO14" s="44">
        <v>15510</v>
      </c>
      <c r="AP14" s="44">
        <v>15589</v>
      </c>
      <c r="AQ14" s="44">
        <v>16500</v>
      </c>
      <c r="AR14" s="44">
        <v>17057</v>
      </c>
      <c r="AS14" s="44">
        <v>17499</v>
      </c>
      <c r="AT14" s="44">
        <v>17198</v>
      </c>
      <c r="AU14" s="44">
        <v>18011</v>
      </c>
      <c r="AV14" s="44">
        <v>17360</v>
      </c>
      <c r="AW14" s="44">
        <v>18200</v>
      </c>
      <c r="AX14" s="44">
        <v>18250</v>
      </c>
      <c r="AY14" s="44">
        <v>19800</v>
      </c>
      <c r="AZ14" s="44">
        <v>19850</v>
      </c>
      <c r="BA14" s="44">
        <v>20260</v>
      </c>
      <c r="BB14" s="44">
        <f>36128373/1000</f>
        <v>36128.373</v>
      </c>
      <c r="BC14" s="42">
        <f>37468903/1000</f>
        <v>37468.902999999998</v>
      </c>
      <c r="BD14" s="42">
        <f>36062600/1000</f>
        <v>36062.6</v>
      </c>
    </row>
    <row r="15" spans="1:56" s="5" customFormat="1" x14ac:dyDescent="0.25">
      <c r="A15" s="14"/>
      <c r="B15" s="6"/>
      <c r="C15" s="6" t="s">
        <v>7</v>
      </c>
      <c r="D15" s="47">
        <v>0</v>
      </c>
      <c r="E15" s="47">
        <v>0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v>0</v>
      </c>
      <c r="O15" s="47">
        <v>0</v>
      </c>
      <c r="P15" s="47">
        <v>0</v>
      </c>
      <c r="Q15" s="47">
        <v>0</v>
      </c>
      <c r="R15" s="47">
        <v>0</v>
      </c>
      <c r="S15" s="47">
        <v>0</v>
      </c>
      <c r="T15" s="47">
        <v>0</v>
      </c>
      <c r="U15" s="47">
        <v>0</v>
      </c>
      <c r="V15" s="47">
        <v>0</v>
      </c>
      <c r="W15" s="47">
        <v>0</v>
      </c>
      <c r="X15" s="47">
        <v>0</v>
      </c>
      <c r="Y15" s="47">
        <v>0</v>
      </c>
      <c r="Z15" s="47">
        <v>0</v>
      </c>
      <c r="AA15" s="47">
        <v>0</v>
      </c>
      <c r="AB15" s="47">
        <v>0</v>
      </c>
      <c r="AC15" s="47">
        <v>0</v>
      </c>
      <c r="AD15" s="47">
        <v>2</v>
      </c>
      <c r="AE15" s="47">
        <v>0</v>
      </c>
      <c r="AF15" s="47">
        <v>0</v>
      </c>
      <c r="AG15" s="47">
        <v>0</v>
      </c>
      <c r="AH15" s="47">
        <v>0</v>
      </c>
      <c r="AI15" s="47">
        <v>0</v>
      </c>
      <c r="AJ15" s="47">
        <v>0</v>
      </c>
      <c r="AK15" s="47">
        <v>0</v>
      </c>
      <c r="AL15" s="47">
        <v>0</v>
      </c>
      <c r="AM15" s="47">
        <v>0</v>
      </c>
      <c r="AN15" s="47">
        <v>0</v>
      </c>
      <c r="AO15" s="47">
        <v>0</v>
      </c>
      <c r="AP15" s="47">
        <v>1</v>
      </c>
      <c r="AQ15" s="47">
        <v>0</v>
      </c>
      <c r="AR15" s="47">
        <v>0</v>
      </c>
      <c r="AS15" s="47">
        <v>15</v>
      </c>
      <c r="AT15" s="47">
        <v>0</v>
      </c>
      <c r="AU15" s="47">
        <v>0</v>
      </c>
      <c r="AV15" s="47">
        <v>0</v>
      </c>
      <c r="AW15" s="47">
        <v>2</v>
      </c>
      <c r="AX15" s="47">
        <v>3</v>
      </c>
      <c r="AY15" s="47">
        <v>8</v>
      </c>
      <c r="AZ15" s="47">
        <v>300</v>
      </c>
      <c r="BA15" s="47">
        <v>300</v>
      </c>
      <c r="BB15" s="47">
        <f>10630/1000</f>
        <v>10.63</v>
      </c>
      <c r="BC15" s="43"/>
      <c r="BD15" s="43"/>
    </row>
    <row r="16" spans="1:56" x14ac:dyDescent="0.25">
      <c r="A16" s="12"/>
      <c r="B16" s="2"/>
      <c r="C16" s="2" t="s">
        <v>8</v>
      </c>
      <c r="D16" s="44">
        <v>1576</v>
      </c>
      <c r="E16" s="44">
        <v>1271</v>
      </c>
      <c r="F16" s="44">
        <v>1418</v>
      </c>
      <c r="G16" s="44">
        <v>1896</v>
      </c>
      <c r="H16" s="44">
        <v>1895</v>
      </c>
      <c r="I16" s="44">
        <v>1508</v>
      </c>
      <c r="J16" s="44">
        <v>1483</v>
      </c>
      <c r="K16" s="44">
        <v>1068</v>
      </c>
      <c r="L16" s="44">
        <v>1023</v>
      </c>
      <c r="M16" s="44">
        <v>1064</v>
      </c>
      <c r="N16" s="44">
        <v>1576</v>
      </c>
      <c r="O16" s="44">
        <v>2112</v>
      </c>
      <c r="P16" s="44">
        <v>849</v>
      </c>
      <c r="Q16" s="44">
        <v>1046</v>
      </c>
      <c r="R16" s="44">
        <v>933</v>
      </c>
      <c r="S16" s="44">
        <v>1870</v>
      </c>
      <c r="T16" s="44">
        <v>2915</v>
      </c>
      <c r="U16" s="44">
        <v>1573</v>
      </c>
      <c r="V16" s="44">
        <v>2696</v>
      </c>
      <c r="W16" s="44">
        <v>2681</v>
      </c>
      <c r="X16" s="44">
        <v>3049</v>
      </c>
      <c r="Y16" s="44">
        <v>3620</v>
      </c>
      <c r="Z16" s="44">
        <v>3694</v>
      </c>
      <c r="AA16" s="44">
        <v>4528</v>
      </c>
      <c r="AB16" s="44">
        <v>3993</v>
      </c>
      <c r="AC16" s="44">
        <v>4334</v>
      </c>
      <c r="AD16" s="44">
        <v>4344</v>
      </c>
      <c r="AE16" s="44">
        <v>4791</v>
      </c>
      <c r="AF16" s="44">
        <v>6036</v>
      </c>
      <c r="AG16" s="44">
        <v>3938</v>
      </c>
      <c r="AH16" s="44">
        <v>3988</v>
      </c>
      <c r="AI16" s="44">
        <v>4876</v>
      </c>
      <c r="AJ16" s="44">
        <v>4971</v>
      </c>
      <c r="AK16" s="44">
        <v>4720</v>
      </c>
      <c r="AL16" s="44">
        <v>5943</v>
      </c>
      <c r="AM16" s="44">
        <v>5281</v>
      </c>
      <c r="AN16" s="44">
        <v>5216</v>
      </c>
      <c r="AO16" s="44">
        <v>6367</v>
      </c>
      <c r="AP16" s="44">
        <v>6679</v>
      </c>
      <c r="AQ16" s="44">
        <v>6549</v>
      </c>
      <c r="AR16" s="44">
        <v>7521</v>
      </c>
      <c r="AS16" s="44">
        <v>7245</v>
      </c>
      <c r="AT16" s="44">
        <v>7552</v>
      </c>
      <c r="AU16" s="44">
        <v>10137</v>
      </c>
      <c r="AV16" s="44">
        <v>7274</v>
      </c>
      <c r="AW16" s="44">
        <v>7376</v>
      </c>
      <c r="AX16" s="44">
        <v>9557</v>
      </c>
      <c r="AY16" s="44">
        <v>10011</v>
      </c>
      <c r="AZ16" s="44">
        <v>8570</v>
      </c>
      <c r="BA16" s="44">
        <v>9047</v>
      </c>
      <c r="BB16" s="44">
        <f>10671194/1000</f>
        <v>10671.194</v>
      </c>
      <c r="BC16" s="42"/>
      <c r="BD16" s="42"/>
    </row>
    <row r="17" spans="1:56" s="5" customFormat="1" x14ac:dyDescent="0.25">
      <c r="A17" s="14"/>
      <c r="B17" s="6"/>
      <c r="C17" s="6" t="s">
        <v>9</v>
      </c>
      <c r="D17" s="47">
        <v>4699</v>
      </c>
      <c r="E17" s="47">
        <v>5254</v>
      </c>
      <c r="F17" s="47">
        <v>5837</v>
      </c>
      <c r="G17" s="47">
        <v>5750</v>
      </c>
      <c r="H17" s="47">
        <v>5604</v>
      </c>
      <c r="I17" s="47">
        <v>5737</v>
      </c>
      <c r="J17" s="47">
        <v>6336</v>
      </c>
      <c r="K17" s="47">
        <v>4942</v>
      </c>
      <c r="L17" s="47">
        <v>5173</v>
      </c>
      <c r="M17" s="47">
        <v>7963</v>
      </c>
      <c r="N17" s="47">
        <v>7669</v>
      </c>
      <c r="O17" s="47">
        <v>7013</v>
      </c>
      <c r="P17" s="47">
        <v>7802</v>
      </c>
      <c r="Q17" s="47">
        <v>8228</v>
      </c>
      <c r="R17" s="47">
        <v>7425</v>
      </c>
      <c r="S17" s="47">
        <v>8266</v>
      </c>
      <c r="T17" s="47">
        <v>7616</v>
      </c>
      <c r="U17" s="47">
        <v>7518</v>
      </c>
      <c r="V17" s="47">
        <v>8131</v>
      </c>
      <c r="W17" s="47">
        <v>8129</v>
      </c>
      <c r="X17" s="47">
        <v>7955</v>
      </c>
      <c r="Y17" s="47">
        <v>8082</v>
      </c>
      <c r="Z17" s="47">
        <v>8118</v>
      </c>
      <c r="AA17" s="47">
        <v>8273</v>
      </c>
      <c r="AB17" s="47">
        <v>8495</v>
      </c>
      <c r="AC17" s="47">
        <v>8624</v>
      </c>
      <c r="AD17" s="47">
        <v>8343</v>
      </c>
      <c r="AE17" s="47">
        <v>8500</v>
      </c>
      <c r="AF17" s="47">
        <v>8250</v>
      </c>
      <c r="AG17" s="47">
        <v>8567</v>
      </c>
      <c r="AH17" s="47">
        <v>8400</v>
      </c>
      <c r="AI17" s="47">
        <v>8400</v>
      </c>
      <c r="AJ17" s="47">
        <v>8500</v>
      </c>
      <c r="AK17" s="47">
        <v>8500</v>
      </c>
      <c r="AL17" s="47">
        <v>8250</v>
      </c>
      <c r="AM17" s="47">
        <v>8443</v>
      </c>
      <c r="AN17" s="47">
        <v>8590</v>
      </c>
      <c r="AO17" s="47">
        <v>8800</v>
      </c>
      <c r="AP17" s="47">
        <v>8900</v>
      </c>
      <c r="AQ17" s="47">
        <v>9050</v>
      </c>
      <c r="AR17" s="47">
        <v>9250</v>
      </c>
      <c r="AS17" s="47">
        <v>9400</v>
      </c>
      <c r="AT17" s="47">
        <v>9460</v>
      </c>
      <c r="AU17" s="47">
        <v>9470</v>
      </c>
      <c r="AV17" s="47">
        <v>9480</v>
      </c>
      <c r="AW17" s="47">
        <v>9544</v>
      </c>
      <c r="AX17" s="47">
        <v>9780</v>
      </c>
      <c r="AY17" s="47">
        <v>9600</v>
      </c>
      <c r="AZ17" s="47">
        <v>9500</v>
      </c>
      <c r="BA17" s="47">
        <v>10200</v>
      </c>
      <c r="BB17" s="47">
        <f>BB14+BB15-BB16</f>
        <v>25467.808999999997</v>
      </c>
      <c r="BC17" s="43"/>
      <c r="BD17" s="43"/>
    </row>
    <row r="18" spans="1:56" x14ac:dyDescent="0.25">
      <c r="A18" s="12"/>
      <c r="B18" s="2" t="s">
        <v>13</v>
      </c>
      <c r="C18" s="2" t="s">
        <v>6</v>
      </c>
      <c r="D18" s="44">
        <v>0</v>
      </c>
      <c r="E18" s="44">
        <v>0</v>
      </c>
      <c r="F18" s="44">
        <v>0</v>
      </c>
      <c r="G18" s="44">
        <v>8</v>
      </c>
      <c r="H18" s="44">
        <v>20</v>
      </c>
      <c r="I18" s="44">
        <v>73</v>
      </c>
      <c r="J18" s="44">
        <v>114</v>
      </c>
      <c r="K18" s="44">
        <v>70</v>
      </c>
      <c r="L18" s="44">
        <v>65</v>
      </c>
      <c r="M18" s="44">
        <v>75</v>
      </c>
      <c r="N18" s="44">
        <v>100</v>
      </c>
      <c r="O18" s="44">
        <v>135</v>
      </c>
      <c r="P18" s="44">
        <v>120</v>
      </c>
      <c r="Q18" s="44">
        <v>170</v>
      </c>
      <c r="R18" s="44">
        <v>280</v>
      </c>
      <c r="S18" s="44">
        <v>300</v>
      </c>
      <c r="T18" s="44">
        <v>250</v>
      </c>
      <c r="U18" s="44">
        <v>200</v>
      </c>
      <c r="V18" s="44">
        <v>230</v>
      </c>
      <c r="W18" s="44">
        <v>260</v>
      </c>
      <c r="X18" s="44">
        <v>350</v>
      </c>
      <c r="Y18" s="44">
        <v>330</v>
      </c>
      <c r="Z18" s="44">
        <v>236</v>
      </c>
      <c r="AA18" s="44">
        <v>327</v>
      </c>
      <c r="AB18" s="44">
        <v>374</v>
      </c>
      <c r="AC18" s="44">
        <v>320</v>
      </c>
      <c r="AD18" s="44">
        <v>280</v>
      </c>
      <c r="AE18" s="44">
        <v>192</v>
      </c>
      <c r="AF18" s="44">
        <v>215</v>
      </c>
      <c r="AG18" s="44">
        <v>230</v>
      </c>
      <c r="AH18" s="44">
        <v>237</v>
      </c>
      <c r="AI18" s="44">
        <v>250</v>
      </c>
      <c r="AJ18" s="44">
        <v>250</v>
      </c>
      <c r="AK18" s="44">
        <v>208</v>
      </c>
      <c r="AL18" s="44">
        <v>228</v>
      </c>
      <c r="AM18" s="44">
        <v>194</v>
      </c>
      <c r="AN18" s="44">
        <v>225</v>
      </c>
      <c r="AO18" s="44">
        <v>156</v>
      </c>
      <c r="AP18" s="44">
        <v>146</v>
      </c>
      <c r="AQ18" s="44">
        <v>142</v>
      </c>
      <c r="AR18" s="44">
        <v>148</v>
      </c>
      <c r="AS18" s="44">
        <v>144</v>
      </c>
      <c r="AT18" s="44">
        <v>132</v>
      </c>
      <c r="AU18" s="44">
        <v>96</v>
      </c>
      <c r="AV18" s="44">
        <v>93</v>
      </c>
      <c r="AW18" s="44">
        <v>95</v>
      </c>
      <c r="AX18" s="44">
        <v>53</v>
      </c>
      <c r="AY18" s="44">
        <v>57</v>
      </c>
      <c r="AZ18" s="44">
        <v>55</v>
      </c>
      <c r="BA18" s="44">
        <v>54</v>
      </c>
      <c r="BB18" s="44">
        <f>52250/1000</f>
        <v>52.25</v>
      </c>
      <c r="BC18" s="42">
        <f>55000/1000</f>
        <v>55</v>
      </c>
      <c r="BD18" s="42">
        <f>57000/1000</f>
        <v>57</v>
      </c>
    </row>
    <row r="19" spans="1:56" x14ac:dyDescent="0.25">
      <c r="A19" s="12"/>
      <c r="B19" s="2"/>
      <c r="C19" s="2" t="s">
        <v>8</v>
      </c>
      <c r="D19" s="44">
        <v>0</v>
      </c>
      <c r="E19" s="44">
        <v>0</v>
      </c>
      <c r="F19" s="44">
        <v>0</v>
      </c>
      <c r="G19" s="44">
        <v>0</v>
      </c>
      <c r="H19" s="44">
        <v>13</v>
      </c>
      <c r="I19" s="44">
        <v>54</v>
      </c>
      <c r="J19" s="44">
        <v>103</v>
      </c>
      <c r="K19" s="44">
        <v>94</v>
      </c>
      <c r="L19" s="44">
        <v>54</v>
      </c>
      <c r="M19" s="44">
        <v>57</v>
      </c>
      <c r="N19" s="44">
        <v>80</v>
      </c>
      <c r="O19" s="44">
        <v>131</v>
      </c>
      <c r="P19" s="44">
        <v>97</v>
      </c>
      <c r="Q19" s="44">
        <v>188</v>
      </c>
      <c r="R19" s="44">
        <v>207</v>
      </c>
      <c r="S19" s="44">
        <v>170</v>
      </c>
      <c r="T19" s="44">
        <v>165</v>
      </c>
      <c r="U19" s="44">
        <v>104</v>
      </c>
      <c r="V19" s="44">
        <v>174</v>
      </c>
      <c r="W19" s="44">
        <v>189</v>
      </c>
      <c r="X19" s="44">
        <v>255</v>
      </c>
      <c r="Y19" s="44">
        <v>252</v>
      </c>
      <c r="Z19" s="44">
        <v>190</v>
      </c>
      <c r="AA19" s="44">
        <v>290</v>
      </c>
      <c r="AB19" s="44">
        <v>342</v>
      </c>
      <c r="AC19" s="44">
        <v>268</v>
      </c>
      <c r="AD19" s="44">
        <v>142</v>
      </c>
      <c r="AE19" s="44">
        <v>25</v>
      </c>
      <c r="AF19" s="44">
        <v>36</v>
      </c>
      <c r="AG19" s="44">
        <v>1</v>
      </c>
      <c r="AH19" s="44">
        <v>97</v>
      </c>
      <c r="AI19" s="44">
        <v>4</v>
      </c>
      <c r="AJ19" s="44">
        <v>6</v>
      </c>
      <c r="AK19" s="44">
        <v>3</v>
      </c>
      <c r="AL19" s="44">
        <v>1</v>
      </c>
      <c r="AM19" s="44">
        <v>0</v>
      </c>
      <c r="AN19" s="44">
        <v>4</v>
      </c>
      <c r="AO19" s="44">
        <v>2</v>
      </c>
      <c r="AP19" s="44">
        <v>7</v>
      </c>
      <c r="AQ19" s="44">
        <v>0</v>
      </c>
      <c r="AR19" s="44">
        <v>11</v>
      </c>
      <c r="AS19" s="44">
        <v>16</v>
      </c>
      <c r="AT19" s="44">
        <v>31</v>
      </c>
      <c r="AU19" s="44">
        <v>21</v>
      </c>
      <c r="AV19" s="44">
        <v>4</v>
      </c>
      <c r="AW19" s="44">
        <v>13</v>
      </c>
      <c r="AX19" s="44">
        <v>16</v>
      </c>
      <c r="AY19" s="44">
        <v>24</v>
      </c>
      <c r="AZ19" s="44">
        <v>9</v>
      </c>
      <c r="BA19" s="44">
        <v>21</v>
      </c>
      <c r="BB19" s="44">
        <f>2708/1000</f>
        <v>2.7080000000000002</v>
      </c>
      <c r="BC19" s="42"/>
      <c r="BD19" s="42"/>
    </row>
    <row r="20" spans="1:56" s="5" customFormat="1" x14ac:dyDescent="0.25">
      <c r="A20" s="14"/>
      <c r="B20" s="6"/>
      <c r="C20" s="6" t="s">
        <v>9</v>
      </c>
      <c r="D20" s="47">
        <v>0</v>
      </c>
      <c r="E20" s="47">
        <v>0</v>
      </c>
      <c r="F20" s="47">
        <v>0</v>
      </c>
      <c r="G20" s="47">
        <v>5</v>
      </c>
      <c r="H20" s="47">
        <v>1</v>
      </c>
      <c r="I20" s="47">
        <v>2</v>
      </c>
      <c r="J20" s="47">
        <v>4</v>
      </c>
      <c r="K20" s="47">
        <v>3</v>
      </c>
      <c r="L20" s="47">
        <v>7</v>
      </c>
      <c r="M20" s="47">
        <v>10</v>
      </c>
      <c r="N20" s="47">
        <v>10</v>
      </c>
      <c r="O20" s="47">
        <v>11</v>
      </c>
      <c r="P20" s="47">
        <v>12</v>
      </c>
      <c r="Q20" s="47">
        <v>10</v>
      </c>
      <c r="R20" s="47">
        <v>40</v>
      </c>
      <c r="S20" s="47">
        <v>81</v>
      </c>
      <c r="T20" s="47">
        <v>91</v>
      </c>
      <c r="U20" s="47">
        <v>95</v>
      </c>
      <c r="V20" s="47">
        <v>97</v>
      </c>
      <c r="W20" s="47">
        <v>104</v>
      </c>
      <c r="X20" s="47">
        <v>90</v>
      </c>
      <c r="Y20" s="47">
        <v>77</v>
      </c>
      <c r="Z20" s="47">
        <v>22</v>
      </c>
      <c r="AA20" s="47">
        <v>29</v>
      </c>
      <c r="AB20" s="47">
        <v>27</v>
      </c>
      <c r="AC20" s="47">
        <v>45</v>
      </c>
      <c r="AD20" s="47">
        <v>160</v>
      </c>
      <c r="AE20" s="47">
        <v>190</v>
      </c>
      <c r="AF20" s="47">
        <v>183</v>
      </c>
      <c r="AG20" s="47">
        <v>210</v>
      </c>
      <c r="AH20" s="47">
        <v>146</v>
      </c>
      <c r="AI20" s="47">
        <v>246</v>
      </c>
      <c r="AJ20" s="47">
        <v>255</v>
      </c>
      <c r="AK20" s="47">
        <v>217</v>
      </c>
      <c r="AL20" s="47">
        <v>253</v>
      </c>
      <c r="AM20" s="47">
        <v>199</v>
      </c>
      <c r="AN20" s="47">
        <v>238</v>
      </c>
      <c r="AO20" s="47">
        <v>167</v>
      </c>
      <c r="AP20" s="47">
        <v>140</v>
      </c>
      <c r="AQ20" s="47">
        <v>143</v>
      </c>
      <c r="AR20" s="47">
        <v>130</v>
      </c>
      <c r="AS20" s="47">
        <v>129</v>
      </c>
      <c r="AT20" s="47">
        <v>100</v>
      </c>
      <c r="AU20" s="47">
        <v>80</v>
      </c>
      <c r="AV20" s="47">
        <v>70</v>
      </c>
      <c r="AW20" s="47">
        <v>90</v>
      </c>
      <c r="AX20" s="47">
        <v>50</v>
      </c>
      <c r="AY20" s="47">
        <v>35</v>
      </c>
      <c r="AZ20" s="47">
        <v>46</v>
      </c>
      <c r="BA20" s="47">
        <v>33</v>
      </c>
      <c r="BB20" s="47">
        <f>BB18-BB19</f>
        <v>49.542000000000002</v>
      </c>
      <c r="BC20" s="43"/>
      <c r="BD20" s="43"/>
    </row>
    <row r="21" spans="1:56" x14ac:dyDescent="0.25">
      <c r="A21" s="14"/>
      <c r="B21" s="6" t="s">
        <v>14</v>
      </c>
      <c r="C21" s="6" t="s">
        <v>42</v>
      </c>
      <c r="D21" s="47">
        <f>2000000/1000</f>
        <v>2000</v>
      </c>
      <c r="E21" s="47">
        <f>1980000/1000</f>
        <v>1980</v>
      </c>
      <c r="F21" s="47">
        <f>1695000/1000</f>
        <v>1695</v>
      </c>
      <c r="G21" s="47">
        <f>2387000/1000</f>
        <v>2387</v>
      </c>
      <c r="H21" s="47">
        <f>3913000/1000</f>
        <v>3913</v>
      </c>
      <c r="I21" s="47">
        <f>3045000/1000</f>
        <v>3045</v>
      </c>
      <c r="J21" s="47">
        <f>2535000/1000</f>
        <v>2535</v>
      </c>
      <c r="K21" s="47">
        <f>2379000/1000</f>
        <v>2379</v>
      </c>
      <c r="L21" s="47">
        <f>4399000/1000</f>
        <v>4399</v>
      </c>
      <c r="M21" s="47">
        <f>5102000/1000</f>
        <v>5102</v>
      </c>
      <c r="N21" s="47">
        <f>5686000/1000</f>
        <v>5686</v>
      </c>
      <c r="O21" s="47">
        <f>5926000/1000</f>
        <v>5926</v>
      </c>
      <c r="P21" s="47">
        <f>9513000/1000</f>
        <v>9513</v>
      </c>
      <c r="Q21" s="47">
        <f>13338800/1000</f>
        <v>13338.8</v>
      </c>
      <c r="R21" s="47">
        <f>14592300/1000</f>
        <v>14592.3</v>
      </c>
      <c r="S21" s="47">
        <f>19909744/1000</f>
        <v>19909.743999999999</v>
      </c>
      <c r="T21" s="47">
        <f>26094448/1000</f>
        <v>26094.448</v>
      </c>
      <c r="U21" s="47">
        <f>18941216/1000</f>
        <v>18941.216</v>
      </c>
      <c r="V21" s="47">
        <f>20560528/1000</f>
        <v>20560.527999999998</v>
      </c>
      <c r="W21" s="47">
        <f>12826662/1000</f>
        <v>12826.662</v>
      </c>
      <c r="X21" s="47">
        <f>19853664/1000</f>
        <v>19853.664000000001</v>
      </c>
      <c r="Y21" s="47">
        <f>30200000/1000</f>
        <v>30200</v>
      </c>
      <c r="Z21" s="47">
        <f>24407408/1000</f>
        <v>24407.407999999999</v>
      </c>
      <c r="AA21" s="47">
        <f>23869488/1000</f>
        <v>23869.488000000001</v>
      </c>
      <c r="AB21" s="47">
        <f>25055024/1000</f>
        <v>25055.024000000001</v>
      </c>
      <c r="AC21" s="47">
        <f>24093168/1000</f>
        <v>24093.168000000001</v>
      </c>
      <c r="AD21" s="47">
        <f>24449936/1000</f>
        <v>24449.936000000002</v>
      </c>
      <c r="AE21" s="47">
        <f>27191184/1000</f>
        <v>27191.184000000001</v>
      </c>
      <c r="AF21" s="47">
        <f>36668000/1000</f>
        <v>36668</v>
      </c>
      <c r="AG21" s="47">
        <f>33561000/1000</f>
        <v>33561</v>
      </c>
      <c r="AH21" s="47">
        <f>40661000/1000</f>
        <v>40661</v>
      </c>
      <c r="AI21" s="47">
        <f>47480000/1000</f>
        <v>47480</v>
      </c>
      <c r="AJ21" s="47">
        <f>39827000/1000</f>
        <v>39827</v>
      </c>
      <c r="AK21" s="47">
        <f>37823000/1000</f>
        <v>37823</v>
      </c>
      <c r="AL21" s="47">
        <f>50597000/1000</f>
        <v>50597</v>
      </c>
      <c r="AM21" s="47">
        <f>57974000/1000</f>
        <v>57974</v>
      </c>
      <c r="AN21" s="47">
        <f>56394000/1000</f>
        <v>56394</v>
      </c>
      <c r="AO21" s="47">
        <f>46873000/1000</f>
        <v>46873</v>
      </c>
      <c r="AP21" s="47">
        <f>50332000/1000</f>
        <v>50332</v>
      </c>
      <c r="AQ21" s="47">
        <f>54052125/1000</f>
        <v>54052.125</v>
      </c>
      <c r="AR21" s="47">
        <f>49562886/1000</f>
        <v>49562.885999999999</v>
      </c>
      <c r="AS21" s="47">
        <f>60012977/1000</f>
        <v>60012.976999999999</v>
      </c>
      <c r="AT21" s="47">
        <f>74258521/1000</f>
        <v>74258.520999999993</v>
      </c>
      <c r="AU21" s="47">
        <f>64995741/1000</f>
        <v>64995.741000000002</v>
      </c>
      <c r="AV21" s="47">
        <f>49586360/1000</f>
        <v>49586.36</v>
      </c>
      <c r="AW21" s="47">
        <f>47658097/1000</f>
        <v>47658.097000000002</v>
      </c>
      <c r="AX21" s="47">
        <f>64365482/1000</f>
        <v>64365.482000000004</v>
      </c>
      <c r="AY21" s="47">
        <f>73501611/1000</f>
        <v>73501.611000000004</v>
      </c>
      <c r="AZ21" s="47">
        <f>66816446/1000</f>
        <v>66816.445999999996</v>
      </c>
      <c r="BA21" s="47">
        <f>68807800/1000</f>
        <v>68807.8</v>
      </c>
      <c r="BB21" s="48">
        <f>95950416/1000</f>
        <v>95950.415999999997</v>
      </c>
      <c r="BC21" s="42">
        <f>98400000/1000</f>
        <v>98400</v>
      </c>
      <c r="BD21" s="42">
        <f>100096000/1000</f>
        <v>100096</v>
      </c>
    </row>
    <row r="22" spans="1:56" s="5" customFormat="1" x14ac:dyDescent="0.25">
      <c r="A22" s="14"/>
      <c r="B22" s="2"/>
      <c r="C22" s="2" t="s">
        <v>45</v>
      </c>
      <c r="D22" s="44">
        <v>0</v>
      </c>
      <c r="E22" s="44">
        <v>0</v>
      </c>
      <c r="F22" s="44">
        <v>0</v>
      </c>
      <c r="G22" s="44">
        <v>0</v>
      </c>
      <c r="H22" s="44">
        <v>0</v>
      </c>
      <c r="I22" s="44">
        <v>0</v>
      </c>
      <c r="J22" s="44">
        <v>0</v>
      </c>
      <c r="K22" s="44">
        <v>0</v>
      </c>
      <c r="L22" s="44">
        <v>0</v>
      </c>
      <c r="M22" s="44">
        <v>0</v>
      </c>
      <c r="N22" s="44">
        <v>0</v>
      </c>
      <c r="O22" s="44">
        <v>0</v>
      </c>
      <c r="P22" s="44">
        <v>0</v>
      </c>
      <c r="Q22" s="44">
        <v>0</v>
      </c>
      <c r="R22" s="44">
        <v>0</v>
      </c>
      <c r="S22" s="44">
        <v>0</v>
      </c>
      <c r="T22" s="44">
        <v>0</v>
      </c>
      <c r="U22" s="44">
        <v>0</v>
      </c>
      <c r="V22" s="44">
        <v>0</v>
      </c>
      <c r="W22" s="44">
        <v>79</v>
      </c>
      <c r="X22" s="44">
        <v>0</v>
      </c>
      <c r="Y22" s="44">
        <v>0</v>
      </c>
      <c r="Z22" s="44">
        <v>0</v>
      </c>
      <c r="AA22" s="44">
        <v>0</v>
      </c>
      <c r="AB22" s="44">
        <v>0</v>
      </c>
      <c r="AC22" s="44">
        <v>0</v>
      </c>
      <c r="AD22" s="44">
        <v>0</v>
      </c>
      <c r="AE22" s="44">
        <v>0</v>
      </c>
      <c r="AF22" s="44">
        <v>0</v>
      </c>
      <c r="AG22" s="44">
        <v>0</v>
      </c>
      <c r="AH22" s="44">
        <v>0</v>
      </c>
      <c r="AI22" s="44">
        <v>0</v>
      </c>
      <c r="AJ22" s="44">
        <v>0</v>
      </c>
      <c r="AK22" s="44">
        <v>0</v>
      </c>
      <c r="AL22" s="44">
        <v>0</v>
      </c>
      <c r="AM22" s="44">
        <v>0</v>
      </c>
      <c r="AN22" s="44">
        <v>0</v>
      </c>
      <c r="AO22" s="44">
        <v>0</v>
      </c>
      <c r="AP22" s="44">
        <v>0</v>
      </c>
      <c r="AQ22" s="44">
        <v>0</v>
      </c>
      <c r="AR22" s="44">
        <v>0</v>
      </c>
      <c r="AS22" s="44">
        <v>0</v>
      </c>
      <c r="AT22" s="44">
        <v>0</v>
      </c>
      <c r="AU22" s="44">
        <v>0</v>
      </c>
      <c r="AV22" s="44">
        <v>0</v>
      </c>
      <c r="AW22" s="44">
        <v>0</v>
      </c>
      <c r="AX22" s="44">
        <v>0</v>
      </c>
      <c r="AY22" s="44">
        <v>0</v>
      </c>
      <c r="AZ22" s="44">
        <v>0</v>
      </c>
      <c r="BA22" s="44">
        <v>0</v>
      </c>
      <c r="BB22" s="45">
        <v>0</v>
      </c>
      <c r="BC22" s="43"/>
      <c r="BD22" s="43"/>
    </row>
    <row r="23" spans="1:56" x14ac:dyDescent="0.25">
      <c r="A23" s="14"/>
      <c r="B23" s="6"/>
      <c r="C23" s="6" t="s">
        <v>44</v>
      </c>
      <c r="D23" s="47">
        <v>2</v>
      </c>
      <c r="E23" s="47">
        <v>40</v>
      </c>
      <c r="F23" s="47">
        <v>81</v>
      </c>
      <c r="G23" s="47">
        <v>133</v>
      </c>
      <c r="H23" s="47">
        <v>52</v>
      </c>
      <c r="I23" s="47">
        <v>55</v>
      </c>
      <c r="J23" s="47">
        <v>15</v>
      </c>
      <c r="K23" s="47">
        <v>0</v>
      </c>
      <c r="L23" s="47">
        <v>16</v>
      </c>
      <c r="M23" s="47">
        <v>57</v>
      </c>
      <c r="N23" s="47">
        <v>175</v>
      </c>
      <c r="O23" s="47">
        <v>219</v>
      </c>
      <c r="P23" s="47">
        <v>235</v>
      </c>
      <c r="Q23" s="47">
        <v>429</v>
      </c>
      <c r="R23" s="47">
        <v>486</v>
      </c>
      <c r="S23" s="47">
        <v>1050</v>
      </c>
      <c r="T23" s="47">
        <v>1530</v>
      </c>
      <c r="U23" s="47">
        <v>1133</v>
      </c>
      <c r="V23" s="47">
        <v>1443</v>
      </c>
      <c r="W23" s="47">
        <v>569</v>
      </c>
      <c r="X23" s="47">
        <v>1001</v>
      </c>
      <c r="Y23" s="47">
        <v>2291</v>
      </c>
      <c r="Z23" s="47">
        <v>1393</v>
      </c>
      <c r="AA23" s="47">
        <v>1375</v>
      </c>
      <c r="AB23" s="47">
        <v>1830</v>
      </c>
      <c r="AC23" s="47">
        <v>2060</v>
      </c>
      <c r="AD23" s="47">
        <v>1960</v>
      </c>
      <c r="AE23" s="47">
        <v>1892</v>
      </c>
      <c r="AF23" s="47">
        <v>3004</v>
      </c>
      <c r="AG23" s="47">
        <v>2611</v>
      </c>
      <c r="AH23" s="47">
        <v>2741</v>
      </c>
      <c r="AI23" s="47">
        <v>3657</v>
      </c>
      <c r="AJ23" s="47">
        <v>2332</v>
      </c>
      <c r="AK23" s="47">
        <v>2718</v>
      </c>
      <c r="AL23" s="47">
        <v>3809</v>
      </c>
      <c r="AM23" s="47">
        <v>4537</v>
      </c>
      <c r="AN23" s="47">
        <v>4194</v>
      </c>
      <c r="AO23" s="47">
        <v>2839</v>
      </c>
      <c r="AP23" s="47">
        <v>3352</v>
      </c>
      <c r="AQ23" s="47">
        <v>4147</v>
      </c>
      <c r="AR23" s="47">
        <v>3394</v>
      </c>
      <c r="AS23" s="47">
        <v>4157</v>
      </c>
      <c r="AT23" s="47">
        <v>5280</v>
      </c>
      <c r="AU23" s="47">
        <v>4860</v>
      </c>
      <c r="AV23" s="47">
        <v>3115</v>
      </c>
      <c r="AW23" s="47">
        <v>2242</v>
      </c>
      <c r="AX23" s="47">
        <v>4705</v>
      </c>
      <c r="AY23" s="47">
        <v>4914</v>
      </c>
      <c r="AZ23" s="47">
        <v>5295</v>
      </c>
      <c r="BA23" s="47">
        <v>5900</v>
      </c>
      <c r="BB23" s="48">
        <v>4700</v>
      </c>
      <c r="BC23" s="42"/>
      <c r="BD23" s="42"/>
    </row>
    <row r="24" spans="1:56" s="5" customFormat="1" ht="30" x14ac:dyDescent="0.25">
      <c r="A24" s="14"/>
      <c r="B24" s="2"/>
      <c r="C24" s="2" t="s">
        <v>43</v>
      </c>
      <c r="D24" s="44">
        <f>D21+D22-D23</f>
        <v>1998</v>
      </c>
      <c r="E24" s="44">
        <f t="shared" ref="E24:BB24" si="0">E21+E22-E23</f>
        <v>1940</v>
      </c>
      <c r="F24" s="44">
        <f t="shared" si="0"/>
        <v>1614</v>
      </c>
      <c r="G24" s="44">
        <f t="shared" si="0"/>
        <v>2254</v>
      </c>
      <c r="H24" s="44">
        <f t="shared" si="0"/>
        <v>3861</v>
      </c>
      <c r="I24" s="44">
        <f t="shared" si="0"/>
        <v>2990</v>
      </c>
      <c r="J24" s="44">
        <f t="shared" si="0"/>
        <v>2520</v>
      </c>
      <c r="K24" s="44">
        <f t="shared" si="0"/>
        <v>2379</v>
      </c>
      <c r="L24" s="44">
        <f t="shared" si="0"/>
        <v>4383</v>
      </c>
      <c r="M24" s="44">
        <f t="shared" si="0"/>
        <v>5045</v>
      </c>
      <c r="N24" s="44">
        <f t="shared" si="0"/>
        <v>5511</v>
      </c>
      <c r="O24" s="44">
        <f t="shared" si="0"/>
        <v>5707</v>
      </c>
      <c r="P24" s="44">
        <f t="shared" si="0"/>
        <v>9278</v>
      </c>
      <c r="Q24" s="44">
        <f t="shared" si="0"/>
        <v>12909.8</v>
      </c>
      <c r="R24" s="44">
        <f t="shared" si="0"/>
        <v>14106.3</v>
      </c>
      <c r="S24" s="44">
        <f t="shared" si="0"/>
        <v>18859.743999999999</v>
      </c>
      <c r="T24" s="44">
        <f t="shared" si="0"/>
        <v>24564.448</v>
      </c>
      <c r="U24" s="44">
        <f t="shared" si="0"/>
        <v>17808.216</v>
      </c>
      <c r="V24" s="44">
        <f t="shared" si="0"/>
        <v>19117.527999999998</v>
      </c>
      <c r="W24" s="44">
        <f t="shared" si="0"/>
        <v>12336.662</v>
      </c>
      <c r="X24" s="44">
        <f t="shared" si="0"/>
        <v>18852.664000000001</v>
      </c>
      <c r="Y24" s="44">
        <f t="shared" si="0"/>
        <v>27909</v>
      </c>
      <c r="Z24" s="44">
        <f t="shared" si="0"/>
        <v>23014.407999999999</v>
      </c>
      <c r="AA24" s="44">
        <f t="shared" si="0"/>
        <v>22494.488000000001</v>
      </c>
      <c r="AB24" s="44">
        <f t="shared" si="0"/>
        <v>23225.024000000001</v>
      </c>
      <c r="AC24" s="44">
        <f t="shared" si="0"/>
        <v>22033.168000000001</v>
      </c>
      <c r="AD24" s="44">
        <f t="shared" si="0"/>
        <v>22489.936000000002</v>
      </c>
      <c r="AE24" s="44">
        <f t="shared" si="0"/>
        <v>25299.184000000001</v>
      </c>
      <c r="AF24" s="44">
        <f t="shared" si="0"/>
        <v>33664</v>
      </c>
      <c r="AG24" s="44">
        <f t="shared" si="0"/>
        <v>30950</v>
      </c>
      <c r="AH24" s="44">
        <f t="shared" si="0"/>
        <v>37920</v>
      </c>
      <c r="AI24" s="44">
        <f t="shared" si="0"/>
        <v>43823</v>
      </c>
      <c r="AJ24" s="44">
        <f t="shared" si="0"/>
        <v>37495</v>
      </c>
      <c r="AK24" s="44">
        <f t="shared" si="0"/>
        <v>35105</v>
      </c>
      <c r="AL24" s="44">
        <f t="shared" si="0"/>
        <v>46788</v>
      </c>
      <c r="AM24" s="44">
        <f t="shared" si="0"/>
        <v>53437</v>
      </c>
      <c r="AN24" s="44">
        <f t="shared" si="0"/>
        <v>52200</v>
      </c>
      <c r="AO24" s="44">
        <f t="shared" si="0"/>
        <v>44034</v>
      </c>
      <c r="AP24" s="44">
        <f t="shared" si="0"/>
        <v>46980</v>
      </c>
      <c r="AQ24" s="44">
        <f t="shared" si="0"/>
        <v>49905.125</v>
      </c>
      <c r="AR24" s="44">
        <f t="shared" si="0"/>
        <v>46168.885999999999</v>
      </c>
      <c r="AS24" s="44">
        <f t="shared" si="0"/>
        <v>55855.976999999999</v>
      </c>
      <c r="AT24" s="44">
        <f t="shared" si="0"/>
        <v>68978.520999999993</v>
      </c>
      <c r="AU24" s="44">
        <f t="shared" si="0"/>
        <v>60135.741000000002</v>
      </c>
      <c r="AV24" s="44">
        <f t="shared" si="0"/>
        <v>46471.360000000001</v>
      </c>
      <c r="AW24" s="44">
        <f t="shared" si="0"/>
        <v>45416.097000000002</v>
      </c>
      <c r="AX24" s="44">
        <f t="shared" si="0"/>
        <v>59660.482000000004</v>
      </c>
      <c r="AY24" s="44">
        <f t="shared" si="0"/>
        <v>68587.611000000004</v>
      </c>
      <c r="AZ24" s="44">
        <f t="shared" si="0"/>
        <v>61521.445999999996</v>
      </c>
      <c r="BA24" s="44">
        <f t="shared" si="0"/>
        <v>62907.8</v>
      </c>
      <c r="BB24" s="44">
        <f t="shared" si="0"/>
        <v>91250.415999999997</v>
      </c>
      <c r="BC24" s="44"/>
      <c r="BD24" s="44"/>
    </row>
    <row r="25" spans="1:56" s="5" customFormat="1" x14ac:dyDescent="0.25">
      <c r="A25" s="14"/>
      <c r="B25" s="6" t="s">
        <v>15</v>
      </c>
      <c r="C25" s="6" t="s">
        <v>7</v>
      </c>
      <c r="D25" s="47">
        <v>32</v>
      </c>
      <c r="E25" s="47">
        <v>35</v>
      </c>
      <c r="F25" s="47">
        <v>32</v>
      </c>
      <c r="G25" s="47">
        <v>37</v>
      </c>
      <c r="H25" s="47">
        <v>38</v>
      </c>
      <c r="I25" s="47">
        <v>47</v>
      </c>
      <c r="J25" s="47">
        <v>59</v>
      </c>
      <c r="K25" s="47">
        <v>66</v>
      </c>
      <c r="L25" s="47">
        <v>63</v>
      </c>
      <c r="M25" s="47">
        <v>71</v>
      </c>
      <c r="N25" s="47">
        <v>66</v>
      </c>
      <c r="O25" s="47">
        <v>80</v>
      </c>
      <c r="P25" s="47">
        <v>74</v>
      </c>
      <c r="Q25" s="47">
        <v>93</v>
      </c>
      <c r="R25" s="47">
        <v>68</v>
      </c>
      <c r="S25" s="47">
        <v>95</v>
      </c>
      <c r="T25" s="47">
        <v>116</v>
      </c>
      <c r="U25" s="47">
        <v>150</v>
      </c>
      <c r="V25" s="47">
        <v>170</v>
      </c>
      <c r="W25" s="47">
        <v>248</v>
      </c>
      <c r="X25" s="47">
        <v>160</v>
      </c>
      <c r="Y25" s="47">
        <v>201</v>
      </c>
      <c r="Z25" s="47">
        <v>154</v>
      </c>
      <c r="AA25" s="47">
        <v>200</v>
      </c>
      <c r="AB25" s="47">
        <v>190</v>
      </c>
      <c r="AC25" s="47">
        <v>166</v>
      </c>
      <c r="AD25" s="47">
        <v>136</v>
      </c>
      <c r="AE25" s="47">
        <v>268</v>
      </c>
      <c r="AF25" s="47">
        <v>259</v>
      </c>
      <c r="AG25" s="47">
        <v>354</v>
      </c>
      <c r="AH25" s="47">
        <v>436</v>
      </c>
      <c r="AI25" s="47">
        <v>533</v>
      </c>
      <c r="AJ25" s="47">
        <v>630</v>
      </c>
      <c r="AK25" s="47">
        <v>745</v>
      </c>
      <c r="AL25" s="47">
        <v>696</v>
      </c>
      <c r="AM25" s="47">
        <v>794</v>
      </c>
      <c r="AN25" s="47">
        <v>696</v>
      </c>
      <c r="AO25" s="47">
        <v>659</v>
      </c>
      <c r="AP25" s="47">
        <v>830</v>
      </c>
      <c r="AQ25" s="47">
        <v>809</v>
      </c>
      <c r="AR25" s="47">
        <v>941</v>
      </c>
      <c r="AS25" s="47">
        <v>967</v>
      </c>
      <c r="AT25" s="47">
        <v>895</v>
      </c>
      <c r="AU25" s="47">
        <v>1139</v>
      </c>
      <c r="AV25" s="47">
        <v>1081</v>
      </c>
      <c r="AW25" s="47">
        <v>1176</v>
      </c>
      <c r="AX25" s="47">
        <v>1189</v>
      </c>
      <c r="AY25" s="47">
        <v>1072</v>
      </c>
      <c r="AZ25" s="47">
        <v>1128</v>
      </c>
      <c r="BA25" s="47">
        <v>1600</v>
      </c>
      <c r="BB25" s="47">
        <f>1426210/1000</f>
        <v>1426.21</v>
      </c>
      <c r="BC25" s="43"/>
      <c r="BD25" s="43"/>
    </row>
    <row r="26" spans="1:56" x14ac:dyDescent="0.25">
      <c r="A26" s="12"/>
      <c r="B26" s="2"/>
      <c r="C26" s="2" t="s">
        <v>8</v>
      </c>
      <c r="D26" s="44">
        <v>0</v>
      </c>
      <c r="E26" s="44">
        <v>0</v>
      </c>
      <c r="F26" s="44">
        <v>0</v>
      </c>
      <c r="G26" s="44">
        <v>0</v>
      </c>
      <c r="H26" s="44">
        <v>0</v>
      </c>
      <c r="I26" s="44">
        <v>0</v>
      </c>
      <c r="J26" s="44">
        <v>0</v>
      </c>
      <c r="K26" s="44">
        <v>0</v>
      </c>
      <c r="L26" s="44">
        <v>0</v>
      </c>
      <c r="M26" s="44">
        <v>1</v>
      </c>
      <c r="N26" s="44">
        <v>3</v>
      </c>
      <c r="O26" s="44">
        <v>0</v>
      </c>
      <c r="P26" s="44">
        <v>0</v>
      </c>
      <c r="Q26" s="44">
        <v>0</v>
      </c>
      <c r="R26" s="44">
        <v>0</v>
      </c>
      <c r="S26" s="44">
        <v>0</v>
      </c>
      <c r="T26" s="44">
        <v>0</v>
      </c>
      <c r="U26" s="44">
        <v>0</v>
      </c>
      <c r="V26" s="44">
        <v>0</v>
      </c>
      <c r="W26" s="44">
        <v>0</v>
      </c>
      <c r="X26" s="44">
        <v>0</v>
      </c>
      <c r="Y26" s="44">
        <v>0</v>
      </c>
      <c r="Z26" s="44">
        <v>0</v>
      </c>
      <c r="AA26" s="44">
        <v>0</v>
      </c>
      <c r="AB26" s="44">
        <v>0</v>
      </c>
      <c r="AC26" s="44">
        <v>0</v>
      </c>
      <c r="AD26" s="44">
        <v>5</v>
      </c>
      <c r="AE26" s="44">
        <v>4</v>
      </c>
      <c r="AF26" s="44">
        <v>5</v>
      </c>
      <c r="AG26" s="44">
        <v>8</v>
      </c>
      <c r="AH26" s="44">
        <v>30</v>
      </c>
      <c r="AI26" s="44">
        <v>31</v>
      </c>
      <c r="AJ26" s="44">
        <v>47</v>
      </c>
      <c r="AK26" s="44">
        <v>38</v>
      </c>
      <c r="AL26" s="44">
        <v>45</v>
      </c>
      <c r="AM26" s="44">
        <v>61</v>
      </c>
      <c r="AN26" s="44">
        <v>65</v>
      </c>
      <c r="AO26" s="44">
        <v>70</v>
      </c>
      <c r="AP26" s="44">
        <v>68</v>
      </c>
      <c r="AQ26" s="44">
        <v>80</v>
      </c>
      <c r="AR26" s="44">
        <v>68</v>
      </c>
      <c r="AS26" s="44">
        <v>78</v>
      </c>
      <c r="AT26" s="44">
        <v>78</v>
      </c>
      <c r="AU26" s="44">
        <v>81</v>
      </c>
      <c r="AV26" s="44">
        <v>83</v>
      </c>
      <c r="AW26" s="44">
        <v>93</v>
      </c>
      <c r="AX26" s="44">
        <v>112</v>
      </c>
      <c r="AY26" s="44">
        <v>140</v>
      </c>
      <c r="AZ26" s="44">
        <v>147</v>
      </c>
      <c r="BA26" s="44">
        <v>154</v>
      </c>
      <c r="BB26" s="44">
        <f>11/1000</f>
        <v>1.0999999999999999E-2</v>
      </c>
      <c r="BC26" s="42"/>
      <c r="BD26" s="42"/>
    </row>
    <row r="27" spans="1:56" s="5" customFormat="1" x14ac:dyDescent="0.25">
      <c r="A27" s="14"/>
      <c r="B27" s="6"/>
      <c r="C27" s="6" t="s">
        <v>9</v>
      </c>
      <c r="D27" s="47">
        <v>32</v>
      </c>
      <c r="E27" s="47">
        <v>35</v>
      </c>
      <c r="F27" s="47">
        <v>32</v>
      </c>
      <c r="G27" s="47">
        <v>35</v>
      </c>
      <c r="H27" s="47">
        <v>37</v>
      </c>
      <c r="I27" s="47">
        <v>45</v>
      </c>
      <c r="J27" s="47">
        <v>54</v>
      </c>
      <c r="K27" s="47">
        <v>61</v>
      </c>
      <c r="L27" s="47">
        <v>63</v>
      </c>
      <c r="M27" s="47">
        <v>65</v>
      </c>
      <c r="N27" s="47">
        <v>64</v>
      </c>
      <c r="O27" s="47">
        <v>79</v>
      </c>
      <c r="P27" s="47">
        <v>83</v>
      </c>
      <c r="Q27" s="47">
        <v>83</v>
      </c>
      <c r="R27" s="47">
        <v>81</v>
      </c>
      <c r="S27" s="47">
        <v>85</v>
      </c>
      <c r="T27" s="47">
        <v>105</v>
      </c>
      <c r="U27" s="47">
        <v>145</v>
      </c>
      <c r="V27" s="47">
        <v>175</v>
      </c>
      <c r="W27" s="47">
        <v>180</v>
      </c>
      <c r="X27" s="47">
        <v>190</v>
      </c>
      <c r="Y27" s="47">
        <v>205</v>
      </c>
      <c r="Z27" s="47">
        <v>195</v>
      </c>
      <c r="AA27" s="47">
        <v>195</v>
      </c>
      <c r="AB27" s="47">
        <v>168</v>
      </c>
      <c r="AC27" s="47">
        <v>180</v>
      </c>
      <c r="AD27" s="47">
        <v>126</v>
      </c>
      <c r="AE27" s="47">
        <v>239</v>
      </c>
      <c r="AF27" s="47">
        <v>259</v>
      </c>
      <c r="AG27" s="47">
        <v>361</v>
      </c>
      <c r="AH27" s="47">
        <v>406</v>
      </c>
      <c r="AI27" s="47">
        <v>507</v>
      </c>
      <c r="AJ27" s="47">
        <v>573</v>
      </c>
      <c r="AK27" s="47">
        <v>657</v>
      </c>
      <c r="AL27" s="47">
        <v>701</v>
      </c>
      <c r="AM27" s="47">
        <v>583</v>
      </c>
      <c r="AN27" s="47">
        <v>631</v>
      </c>
      <c r="AO27" s="47">
        <v>639</v>
      </c>
      <c r="AP27" s="47">
        <v>712</v>
      </c>
      <c r="AQ27" s="47">
        <v>729</v>
      </c>
      <c r="AR27" s="47">
        <v>789</v>
      </c>
      <c r="AS27" s="47">
        <v>820</v>
      </c>
      <c r="AT27" s="47">
        <v>810</v>
      </c>
      <c r="AU27" s="47">
        <v>950</v>
      </c>
      <c r="AV27" s="47">
        <v>1000</v>
      </c>
      <c r="AW27" s="47">
        <v>1050</v>
      </c>
      <c r="AX27" s="47">
        <v>1100</v>
      </c>
      <c r="AY27" s="47">
        <v>970</v>
      </c>
      <c r="AZ27" s="47">
        <v>1020</v>
      </c>
      <c r="BA27" s="47">
        <v>1150</v>
      </c>
      <c r="BB27" s="47">
        <f>BB25-BB26</f>
        <v>1426.1990000000001</v>
      </c>
      <c r="BC27" s="43"/>
      <c r="BD27" s="43"/>
    </row>
    <row r="33" spans="1:54" s="5" customFormat="1" x14ac:dyDescent="0.25">
      <c r="A33" s="32"/>
      <c r="B33" s="32"/>
      <c r="C33" s="32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6"/>
      <c r="AD33" s="36"/>
      <c r="AE33" s="33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</row>
    <row r="34" spans="1:54" x14ac:dyDescent="0.25">
      <c r="A34" s="34"/>
      <c r="B34" s="34"/>
      <c r="C34" s="34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</row>
    <row r="35" spans="1:54" s="5" customFormat="1" x14ac:dyDescent="0.25">
      <c r="A35" s="32"/>
      <c r="B35" s="32"/>
      <c r="C35" s="32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</row>
    <row r="36" spans="1:54" x14ac:dyDescent="0.25">
      <c r="A36" s="34"/>
      <c r="B36" s="34"/>
      <c r="C36" s="34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</row>
    <row r="37" spans="1:54" s="5" customFormat="1" x14ac:dyDescent="0.25">
      <c r="A37" s="32"/>
      <c r="B37" s="32"/>
      <c r="C37" s="32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</row>
    <row r="38" spans="1:54" x14ac:dyDescent="0.25">
      <c r="A38" s="34"/>
      <c r="B38" s="34"/>
      <c r="C38" s="34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  <c r="AM38" s="35"/>
      <c r="AN38" s="35"/>
      <c r="AO38" s="35"/>
      <c r="AP38" s="35"/>
      <c r="AQ38" s="35"/>
      <c r="AR38" s="35"/>
      <c r="AS38" s="35"/>
      <c r="AT38" s="35"/>
      <c r="AU38" s="35"/>
      <c r="AV38" s="35"/>
      <c r="AW38" s="35"/>
      <c r="AX38" s="35"/>
      <c r="AY38" s="35"/>
      <c r="AZ38" s="35"/>
      <c r="BA38" s="35"/>
      <c r="BB38" s="35"/>
    </row>
    <row r="39" spans="1:54" s="5" customFormat="1" x14ac:dyDescent="0.25">
      <c r="A39" s="32"/>
      <c r="B39" s="32"/>
      <c r="C39" s="32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  <c r="AN39" s="33"/>
      <c r="AO39" s="33"/>
      <c r="AP39" s="33"/>
      <c r="AQ39" s="33"/>
      <c r="AR39" s="36"/>
      <c r="AS39" s="33"/>
      <c r="AT39" s="33"/>
      <c r="AU39" s="33"/>
      <c r="AV39" s="33"/>
      <c r="AW39" s="33"/>
      <c r="AX39" s="33"/>
      <c r="AY39" s="33"/>
      <c r="AZ39" s="33"/>
      <c r="BA39" s="33"/>
      <c r="BB39" s="33"/>
    </row>
    <row r="40" spans="1:54" x14ac:dyDescent="0.25">
      <c r="A40" s="34"/>
      <c r="B40" s="34"/>
      <c r="C40" s="34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  <c r="AN40" s="35"/>
      <c r="AO40" s="35"/>
      <c r="AP40" s="35"/>
      <c r="AQ40" s="35"/>
      <c r="AR40" s="35"/>
      <c r="AS40" s="35"/>
      <c r="AT40" s="35"/>
      <c r="AU40" s="35"/>
      <c r="AV40" s="35"/>
      <c r="AW40" s="35"/>
      <c r="AX40" s="35"/>
      <c r="AY40" s="35"/>
      <c r="AZ40" s="35"/>
      <c r="BA40" s="35"/>
      <c r="BB40" s="35"/>
    </row>
    <row r="41" spans="1:54" s="5" customFormat="1" x14ac:dyDescent="0.25">
      <c r="A41" s="32"/>
      <c r="B41" s="32"/>
      <c r="C41" s="32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  <c r="AU41" s="33"/>
      <c r="AV41" s="33"/>
      <c r="AW41" s="33"/>
      <c r="AX41" s="33"/>
      <c r="AY41" s="33"/>
      <c r="AZ41" s="33"/>
      <c r="BA41" s="33"/>
      <c r="BB41" s="33"/>
    </row>
    <row r="42" spans="1:54" x14ac:dyDescent="0.25">
      <c r="A42" s="34"/>
      <c r="B42" s="34"/>
      <c r="C42" s="34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5"/>
      <c r="AX42" s="35"/>
      <c r="AY42" s="35"/>
      <c r="AZ42" s="35"/>
      <c r="BA42" s="35"/>
      <c r="BB42" s="35"/>
    </row>
    <row r="43" spans="1:54" s="5" customFormat="1" x14ac:dyDescent="0.25">
      <c r="A43" s="32"/>
      <c r="B43" s="32"/>
      <c r="C43" s="32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6"/>
      <c r="O43" s="36"/>
      <c r="P43" s="36"/>
      <c r="Q43" s="36"/>
      <c r="R43" s="33"/>
      <c r="S43" s="36"/>
      <c r="T43" s="33"/>
      <c r="U43" s="33"/>
      <c r="V43" s="36"/>
      <c r="W43" s="33"/>
      <c r="X43" s="36"/>
      <c r="Y43" s="36"/>
      <c r="Z43" s="33"/>
      <c r="AA43" s="36"/>
      <c r="AB43" s="36"/>
      <c r="AC43" s="36"/>
      <c r="AD43" s="36"/>
      <c r="AE43" s="36"/>
      <c r="AF43" s="36"/>
      <c r="AG43" s="33"/>
      <c r="AH43" s="33"/>
      <c r="AI43" s="36"/>
      <c r="AJ43" s="33"/>
      <c r="AK43" s="33"/>
      <c r="AL43" s="36"/>
      <c r="AM43" s="36"/>
      <c r="AN43" s="36"/>
      <c r="AO43" s="36"/>
      <c r="AP43" s="36"/>
      <c r="AQ43" s="36"/>
      <c r="AR43" s="36"/>
      <c r="AS43" s="36"/>
      <c r="AT43" s="36"/>
      <c r="AU43" s="36"/>
      <c r="AV43" s="36"/>
      <c r="AW43" s="36"/>
      <c r="AX43" s="36"/>
      <c r="AY43" s="36"/>
      <c r="AZ43" s="36"/>
      <c r="BA43" s="36"/>
      <c r="BB43" s="36"/>
    </row>
    <row r="44" spans="1:54" x14ac:dyDescent="0.25">
      <c r="A44" s="34"/>
      <c r="B44" s="34"/>
      <c r="C44" s="34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  <c r="AN44" s="35"/>
      <c r="AO44" s="35"/>
      <c r="AP44" s="35"/>
      <c r="AQ44" s="35"/>
      <c r="AR44" s="35"/>
      <c r="AS44" s="35"/>
      <c r="AT44" s="35"/>
      <c r="AU44" s="35"/>
      <c r="AV44" s="35"/>
      <c r="AW44" s="35"/>
      <c r="AX44" s="35"/>
      <c r="AY44" s="35"/>
      <c r="AZ44" s="35"/>
      <c r="BA44" s="35"/>
      <c r="BB44" s="35"/>
    </row>
    <row r="45" spans="1:54" s="5" customFormat="1" x14ac:dyDescent="0.25">
      <c r="A45" s="32"/>
      <c r="B45" s="32"/>
      <c r="C45" s="32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6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6"/>
      <c r="AB45" s="36"/>
      <c r="AC45" s="36"/>
      <c r="AD45" s="33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3"/>
      <c r="AU45" s="33"/>
      <c r="AV45" s="33"/>
      <c r="AW45" s="33"/>
      <c r="AX45" s="33"/>
      <c r="AY45" s="33"/>
      <c r="AZ45" s="36"/>
      <c r="BA45" s="33"/>
      <c r="BB45" s="36"/>
    </row>
    <row r="46" spans="1:54" x14ac:dyDescent="0.25">
      <c r="A46" s="34"/>
      <c r="B46" s="34"/>
      <c r="C46" s="34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7"/>
      <c r="AF46" s="35"/>
      <c r="AG46" s="35"/>
      <c r="AH46" s="35"/>
      <c r="AI46" s="37"/>
      <c r="AJ46" s="35"/>
      <c r="AK46" s="35"/>
      <c r="AL46" s="37"/>
      <c r="AM46" s="37"/>
      <c r="AN46" s="37"/>
      <c r="AO46" s="35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</row>
    <row r="47" spans="1:54" s="5" customFormat="1" x14ac:dyDescent="0.25">
      <c r="A47" s="34"/>
      <c r="B47" s="34"/>
      <c r="C47" s="34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7"/>
      <c r="AO47" s="37"/>
      <c r="AP47" s="37"/>
      <c r="AQ47" s="37"/>
      <c r="AR47" s="37"/>
      <c r="AS47" s="37"/>
      <c r="AT47" s="37"/>
      <c r="AU47" s="37"/>
      <c r="AV47" s="37"/>
      <c r="AW47" s="37"/>
      <c r="AX47" s="37"/>
      <c r="AY47" s="37"/>
      <c r="AZ47" s="37"/>
      <c r="BA47" s="37"/>
      <c r="BB47" s="37"/>
    </row>
    <row r="48" spans="1:54" x14ac:dyDescent="0.25">
      <c r="A48" s="34"/>
      <c r="B48" s="32"/>
      <c r="C48" s="32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  <c r="AV48" s="33"/>
      <c r="AW48" s="33"/>
      <c r="AX48" s="33"/>
      <c r="AY48" s="33"/>
      <c r="AZ48" s="33"/>
      <c r="BA48" s="33"/>
      <c r="BB48" s="33"/>
    </row>
    <row r="49" spans="1:54" s="5" customFormat="1" x14ac:dyDescent="0.25">
      <c r="A49" s="34"/>
      <c r="B49" s="34"/>
      <c r="C49" s="34"/>
      <c r="D49" s="35"/>
      <c r="E49" s="35"/>
      <c r="F49" s="35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7"/>
      <c r="AU49" s="37"/>
      <c r="AV49" s="37"/>
      <c r="AW49" s="37"/>
      <c r="AX49" s="37"/>
      <c r="AY49" s="37"/>
      <c r="AZ49" s="37"/>
      <c r="BA49" s="37"/>
      <c r="BB49" s="37"/>
    </row>
    <row r="50" spans="1:54" x14ac:dyDescent="0.25">
      <c r="A50" s="34"/>
      <c r="B50" s="32"/>
      <c r="C50" s="32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3"/>
      <c r="AR50" s="33"/>
      <c r="AS50" s="36"/>
      <c r="AT50" s="36"/>
      <c r="AU50" s="36"/>
      <c r="AV50" s="36"/>
      <c r="AW50" s="36"/>
      <c r="AX50" s="36"/>
      <c r="AY50" s="36"/>
      <c r="AZ50" s="36"/>
      <c r="BA50" s="36"/>
      <c r="BB50" s="36"/>
    </row>
    <row r="51" spans="1:54" x14ac:dyDescent="0.25">
      <c r="A51" s="34"/>
      <c r="B51" s="34"/>
      <c r="C51" s="34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  <c r="AP51" s="37"/>
      <c r="AQ51" s="37"/>
      <c r="AR51" s="37"/>
      <c r="AS51" s="37"/>
      <c r="AT51" s="37"/>
      <c r="AU51" s="37"/>
      <c r="AV51" s="37"/>
      <c r="AW51" s="37"/>
      <c r="AX51" s="37"/>
      <c r="AY51" s="37"/>
      <c r="AZ51" s="37"/>
      <c r="BA51" s="37"/>
      <c r="BB51" s="37"/>
    </row>
    <row r="52" spans="1:54" s="5" customFormat="1" x14ac:dyDescent="0.25">
      <c r="A52" s="32"/>
      <c r="B52" s="32"/>
      <c r="C52" s="32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</row>
    <row r="53" spans="1:54" x14ac:dyDescent="0.25">
      <c r="A53" s="34"/>
      <c r="B53" s="34"/>
      <c r="C53" s="34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7"/>
      <c r="AO53" s="37"/>
      <c r="AP53" s="37"/>
      <c r="AQ53" s="37"/>
      <c r="AR53" s="37"/>
      <c r="AS53" s="37"/>
      <c r="AT53" s="37"/>
      <c r="AU53" s="37"/>
      <c r="AV53" s="37"/>
      <c r="AW53" s="37"/>
      <c r="AX53" s="37"/>
      <c r="AY53" s="37"/>
      <c r="AZ53" s="37"/>
      <c r="BA53" s="37"/>
      <c r="BB53" s="37"/>
    </row>
    <row r="54" spans="1:54" s="5" customFormat="1" x14ac:dyDescent="0.25">
      <c r="A54" s="32"/>
      <c r="B54" s="32"/>
      <c r="C54" s="32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  <c r="AZ54" s="36"/>
      <c r="BA54" s="36"/>
      <c r="BB54" s="36"/>
    </row>
    <row r="55" spans="1:54" x14ac:dyDescent="0.25">
      <c r="A55" s="34"/>
      <c r="B55" s="34"/>
      <c r="C55" s="34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  <c r="AP55" s="37"/>
      <c r="AQ55" s="37"/>
      <c r="AR55" s="37"/>
      <c r="AS55" s="37"/>
      <c r="AT55" s="37"/>
      <c r="AU55" s="37"/>
      <c r="AV55" s="37"/>
      <c r="AW55" s="37"/>
      <c r="AX55" s="37"/>
      <c r="AY55" s="37"/>
      <c r="AZ55" s="37"/>
      <c r="BA55" s="37"/>
      <c r="BB55" s="37"/>
    </row>
    <row r="56" spans="1:54" s="5" customFormat="1" x14ac:dyDescent="0.25">
      <c r="A56" s="32"/>
      <c r="B56" s="32"/>
      <c r="C56" s="32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6"/>
      <c r="V56" s="36"/>
      <c r="W56" s="36"/>
      <c r="X56" s="33"/>
      <c r="Y56" s="33"/>
      <c r="Z56" s="33"/>
      <c r="AA56" s="33"/>
      <c r="AB56" s="36"/>
      <c r="AC56" s="36"/>
      <c r="AD56" s="33"/>
      <c r="AE56" s="33"/>
      <c r="AF56" s="33"/>
      <c r="AG56" s="33"/>
      <c r="AH56" s="33"/>
      <c r="AI56" s="33"/>
      <c r="AJ56" s="36"/>
      <c r="AK56" s="36"/>
      <c r="AL56" s="36"/>
      <c r="AM56" s="33"/>
      <c r="AN56" s="33"/>
      <c r="AO56" s="36"/>
      <c r="AP56" s="36"/>
      <c r="AQ56" s="36"/>
      <c r="AR56" s="33"/>
      <c r="AS56" s="33"/>
      <c r="AT56" s="33"/>
      <c r="AU56" s="33"/>
      <c r="AV56" s="33"/>
      <c r="AW56" s="36"/>
      <c r="AX56" s="36"/>
      <c r="AY56" s="33"/>
      <c r="AZ56" s="36"/>
      <c r="BA56" s="33"/>
      <c r="BB56" s="36"/>
    </row>
    <row r="57" spans="1:54" x14ac:dyDescent="0.25">
      <c r="A57" s="34"/>
      <c r="B57" s="34"/>
      <c r="C57" s="34"/>
      <c r="D57" s="35"/>
      <c r="E57" s="35"/>
      <c r="F57" s="35"/>
      <c r="G57" s="35"/>
      <c r="H57" s="35"/>
      <c r="I57" s="35"/>
      <c r="J57" s="35"/>
      <c r="K57" s="37"/>
      <c r="L57" s="35"/>
      <c r="M57" s="37"/>
      <c r="N57" s="35"/>
      <c r="O57" s="35"/>
      <c r="P57" s="35"/>
      <c r="Q57" s="37"/>
      <c r="R57" s="35"/>
      <c r="S57" s="37"/>
      <c r="T57" s="37"/>
      <c r="U57" s="35"/>
      <c r="V57" s="35"/>
      <c r="W57" s="35"/>
      <c r="X57" s="35"/>
      <c r="Y57" s="35"/>
      <c r="Z57" s="35"/>
      <c r="AA57" s="35"/>
      <c r="AB57" s="35"/>
      <c r="AC57" s="35"/>
      <c r="AD57" s="35"/>
      <c r="AE57" s="35"/>
      <c r="AF57" s="35"/>
      <c r="AG57" s="35"/>
      <c r="AH57" s="35"/>
      <c r="AI57" s="35"/>
      <c r="AJ57" s="35"/>
      <c r="AK57" s="35"/>
      <c r="AL57" s="35"/>
      <c r="AM57" s="35"/>
      <c r="AN57" s="35"/>
      <c r="AO57" s="35"/>
      <c r="AP57" s="35"/>
      <c r="AQ57" s="35"/>
      <c r="AR57" s="37"/>
      <c r="AS57" s="37"/>
      <c r="AT57" s="37"/>
      <c r="AU57" s="37"/>
      <c r="AV57" s="35"/>
      <c r="AW57" s="37"/>
      <c r="AX57" s="37"/>
      <c r="AY57" s="37"/>
      <c r="AZ57" s="37"/>
      <c r="BA57" s="37"/>
      <c r="BB57" s="37"/>
    </row>
    <row r="58" spans="1:54" s="5" customFormat="1" x14ac:dyDescent="0.25">
      <c r="A58" s="32"/>
      <c r="B58" s="32"/>
      <c r="C58" s="32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36"/>
      <c r="AN58" s="36"/>
      <c r="AO58" s="36"/>
      <c r="AP58" s="36"/>
      <c r="AQ58" s="36"/>
      <c r="AR58" s="36"/>
      <c r="AS58" s="36"/>
      <c r="AT58" s="36"/>
      <c r="AU58" s="36"/>
      <c r="AV58" s="36"/>
      <c r="AW58" s="36"/>
      <c r="AX58" s="36"/>
      <c r="AY58" s="36"/>
      <c r="AZ58" s="36"/>
      <c r="BA58" s="36"/>
      <c r="BB58" s="36"/>
    </row>
    <row r="59" spans="1:54" x14ac:dyDescent="0.25">
      <c r="A59" s="34"/>
      <c r="B59" s="34"/>
      <c r="C59" s="34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  <c r="X59" s="37"/>
      <c r="Y59" s="37"/>
      <c r="Z59" s="37"/>
      <c r="AA59" s="37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7"/>
      <c r="AN59" s="37"/>
      <c r="AO59" s="37"/>
      <c r="AP59" s="37"/>
      <c r="AQ59" s="37"/>
      <c r="AR59" s="37"/>
      <c r="AS59" s="37"/>
      <c r="AT59" s="37"/>
      <c r="AU59" s="37"/>
      <c r="AV59" s="37"/>
      <c r="AW59" s="37"/>
      <c r="AX59" s="37"/>
      <c r="AY59" s="37"/>
      <c r="AZ59" s="37"/>
      <c r="BA59" s="37"/>
      <c r="BB59" s="37"/>
    </row>
    <row r="60" spans="1:54" s="5" customFormat="1" x14ac:dyDescent="0.25">
      <c r="A60" s="32"/>
      <c r="B60" s="32"/>
      <c r="C60" s="32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  <c r="AG60" s="33"/>
      <c r="AH60" s="33"/>
      <c r="AI60" s="33"/>
      <c r="AJ60" s="36"/>
      <c r="AK60" s="36"/>
      <c r="AL60" s="36"/>
      <c r="AM60" s="36"/>
      <c r="AN60" s="36"/>
      <c r="AO60" s="36"/>
      <c r="AP60" s="36"/>
      <c r="AQ60" s="36"/>
      <c r="AR60" s="33"/>
      <c r="AS60" s="33"/>
      <c r="AT60" s="33"/>
      <c r="AU60" s="33"/>
      <c r="AV60" s="33"/>
      <c r="AW60" s="33"/>
      <c r="AX60" s="33"/>
      <c r="AY60" s="33"/>
      <c r="AZ60" s="33"/>
      <c r="BA60" s="33"/>
      <c r="BB60" s="33"/>
    </row>
    <row r="61" spans="1:54" x14ac:dyDescent="0.25">
      <c r="A61" s="34"/>
      <c r="B61" s="34"/>
      <c r="C61" s="34"/>
      <c r="D61" s="35"/>
      <c r="E61" s="35"/>
      <c r="F61" s="37"/>
      <c r="G61" s="37"/>
      <c r="H61" s="37"/>
      <c r="I61" s="35"/>
      <c r="J61" s="37"/>
      <c r="K61" s="35"/>
      <c r="L61" s="37"/>
      <c r="M61" s="37"/>
      <c r="N61" s="37"/>
      <c r="O61" s="37"/>
      <c r="P61" s="37"/>
      <c r="Q61" s="35"/>
      <c r="R61" s="35"/>
      <c r="S61" s="35"/>
      <c r="T61" s="35"/>
      <c r="U61" s="35"/>
      <c r="V61" s="35"/>
      <c r="W61" s="35"/>
      <c r="X61" s="35"/>
      <c r="Y61" s="35"/>
      <c r="Z61" s="37"/>
      <c r="AA61" s="35"/>
      <c r="AB61" s="35"/>
      <c r="AC61" s="35"/>
      <c r="AD61" s="35"/>
      <c r="AE61" s="35"/>
      <c r="AF61" s="35"/>
      <c r="AG61" s="35"/>
      <c r="AH61" s="35"/>
      <c r="AI61" s="35"/>
      <c r="AJ61" s="35"/>
      <c r="AK61" s="35"/>
      <c r="AL61" s="35"/>
      <c r="AM61" s="35"/>
      <c r="AN61" s="35"/>
      <c r="AO61" s="35"/>
      <c r="AP61" s="35"/>
      <c r="AQ61" s="35"/>
      <c r="AR61" s="35"/>
      <c r="AS61" s="35"/>
      <c r="AT61" s="35"/>
      <c r="AU61" s="35"/>
      <c r="AV61" s="37"/>
      <c r="AW61" s="37"/>
      <c r="AX61" s="37"/>
      <c r="AY61" s="37"/>
      <c r="AZ61" s="37"/>
      <c r="BA61" s="37"/>
      <c r="BB61" s="37"/>
    </row>
    <row r="62" spans="1:54" s="5" customFormat="1" x14ac:dyDescent="0.25">
      <c r="A62" s="32"/>
      <c r="B62" s="32"/>
      <c r="C62" s="32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  <c r="AJ62" s="36"/>
      <c r="AK62" s="36"/>
      <c r="AL62" s="36"/>
      <c r="AM62" s="36"/>
      <c r="AN62" s="36"/>
      <c r="AO62" s="36"/>
      <c r="AP62" s="36"/>
      <c r="AQ62" s="36"/>
      <c r="AR62" s="36"/>
      <c r="AS62" s="36"/>
      <c r="AT62" s="36"/>
      <c r="AU62" s="36"/>
      <c r="AV62" s="36"/>
      <c r="AW62" s="36"/>
      <c r="AX62" s="36"/>
      <c r="AY62" s="36"/>
      <c r="AZ62" s="36"/>
      <c r="BA62" s="36"/>
      <c r="BB62" s="36"/>
    </row>
    <row r="63" spans="1:54" x14ac:dyDescent="0.25">
      <c r="A63" s="34"/>
      <c r="B63" s="34"/>
      <c r="C63" s="34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7"/>
      <c r="AE63" s="37"/>
      <c r="AF63" s="37"/>
      <c r="AG63" s="37"/>
      <c r="AH63" s="37"/>
      <c r="AI63" s="37"/>
      <c r="AJ63" s="37"/>
      <c r="AK63" s="37"/>
      <c r="AL63" s="37"/>
      <c r="AM63" s="37"/>
      <c r="AN63" s="37"/>
      <c r="AO63" s="37"/>
      <c r="AP63" s="37"/>
      <c r="AQ63" s="37"/>
      <c r="AR63" s="37"/>
      <c r="AS63" s="37"/>
      <c r="AT63" s="37"/>
      <c r="AU63" s="37"/>
      <c r="AV63" s="37"/>
      <c r="AW63" s="37"/>
      <c r="AX63" s="37"/>
      <c r="AY63" s="37"/>
      <c r="AZ63" s="37"/>
      <c r="BA63" s="37"/>
      <c r="BB63" s="37"/>
    </row>
    <row r="64" spans="1:54" s="5" customFormat="1" x14ac:dyDescent="0.25">
      <c r="A64" s="32"/>
      <c r="B64" s="32"/>
      <c r="C64" s="32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  <c r="AG64" s="33"/>
      <c r="AH64" s="33"/>
      <c r="AI64" s="33"/>
      <c r="AJ64" s="33"/>
      <c r="AK64" s="33"/>
      <c r="AL64" s="36"/>
      <c r="AM64" s="36"/>
      <c r="AN64" s="33"/>
      <c r="AO64" s="36"/>
      <c r="AP64" s="33"/>
      <c r="AQ64" s="33"/>
      <c r="AR64" s="33"/>
      <c r="AS64" s="36"/>
      <c r="AT64" s="36"/>
      <c r="AU64" s="33"/>
      <c r="AV64" s="33"/>
      <c r="AW64" s="33"/>
      <c r="AX64" s="33"/>
      <c r="AY64" s="33"/>
      <c r="AZ64" s="33"/>
      <c r="BA64" s="33"/>
      <c r="BB64" s="33"/>
    </row>
    <row r="65" spans="1:54" x14ac:dyDescent="0.25">
      <c r="A65" s="34"/>
      <c r="B65" s="34"/>
      <c r="C65" s="34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7"/>
      <c r="AF65" s="37"/>
      <c r="AG65" s="37"/>
      <c r="AH65" s="37"/>
      <c r="AI65" s="37"/>
      <c r="AJ65" s="37"/>
      <c r="AK65" s="37"/>
      <c r="AL65" s="37"/>
      <c r="AM65" s="37"/>
      <c r="AN65" s="37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</row>
    <row r="66" spans="1:54" s="5" customFormat="1" x14ac:dyDescent="0.25">
      <c r="A66" s="32"/>
      <c r="B66" s="32"/>
      <c r="C66" s="32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6"/>
      <c r="AE66" s="36"/>
      <c r="AF66" s="36"/>
      <c r="AG66" s="36"/>
      <c r="AH66" s="36"/>
      <c r="AI66" s="36"/>
      <c r="AJ66" s="36"/>
      <c r="AK66" s="36"/>
      <c r="AL66" s="36"/>
      <c r="AM66" s="36"/>
      <c r="AN66" s="36"/>
      <c r="AO66" s="36"/>
      <c r="AP66" s="36"/>
      <c r="AQ66" s="36"/>
      <c r="AR66" s="36"/>
      <c r="AS66" s="36"/>
      <c r="AT66" s="36"/>
      <c r="AU66" s="36"/>
      <c r="AV66" s="36"/>
      <c r="AW66" s="36"/>
      <c r="AX66" s="36"/>
      <c r="AY66" s="36"/>
      <c r="AZ66" s="36"/>
      <c r="BA66" s="36"/>
      <c r="BB66" s="36"/>
    </row>
    <row r="67" spans="1:54" x14ac:dyDescent="0.25">
      <c r="A67" s="34"/>
      <c r="B67" s="34"/>
      <c r="C67" s="34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7"/>
      <c r="Z67" s="37"/>
      <c r="AA67" s="37"/>
      <c r="AB67" s="37"/>
      <c r="AC67" s="37"/>
      <c r="AD67" s="37"/>
      <c r="AE67" s="37"/>
      <c r="AF67" s="37"/>
      <c r="AG67" s="37"/>
      <c r="AH67" s="37"/>
      <c r="AI67" s="37"/>
      <c r="AJ67" s="37"/>
      <c r="AK67" s="37"/>
      <c r="AL67" s="37"/>
      <c r="AM67" s="37"/>
      <c r="AN67" s="37"/>
      <c r="AO67" s="37"/>
      <c r="AP67" s="37"/>
      <c r="AQ67" s="37"/>
      <c r="AR67" s="37"/>
      <c r="AS67" s="37"/>
      <c r="AT67" s="37"/>
      <c r="AU67" s="37"/>
      <c r="AV67" s="37"/>
      <c r="AW67" s="37"/>
      <c r="AX67" s="37"/>
      <c r="AY67" s="37"/>
      <c r="AZ67" s="37"/>
      <c r="BA67" s="37"/>
      <c r="BB67" s="37"/>
    </row>
    <row r="68" spans="1:54" s="5" customFormat="1" x14ac:dyDescent="0.25">
      <c r="A68" s="32"/>
      <c r="B68" s="32"/>
      <c r="C68" s="32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6"/>
      <c r="AD68" s="33"/>
      <c r="AE68" s="33"/>
      <c r="AF68" s="33"/>
      <c r="AG68" s="33"/>
      <c r="AH68" s="33"/>
      <c r="AI68" s="33"/>
      <c r="AJ68" s="33"/>
      <c r="AK68" s="33"/>
      <c r="AL68" s="33"/>
      <c r="AM68" s="33"/>
      <c r="AN68" s="33"/>
      <c r="AO68" s="36"/>
      <c r="AP68" s="33"/>
      <c r="AQ68" s="33"/>
      <c r="AR68" s="33"/>
      <c r="AS68" s="33"/>
      <c r="AT68" s="36"/>
      <c r="AU68" s="33"/>
      <c r="AV68" s="33"/>
      <c r="AW68" s="33"/>
      <c r="AX68" s="33"/>
      <c r="AY68" s="33"/>
      <c r="AZ68" s="33"/>
      <c r="BA68" s="33"/>
      <c r="BB68" s="33"/>
    </row>
    <row r="69" spans="1:54" x14ac:dyDescent="0.25">
      <c r="A69" s="34"/>
      <c r="B69" s="34"/>
      <c r="C69" s="34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35"/>
      <c r="AE69" s="35"/>
      <c r="AF69" s="35"/>
      <c r="AG69" s="35"/>
      <c r="AH69" s="35"/>
      <c r="AI69" s="35"/>
      <c r="AJ69" s="35"/>
      <c r="AK69" s="35"/>
      <c r="AL69" s="35"/>
      <c r="AM69" s="35"/>
      <c r="AN69" s="35"/>
      <c r="AO69" s="35"/>
      <c r="AP69" s="35"/>
      <c r="AQ69" s="35"/>
      <c r="AR69" s="35"/>
      <c r="AS69" s="35"/>
      <c r="AT69" s="35"/>
      <c r="AU69" s="35"/>
      <c r="AV69" s="35"/>
      <c r="AW69" s="35"/>
      <c r="AX69" s="35"/>
      <c r="AY69" s="35"/>
      <c r="AZ69" s="35"/>
      <c r="BA69" s="35"/>
      <c r="BB69" s="35"/>
    </row>
    <row r="70" spans="1:54" s="5" customFormat="1" x14ac:dyDescent="0.25">
      <c r="A70" s="32"/>
      <c r="B70" s="32"/>
      <c r="C70" s="32"/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  <c r="AA70" s="36"/>
      <c r="AB70" s="36"/>
      <c r="AC70" s="36"/>
      <c r="AD70" s="36"/>
      <c r="AE70" s="36"/>
      <c r="AF70" s="36"/>
      <c r="AG70" s="36"/>
      <c r="AH70" s="36"/>
      <c r="AI70" s="36"/>
      <c r="AJ70" s="36"/>
      <c r="AK70" s="36"/>
      <c r="AL70" s="36"/>
      <c r="AM70" s="36"/>
      <c r="AN70" s="36"/>
      <c r="AO70" s="36"/>
      <c r="AP70" s="36"/>
      <c r="AQ70" s="36"/>
      <c r="AR70" s="36"/>
      <c r="AS70" s="36"/>
      <c r="AT70" s="36"/>
      <c r="AU70" s="36"/>
      <c r="AV70" s="36"/>
      <c r="AW70" s="36"/>
      <c r="AX70" s="36"/>
      <c r="AY70" s="36"/>
      <c r="AZ70" s="36"/>
      <c r="BA70" s="36"/>
      <c r="BB70" s="36"/>
    </row>
    <row r="71" spans="1:54" x14ac:dyDescent="0.25">
      <c r="A71" s="34"/>
      <c r="B71" s="34"/>
      <c r="C71" s="34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35"/>
      <c r="AE71" s="35"/>
      <c r="AF71" s="35"/>
      <c r="AG71" s="35"/>
      <c r="AH71" s="35"/>
      <c r="AI71" s="35"/>
      <c r="AJ71" s="35"/>
      <c r="AK71" s="35"/>
      <c r="AL71" s="35"/>
      <c r="AM71" s="35"/>
      <c r="AN71" s="35"/>
      <c r="AO71" s="35"/>
      <c r="AP71" s="35"/>
      <c r="AQ71" s="35"/>
      <c r="AR71" s="35"/>
      <c r="AS71" s="35"/>
      <c r="AT71" s="35"/>
      <c r="AU71" s="37"/>
      <c r="AV71" s="37"/>
      <c r="AW71" s="37"/>
      <c r="AX71" s="37"/>
      <c r="AY71" s="37"/>
      <c r="AZ71" s="37"/>
      <c r="BA71" s="37"/>
      <c r="BB71" s="37"/>
    </row>
    <row r="72" spans="1:54" s="5" customFormat="1" x14ac:dyDescent="0.25">
      <c r="A72" s="32"/>
      <c r="B72" s="32"/>
      <c r="C72" s="32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  <c r="AG72" s="33"/>
      <c r="AH72" s="33"/>
      <c r="AI72" s="33"/>
      <c r="AJ72" s="33"/>
      <c r="AK72" s="33"/>
      <c r="AL72" s="33"/>
      <c r="AM72" s="33"/>
      <c r="AN72" s="33"/>
      <c r="AO72" s="33"/>
      <c r="AP72" s="33"/>
      <c r="AQ72" s="33"/>
      <c r="AR72" s="33"/>
      <c r="AS72" s="33"/>
      <c r="AT72" s="33"/>
      <c r="AU72" s="33"/>
      <c r="AV72" s="33"/>
      <c r="AW72" s="33"/>
      <c r="AX72" s="33"/>
      <c r="AY72" s="33"/>
      <c r="AZ72" s="33"/>
      <c r="BA72" s="33"/>
      <c r="BB72" s="33"/>
    </row>
    <row r="73" spans="1:54" x14ac:dyDescent="0.25">
      <c r="A73" s="34"/>
      <c r="B73" s="34"/>
      <c r="C73" s="34"/>
      <c r="D73" s="35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5"/>
      <c r="Z73" s="35"/>
      <c r="AA73" s="35"/>
      <c r="AB73" s="35"/>
      <c r="AC73" s="35"/>
      <c r="AD73" s="35"/>
      <c r="AE73" s="35"/>
      <c r="AF73" s="35"/>
      <c r="AG73" s="35"/>
      <c r="AH73" s="35"/>
      <c r="AI73" s="35"/>
      <c r="AJ73" s="35"/>
      <c r="AK73" s="35"/>
      <c r="AL73" s="35"/>
      <c r="AM73" s="35"/>
      <c r="AN73" s="35"/>
      <c r="AO73" s="35"/>
      <c r="AP73" s="35"/>
      <c r="AQ73" s="35"/>
      <c r="AR73" s="35"/>
      <c r="AS73" s="35"/>
      <c r="AT73" s="35"/>
      <c r="AU73" s="35"/>
      <c r="AV73" s="35"/>
      <c r="AW73" s="35"/>
      <c r="AX73" s="35"/>
      <c r="AY73" s="35"/>
      <c r="AZ73" s="35"/>
      <c r="BA73" s="35"/>
      <c r="BB73" s="35"/>
    </row>
    <row r="74" spans="1:54" s="5" customFormat="1" x14ac:dyDescent="0.25">
      <c r="A74" s="32"/>
      <c r="B74" s="32"/>
      <c r="C74" s="32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6"/>
      <c r="AR74" s="33"/>
      <c r="AS74" s="33"/>
      <c r="AT74" s="33"/>
      <c r="AU74" s="36"/>
      <c r="AV74" s="36"/>
      <c r="AW74" s="36"/>
      <c r="AX74" s="36"/>
      <c r="AY74" s="36"/>
      <c r="AZ74" s="36"/>
      <c r="BA74" s="36"/>
      <c r="BB74" s="36"/>
    </row>
    <row r="75" spans="1:54" s="5" customFormat="1" x14ac:dyDescent="0.25">
      <c r="A75" s="34"/>
      <c r="B75" s="34"/>
      <c r="C75" s="34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  <c r="AK75" s="37"/>
      <c r="AL75" s="37"/>
      <c r="AM75" s="37"/>
      <c r="AN75" s="37"/>
      <c r="AO75" s="37"/>
      <c r="AP75" s="37"/>
      <c r="AQ75" s="37"/>
      <c r="AR75" s="37"/>
      <c r="AS75" s="37"/>
      <c r="AT75" s="37"/>
      <c r="AU75" s="37"/>
      <c r="AV75" s="37"/>
      <c r="AW75" s="37"/>
      <c r="AX75" s="37"/>
      <c r="AY75" s="37"/>
      <c r="AZ75" s="37"/>
      <c r="BA75" s="37"/>
      <c r="BB75" s="37"/>
    </row>
    <row r="76" spans="1:54" x14ac:dyDescent="0.25">
      <c r="A76" s="34"/>
      <c r="B76" s="32"/>
      <c r="C76" s="32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3"/>
      <c r="AY76" s="33"/>
      <c r="AZ76" s="33"/>
      <c r="BA76" s="33"/>
      <c r="BB76" s="33"/>
    </row>
    <row r="77" spans="1:54" s="5" customFormat="1" x14ac:dyDescent="0.25">
      <c r="A77" s="34"/>
      <c r="B77" s="34"/>
      <c r="C77" s="34"/>
      <c r="D77" s="35"/>
      <c r="E77" s="35"/>
      <c r="F77" s="35"/>
      <c r="G77" s="35"/>
      <c r="H77" s="35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  <c r="AF77" s="37"/>
      <c r="AG77" s="37"/>
      <c r="AH77" s="37"/>
      <c r="AI77" s="37"/>
      <c r="AJ77" s="37"/>
      <c r="AK77" s="37"/>
      <c r="AL77" s="37"/>
      <c r="AM77" s="37"/>
      <c r="AN77" s="37"/>
      <c r="AO77" s="37"/>
      <c r="AP77" s="37"/>
      <c r="AQ77" s="37"/>
      <c r="AR77" s="37"/>
      <c r="AS77" s="37"/>
      <c r="AT77" s="37"/>
      <c r="AU77" s="37"/>
      <c r="AV77" s="37"/>
      <c r="AW77" s="37"/>
      <c r="AX77" s="37"/>
      <c r="AY77" s="37"/>
      <c r="AZ77" s="37"/>
      <c r="BA77" s="37"/>
      <c r="BB77" s="37"/>
    </row>
    <row r="78" spans="1:54" x14ac:dyDescent="0.25">
      <c r="A78" s="34"/>
      <c r="B78" s="32"/>
      <c r="C78" s="32"/>
      <c r="D78" s="36"/>
      <c r="E78" s="36"/>
      <c r="F78" s="36"/>
      <c r="G78" s="36"/>
      <c r="H78" s="36"/>
      <c r="I78" s="36"/>
      <c r="J78" s="36"/>
      <c r="K78" s="36"/>
      <c r="L78" s="36"/>
      <c r="M78" s="36"/>
      <c r="N78" s="36"/>
      <c r="O78" s="36"/>
      <c r="P78" s="36"/>
      <c r="Q78" s="36"/>
      <c r="R78" s="36"/>
      <c r="S78" s="36"/>
      <c r="T78" s="36"/>
      <c r="U78" s="36"/>
      <c r="V78" s="36"/>
      <c r="W78" s="36"/>
      <c r="X78" s="36"/>
      <c r="Y78" s="36"/>
      <c r="Z78" s="36"/>
      <c r="AA78" s="36"/>
      <c r="AB78" s="36"/>
      <c r="AC78" s="36"/>
      <c r="AD78" s="36"/>
      <c r="AE78" s="36"/>
      <c r="AF78" s="36"/>
      <c r="AG78" s="36"/>
      <c r="AH78" s="36"/>
      <c r="AI78" s="36"/>
      <c r="AJ78" s="36"/>
      <c r="AK78" s="36"/>
      <c r="AL78" s="36"/>
      <c r="AM78" s="36"/>
      <c r="AN78" s="36"/>
      <c r="AO78" s="36"/>
      <c r="AP78" s="36"/>
      <c r="AQ78" s="36"/>
      <c r="AR78" s="36"/>
      <c r="AS78" s="36"/>
      <c r="AT78" s="36"/>
      <c r="AU78" s="36"/>
      <c r="AV78" s="36"/>
      <c r="AW78" s="36"/>
      <c r="AX78" s="36"/>
      <c r="AY78" s="36"/>
      <c r="AZ78" s="36"/>
      <c r="BA78" s="36"/>
      <c r="BB78" s="36"/>
    </row>
    <row r="79" spans="1:54" s="5" customFormat="1" x14ac:dyDescent="0.25">
      <c r="A79" s="32"/>
      <c r="B79" s="32"/>
      <c r="C79" s="32"/>
      <c r="D79" s="33"/>
      <c r="E79" s="33"/>
      <c r="F79" s="33"/>
      <c r="G79" s="33"/>
      <c r="H79" s="33"/>
      <c r="I79" s="33"/>
      <c r="J79" s="33"/>
      <c r="K79" s="33"/>
      <c r="L79" s="33"/>
      <c r="M79" s="36"/>
      <c r="N79" s="36"/>
      <c r="O79" s="36"/>
      <c r="P79" s="33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  <c r="AJ79" s="36"/>
      <c r="AK79" s="36"/>
      <c r="AL79" s="36"/>
      <c r="AM79" s="36"/>
      <c r="AN79" s="36"/>
      <c r="AO79" s="36"/>
      <c r="AP79" s="36"/>
      <c r="AQ79" s="36"/>
      <c r="AR79" s="36"/>
      <c r="AS79" s="36"/>
      <c r="AT79" s="36"/>
      <c r="AU79" s="36"/>
      <c r="AV79" s="36"/>
      <c r="AW79" s="36"/>
      <c r="AX79" s="36"/>
      <c r="AY79" s="36"/>
      <c r="AZ79" s="36"/>
      <c r="BA79" s="36"/>
      <c r="BB79" s="36"/>
    </row>
    <row r="80" spans="1:54" x14ac:dyDescent="0.25">
      <c r="A80" s="34"/>
      <c r="B80" s="34"/>
      <c r="C80" s="34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37"/>
      <c r="AP80" s="37"/>
      <c r="AQ80" s="37"/>
      <c r="AR80" s="37"/>
      <c r="AS80" s="37"/>
      <c r="AT80" s="37"/>
      <c r="AU80" s="37"/>
      <c r="AV80" s="37"/>
      <c r="AW80" s="37"/>
      <c r="AX80" s="37"/>
      <c r="AY80" s="37"/>
      <c r="AZ80" s="37"/>
      <c r="BA80" s="37"/>
      <c r="BB80" s="37"/>
    </row>
    <row r="81" spans="1:54" s="5" customFormat="1" x14ac:dyDescent="0.25">
      <c r="A81" s="32"/>
      <c r="B81" s="32"/>
      <c r="C81" s="32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  <c r="AG81" s="33"/>
      <c r="AH81" s="33"/>
      <c r="AI81" s="33"/>
      <c r="AJ81" s="33"/>
      <c r="AK81" s="33"/>
      <c r="AL81" s="33"/>
      <c r="AM81" s="33"/>
      <c r="AN81" s="33"/>
      <c r="AO81" s="33"/>
      <c r="AP81" s="33"/>
      <c r="AQ81" s="33"/>
      <c r="AR81" s="33"/>
      <c r="AS81" s="33"/>
      <c r="AT81" s="33"/>
      <c r="AU81" s="36"/>
      <c r="AV81" s="33"/>
      <c r="AW81" s="33"/>
      <c r="AX81" s="33"/>
      <c r="AY81" s="33"/>
      <c r="AZ81" s="33"/>
      <c r="BA81" s="36"/>
      <c r="BB81" s="36"/>
    </row>
    <row r="82" spans="1:54" x14ac:dyDescent="0.25">
      <c r="A82" s="34"/>
      <c r="B82" s="34"/>
      <c r="C82" s="34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  <c r="AF82" s="37"/>
      <c r="AG82" s="37"/>
      <c r="AH82" s="37"/>
      <c r="AI82" s="37"/>
      <c r="AJ82" s="37"/>
      <c r="AK82" s="37"/>
      <c r="AL82" s="37"/>
      <c r="AM82" s="37"/>
      <c r="AN82" s="37"/>
      <c r="AO82" s="37"/>
      <c r="AP82" s="37"/>
      <c r="AQ82" s="37"/>
      <c r="AR82" s="37"/>
      <c r="AS82" s="37"/>
      <c r="AT82" s="37"/>
      <c r="AU82" s="37"/>
      <c r="AV82" s="37"/>
      <c r="AW82" s="37"/>
      <c r="AX82" s="37"/>
      <c r="AY82" s="37"/>
      <c r="AZ82" s="37"/>
      <c r="BA82" s="37"/>
      <c r="BB82" s="37"/>
    </row>
    <row r="83" spans="1:54" s="5" customFormat="1" x14ac:dyDescent="0.25">
      <c r="A83" s="32"/>
      <c r="B83" s="32"/>
      <c r="C83" s="32"/>
      <c r="D83" s="33"/>
      <c r="E83" s="33"/>
      <c r="F83" s="33"/>
      <c r="G83" s="33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  <c r="AB83" s="36"/>
      <c r="AC83" s="36"/>
      <c r="AD83" s="36"/>
      <c r="AE83" s="36"/>
      <c r="AF83" s="36"/>
      <c r="AG83" s="36"/>
      <c r="AH83" s="36"/>
      <c r="AI83" s="36"/>
      <c r="AJ83" s="36"/>
      <c r="AK83" s="36"/>
      <c r="AL83" s="36"/>
      <c r="AM83" s="36"/>
      <c r="AN83" s="36"/>
      <c r="AO83" s="36"/>
      <c r="AP83" s="36"/>
      <c r="AQ83" s="36"/>
      <c r="AR83" s="36"/>
      <c r="AS83" s="36"/>
      <c r="AT83" s="36"/>
      <c r="AU83" s="36"/>
      <c r="AV83" s="36"/>
      <c r="AW83" s="36"/>
      <c r="AX83" s="36"/>
      <c r="AY83" s="36"/>
      <c r="AZ83" s="36"/>
      <c r="BA83" s="36"/>
      <c r="BB83" s="36"/>
    </row>
    <row r="84" spans="1:54" x14ac:dyDescent="0.25">
      <c r="A84" s="34"/>
      <c r="B84" s="34"/>
      <c r="C84" s="34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7"/>
      <c r="R84" s="37"/>
      <c r="S84" s="35"/>
      <c r="T84" s="35"/>
      <c r="U84" s="35"/>
      <c r="V84" s="35"/>
      <c r="W84" s="35"/>
      <c r="X84" s="37"/>
      <c r="Y84" s="35"/>
      <c r="Z84" s="35"/>
      <c r="AA84" s="35"/>
      <c r="AB84" s="35"/>
      <c r="AC84" s="35"/>
      <c r="AD84" s="35"/>
      <c r="AE84" s="35"/>
      <c r="AF84" s="35"/>
      <c r="AG84" s="35"/>
      <c r="AH84" s="35"/>
      <c r="AI84" s="35"/>
      <c r="AJ84" s="37"/>
      <c r="AK84" s="35"/>
      <c r="AL84" s="37"/>
      <c r="AM84" s="35"/>
      <c r="AN84" s="35"/>
      <c r="AO84" s="37"/>
      <c r="AP84" s="35"/>
      <c r="AQ84" s="37"/>
      <c r="AR84" s="37"/>
      <c r="AS84" s="37"/>
      <c r="AT84" s="37"/>
      <c r="AU84" s="37"/>
      <c r="AV84" s="37"/>
      <c r="AW84" s="37"/>
      <c r="AX84" s="37"/>
      <c r="AY84" s="37"/>
      <c r="AZ84" s="37"/>
      <c r="BA84" s="37"/>
      <c r="BB84" s="37"/>
    </row>
    <row r="85" spans="1:54" s="5" customFormat="1" x14ac:dyDescent="0.25">
      <c r="A85" s="32"/>
      <c r="B85" s="32"/>
      <c r="C85" s="32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6"/>
      <c r="Y85" s="36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3"/>
      <c r="AY85" s="33"/>
      <c r="AZ85" s="33"/>
      <c r="BA85" s="33"/>
      <c r="BB85" s="36"/>
    </row>
    <row r="86" spans="1:54" x14ac:dyDescent="0.25">
      <c r="A86" s="34"/>
      <c r="B86" s="34"/>
      <c r="C86" s="34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  <c r="Z86" s="37"/>
      <c r="AA86" s="37"/>
      <c r="AB86" s="37"/>
      <c r="AC86" s="37"/>
      <c r="AD86" s="37"/>
      <c r="AE86" s="37"/>
      <c r="AF86" s="37"/>
      <c r="AG86" s="37"/>
      <c r="AH86" s="37"/>
      <c r="AI86" s="37"/>
      <c r="AJ86" s="37"/>
      <c r="AK86" s="37"/>
      <c r="AL86" s="37"/>
      <c r="AM86" s="37"/>
      <c r="AN86" s="37"/>
      <c r="AO86" s="37"/>
      <c r="AP86" s="37"/>
      <c r="AQ86" s="37"/>
      <c r="AR86" s="37"/>
      <c r="AS86" s="37"/>
      <c r="AT86" s="37"/>
      <c r="AU86" s="37"/>
      <c r="AV86" s="37"/>
      <c r="AW86" s="37"/>
      <c r="AX86" s="37"/>
      <c r="AY86" s="37"/>
      <c r="AZ86" s="37"/>
      <c r="BA86" s="37"/>
      <c r="BB86" s="37"/>
    </row>
    <row r="87" spans="1:54" s="5" customFormat="1" x14ac:dyDescent="0.25">
      <c r="A87" s="32"/>
      <c r="B87" s="32"/>
      <c r="C87" s="32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3"/>
      <c r="AY87" s="33"/>
      <c r="AZ87" s="33"/>
      <c r="BA87" s="33"/>
      <c r="BB87" s="33"/>
    </row>
    <row r="88" spans="1:54" x14ac:dyDescent="0.25">
      <c r="A88" s="34"/>
      <c r="B88" s="34"/>
      <c r="C88" s="34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  <c r="X88" s="35"/>
      <c r="Y88" s="35"/>
      <c r="Z88" s="35"/>
      <c r="AA88" s="35"/>
      <c r="AB88" s="35"/>
      <c r="AC88" s="35"/>
      <c r="AD88" s="35"/>
      <c r="AE88" s="35"/>
      <c r="AF88" s="35"/>
      <c r="AG88" s="35"/>
      <c r="AH88" s="35"/>
      <c r="AI88" s="35"/>
      <c r="AJ88" s="35"/>
      <c r="AK88" s="35"/>
      <c r="AL88" s="35"/>
      <c r="AM88" s="35"/>
      <c r="AN88" s="35"/>
      <c r="AO88" s="35"/>
      <c r="AP88" s="35"/>
      <c r="AQ88" s="35"/>
      <c r="AR88" s="35"/>
      <c r="AS88" s="35"/>
      <c r="AT88" s="35"/>
      <c r="AU88" s="35"/>
      <c r="AV88" s="35"/>
      <c r="AW88" s="35"/>
      <c r="AX88" s="35"/>
      <c r="AY88" s="35"/>
      <c r="AZ88" s="35"/>
      <c r="BA88" s="35"/>
      <c r="BB88" s="35"/>
    </row>
    <row r="89" spans="1:54" s="5" customFormat="1" x14ac:dyDescent="0.25">
      <c r="A89" s="32"/>
      <c r="B89" s="32"/>
      <c r="C89" s="32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3"/>
      <c r="AY89" s="33"/>
      <c r="AZ89" s="33"/>
      <c r="BA89" s="33"/>
      <c r="BB89" s="33"/>
    </row>
    <row r="90" spans="1:54" x14ac:dyDescent="0.25">
      <c r="A90" s="34"/>
      <c r="B90" s="34"/>
      <c r="C90" s="34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  <c r="X90" s="35"/>
      <c r="Y90" s="35"/>
      <c r="Z90" s="35"/>
      <c r="AA90" s="35"/>
      <c r="AB90" s="35"/>
      <c r="AC90" s="37"/>
      <c r="AD90" s="35"/>
      <c r="AE90" s="37"/>
      <c r="AF90" s="37"/>
      <c r="AG90" s="37"/>
      <c r="AH90" s="37"/>
      <c r="AI90" s="37"/>
      <c r="AJ90" s="37"/>
      <c r="AK90" s="37"/>
      <c r="AL90" s="37"/>
      <c r="AM90" s="37"/>
      <c r="AN90" s="37"/>
      <c r="AO90" s="37"/>
      <c r="AP90" s="37"/>
      <c r="AQ90" s="37"/>
      <c r="AR90" s="37"/>
      <c r="AS90" s="37"/>
      <c r="AT90" s="37"/>
      <c r="AU90" s="37"/>
      <c r="AV90" s="37"/>
      <c r="AW90" s="37"/>
      <c r="AX90" s="37"/>
      <c r="AY90" s="37"/>
      <c r="AZ90" s="37"/>
      <c r="BA90" s="37"/>
      <c r="BB90" s="37"/>
    </row>
    <row r="91" spans="1:54" s="5" customFormat="1" x14ac:dyDescent="0.25">
      <c r="A91" s="32"/>
      <c r="B91" s="32"/>
      <c r="C91" s="32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  <c r="AL91" s="33"/>
      <c r="AM91" s="33"/>
      <c r="AN91" s="33"/>
      <c r="AO91" s="33"/>
      <c r="AP91" s="33"/>
      <c r="AQ91" s="33"/>
      <c r="AR91" s="33"/>
      <c r="AS91" s="33"/>
      <c r="AT91" s="33"/>
      <c r="AU91" s="33"/>
      <c r="AV91" s="33"/>
      <c r="AW91" s="33"/>
      <c r="AX91" s="33"/>
      <c r="AY91" s="33"/>
      <c r="AZ91" s="33"/>
      <c r="BA91" s="33"/>
      <c r="BB91" s="33"/>
    </row>
    <row r="92" spans="1:54" x14ac:dyDescent="0.25">
      <c r="A92" s="34"/>
      <c r="B92" s="34"/>
      <c r="C92" s="34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  <c r="AB92" s="35"/>
      <c r="AC92" s="35"/>
      <c r="AD92" s="35"/>
      <c r="AE92" s="35"/>
      <c r="AF92" s="35"/>
      <c r="AG92" s="35"/>
      <c r="AH92" s="35"/>
      <c r="AI92" s="35"/>
      <c r="AJ92" s="35"/>
      <c r="AK92" s="35"/>
      <c r="AL92" s="35"/>
      <c r="AM92" s="35"/>
      <c r="AN92" s="35"/>
      <c r="AO92" s="35"/>
      <c r="AP92" s="35"/>
      <c r="AQ92" s="35"/>
      <c r="AR92" s="35"/>
      <c r="AS92" s="35"/>
      <c r="AT92" s="35"/>
      <c r="AU92" s="35"/>
      <c r="AV92" s="37"/>
      <c r="AW92" s="37"/>
      <c r="AX92" s="37"/>
      <c r="AY92" s="37"/>
      <c r="AZ92" s="37"/>
      <c r="BA92" s="37"/>
      <c r="BB92" s="37"/>
    </row>
    <row r="93" spans="1:54" s="5" customFormat="1" x14ac:dyDescent="0.25">
      <c r="A93" s="32"/>
      <c r="B93" s="32"/>
      <c r="C93" s="32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6"/>
      <c r="AA93" s="33"/>
      <c r="AB93" s="33"/>
      <c r="AC93" s="33"/>
      <c r="AD93" s="36"/>
      <c r="AE93" s="36"/>
      <c r="AF93" s="36"/>
      <c r="AG93" s="36"/>
      <c r="AH93" s="36"/>
      <c r="AI93" s="36"/>
      <c r="AJ93" s="36"/>
      <c r="AK93" s="36"/>
      <c r="AL93" s="36"/>
      <c r="AM93" s="36"/>
      <c r="AN93" s="36"/>
      <c r="AO93" s="36"/>
      <c r="AP93" s="36"/>
      <c r="AQ93" s="36"/>
      <c r="AR93" s="36"/>
      <c r="AS93" s="36"/>
      <c r="AT93" s="36"/>
      <c r="AU93" s="36"/>
      <c r="AV93" s="36"/>
      <c r="AW93" s="36"/>
      <c r="AX93" s="36"/>
      <c r="AY93" s="36"/>
      <c r="AZ93" s="36"/>
      <c r="BA93" s="36"/>
      <c r="BB93" s="36"/>
    </row>
    <row r="94" spans="1:54" x14ac:dyDescent="0.25">
      <c r="A94" s="34"/>
      <c r="B94" s="34"/>
      <c r="C94" s="34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35"/>
      <c r="AE94" s="35"/>
      <c r="AF94" s="35"/>
      <c r="AG94" s="35"/>
      <c r="AH94" s="35"/>
      <c r="AI94" s="35"/>
      <c r="AJ94" s="35"/>
      <c r="AK94" s="35"/>
      <c r="AL94" s="35"/>
      <c r="AM94" s="35"/>
      <c r="AN94" s="35"/>
      <c r="AO94" s="35"/>
      <c r="AP94" s="35"/>
      <c r="AQ94" s="35"/>
      <c r="AR94" s="35"/>
      <c r="AS94" s="35"/>
      <c r="AT94" s="35"/>
      <c r="AU94" s="35"/>
      <c r="AV94" s="35"/>
      <c r="AW94" s="35"/>
      <c r="AX94" s="35"/>
      <c r="AY94" s="35"/>
      <c r="AZ94" s="35"/>
      <c r="BA94" s="35"/>
      <c r="BB94" s="35"/>
    </row>
    <row r="95" spans="1:54" s="5" customFormat="1" x14ac:dyDescent="0.25">
      <c r="A95" s="32"/>
      <c r="B95" s="32"/>
      <c r="C95" s="32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3"/>
      <c r="AY95" s="33"/>
      <c r="AZ95" s="33"/>
      <c r="BA95" s="33"/>
      <c r="BB95" s="33"/>
    </row>
    <row r="96" spans="1:54" s="5" customFormat="1" x14ac:dyDescent="0.25">
      <c r="A96" s="34"/>
      <c r="B96" s="34"/>
      <c r="C96" s="34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AU96" s="35"/>
      <c r="AV96" s="35"/>
      <c r="AW96" s="35"/>
      <c r="AX96" s="35"/>
      <c r="AY96" s="35"/>
      <c r="AZ96" s="35"/>
      <c r="BA96" s="35"/>
      <c r="BB96" s="35"/>
    </row>
    <row r="97" spans="1:54" x14ac:dyDescent="0.25">
      <c r="A97" s="34"/>
      <c r="B97" s="32"/>
      <c r="C97" s="32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6"/>
      <c r="T97" s="36"/>
      <c r="U97" s="36"/>
      <c r="V97" s="36"/>
      <c r="W97" s="33"/>
      <c r="X97" s="33"/>
      <c r="Y97" s="33"/>
      <c r="Z97" s="36"/>
      <c r="AA97" s="33"/>
      <c r="AB97" s="36"/>
      <c r="AC97" s="36"/>
      <c r="AD97" s="36"/>
      <c r="AE97" s="33"/>
      <c r="AF97" s="33"/>
      <c r="AG97" s="33"/>
      <c r="AH97" s="36"/>
      <c r="AI97" s="33"/>
      <c r="AJ97" s="36"/>
      <c r="AK97" s="36"/>
      <c r="AL97" s="36"/>
      <c r="AM97" s="36"/>
      <c r="AN97" s="36"/>
      <c r="AO97" s="36"/>
      <c r="AP97" s="36"/>
      <c r="AQ97" s="36"/>
      <c r="AR97" s="36"/>
      <c r="AS97" s="36"/>
      <c r="AT97" s="36"/>
      <c r="AU97" s="36"/>
      <c r="AV97" s="36"/>
      <c r="AW97" s="36"/>
      <c r="AX97" s="36"/>
      <c r="AY97" s="36"/>
      <c r="AZ97" s="36"/>
      <c r="BA97" s="36"/>
      <c r="BB97" s="36"/>
    </row>
    <row r="98" spans="1:54" s="5" customFormat="1" x14ac:dyDescent="0.25">
      <c r="A98" s="34"/>
      <c r="B98" s="34"/>
      <c r="C98" s="34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AU98" s="35"/>
      <c r="AV98" s="35"/>
      <c r="AW98" s="35"/>
      <c r="AX98" s="35"/>
      <c r="AY98" s="35"/>
      <c r="AZ98" s="35"/>
      <c r="BA98" s="35"/>
      <c r="BB98" s="35"/>
    </row>
    <row r="99" spans="1:54" x14ac:dyDescent="0.25">
      <c r="A99" s="34"/>
      <c r="B99" s="32"/>
      <c r="C99" s="32"/>
      <c r="D99" s="33"/>
      <c r="E99" s="33"/>
      <c r="F99" s="33"/>
      <c r="G99" s="33"/>
      <c r="H99" s="33"/>
      <c r="I99" s="33"/>
      <c r="J99" s="36"/>
      <c r="K99" s="33"/>
      <c r="L99" s="36"/>
      <c r="M99" s="36"/>
      <c r="N99" s="36"/>
      <c r="O99" s="36"/>
      <c r="P99" s="36"/>
      <c r="Q99" s="36"/>
      <c r="R99" s="33"/>
      <c r="S99" s="36"/>
      <c r="T99" s="36"/>
      <c r="U99" s="36"/>
      <c r="V99" s="36"/>
      <c r="W99" s="36"/>
      <c r="X99" s="36"/>
      <c r="Y99" s="33"/>
      <c r="Z99" s="36"/>
      <c r="AA99" s="36"/>
      <c r="AB99" s="36"/>
      <c r="AC99" s="36"/>
      <c r="AD99" s="36"/>
      <c r="AE99" s="36"/>
      <c r="AF99" s="33"/>
      <c r="AG99" s="33"/>
      <c r="AH99" s="36"/>
      <c r="AI99" s="36"/>
      <c r="AJ99" s="36"/>
      <c r="AK99" s="36"/>
      <c r="AL99" s="36"/>
      <c r="AM99" s="36"/>
      <c r="AN99" s="36"/>
      <c r="AO99" s="36"/>
      <c r="AP99" s="36"/>
      <c r="AQ99" s="36"/>
      <c r="AR99" s="36"/>
      <c r="AS99" s="36"/>
      <c r="AT99" s="36"/>
      <c r="AU99" s="36"/>
      <c r="AV99" s="36"/>
      <c r="AW99" s="36"/>
      <c r="AX99" s="36"/>
      <c r="AY99" s="36"/>
      <c r="AZ99" s="36"/>
      <c r="BA99" s="36"/>
      <c r="BB99" s="36"/>
    </row>
    <row r="100" spans="1:54" s="5" customFormat="1" x14ac:dyDescent="0.25">
      <c r="A100" s="32"/>
      <c r="B100" s="32"/>
      <c r="C100" s="32"/>
      <c r="D100" s="36"/>
      <c r="E100" s="36"/>
      <c r="F100" s="36"/>
      <c r="G100" s="36"/>
      <c r="H100" s="36"/>
      <c r="I100" s="36"/>
      <c r="J100" s="36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6"/>
      <c r="W100" s="36"/>
      <c r="X100" s="36"/>
      <c r="Y100" s="36"/>
      <c r="Z100" s="36"/>
      <c r="AA100" s="36"/>
      <c r="AB100" s="36"/>
      <c r="AC100" s="36"/>
      <c r="AD100" s="36"/>
      <c r="AE100" s="36"/>
      <c r="AF100" s="36"/>
      <c r="AG100" s="36"/>
      <c r="AH100" s="36"/>
      <c r="AI100" s="36"/>
      <c r="AJ100" s="36"/>
      <c r="AK100" s="36"/>
      <c r="AL100" s="36"/>
      <c r="AM100" s="36"/>
      <c r="AN100" s="36"/>
      <c r="AO100" s="36"/>
      <c r="AP100" s="36"/>
      <c r="AQ100" s="36"/>
      <c r="AR100" s="36"/>
      <c r="AS100" s="36"/>
      <c r="AT100" s="36"/>
      <c r="AU100" s="36"/>
      <c r="AV100" s="36"/>
      <c r="AW100" s="36"/>
      <c r="AX100" s="36"/>
      <c r="AY100" s="36"/>
      <c r="AZ100" s="36"/>
      <c r="BA100" s="36"/>
      <c r="BB100" s="36"/>
    </row>
    <row r="101" spans="1:54" x14ac:dyDescent="0.25">
      <c r="A101" s="34"/>
      <c r="B101" s="34"/>
      <c r="C101" s="34"/>
      <c r="D101" s="35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R101" s="35"/>
      <c r="S101" s="35"/>
      <c r="T101" s="35"/>
      <c r="U101" s="35"/>
      <c r="V101" s="35"/>
      <c r="W101" s="35"/>
      <c r="X101" s="35"/>
      <c r="Y101" s="35"/>
      <c r="Z101" s="35"/>
      <c r="AA101" s="35"/>
      <c r="AB101" s="35"/>
      <c r="AC101" s="35"/>
      <c r="AD101" s="35"/>
      <c r="AE101" s="35"/>
      <c r="AF101" s="35"/>
      <c r="AG101" s="35"/>
      <c r="AH101" s="35"/>
      <c r="AI101" s="35"/>
      <c r="AJ101" s="35"/>
      <c r="AK101" s="35"/>
      <c r="AL101" s="35"/>
      <c r="AM101" s="35"/>
      <c r="AN101" s="35"/>
      <c r="AO101" s="35"/>
      <c r="AP101" s="35"/>
      <c r="AQ101" s="35"/>
      <c r="AR101" s="35"/>
      <c r="AS101" s="35"/>
      <c r="AT101" s="35"/>
      <c r="AU101" s="35"/>
      <c r="AV101" s="35"/>
      <c r="AW101" s="35"/>
      <c r="AX101" s="35"/>
      <c r="AY101" s="35"/>
      <c r="AZ101" s="35"/>
      <c r="BA101" s="35"/>
      <c r="BB101" s="35"/>
    </row>
    <row r="102" spans="1:54" s="5" customFormat="1" x14ac:dyDescent="0.25">
      <c r="A102" s="32"/>
      <c r="B102" s="32"/>
      <c r="C102" s="32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  <c r="AJ102" s="36"/>
      <c r="AK102" s="36"/>
      <c r="AL102" s="36"/>
      <c r="AM102" s="36"/>
      <c r="AN102" s="36"/>
      <c r="AO102" s="36"/>
      <c r="AP102" s="36"/>
      <c r="AQ102" s="36"/>
      <c r="AR102" s="36"/>
      <c r="AS102" s="36"/>
      <c r="AT102" s="36"/>
      <c r="AU102" s="36"/>
      <c r="AV102" s="36"/>
      <c r="AW102" s="36"/>
      <c r="AX102" s="36"/>
      <c r="AY102" s="36"/>
      <c r="AZ102" s="36"/>
      <c r="BA102" s="36"/>
      <c r="BB102" s="36"/>
    </row>
    <row r="103" spans="1:54" x14ac:dyDescent="0.25">
      <c r="A103" s="34"/>
      <c r="B103" s="34"/>
      <c r="C103" s="34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7"/>
      <c r="R103" s="37"/>
      <c r="S103" s="37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  <c r="AD103" s="37"/>
      <c r="AE103" s="37"/>
      <c r="AF103" s="37"/>
      <c r="AG103" s="37"/>
      <c r="AH103" s="37"/>
      <c r="AI103" s="37"/>
      <c r="AJ103" s="37"/>
      <c r="AK103" s="37"/>
      <c r="AL103" s="37"/>
      <c r="AM103" s="37"/>
      <c r="AN103" s="37"/>
      <c r="AO103" s="37"/>
      <c r="AP103" s="37"/>
      <c r="AQ103" s="37"/>
      <c r="AR103" s="37"/>
      <c r="AS103" s="37"/>
      <c r="AT103" s="37"/>
      <c r="AU103" s="37"/>
      <c r="AV103" s="37"/>
      <c r="AW103" s="37"/>
      <c r="AX103" s="37"/>
      <c r="AY103" s="37"/>
      <c r="AZ103" s="37"/>
      <c r="BA103" s="37"/>
      <c r="BB103" s="37"/>
    </row>
    <row r="104" spans="1:54" s="5" customFormat="1" x14ac:dyDescent="0.25">
      <c r="A104" s="32"/>
      <c r="B104" s="32"/>
      <c r="C104" s="32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6"/>
      <c r="AN104" s="36"/>
      <c r="AO104" s="36"/>
      <c r="AP104" s="36"/>
      <c r="AQ104" s="36"/>
      <c r="AR104" s="36"/>
      <c r="AS104" s="36"/>
      <c r="AT104" s="36"/>
      <c r="AU104" s="36"/>
      <c r="AV104" s="36"/>
      <c r="AW104" s="36"/>
      <c r="AX104" s="36"/>
      <c r="AY104" s="36"/>
      <c r="AZ104" s="36"/>
      <c r="BA104" s="36"/>
      <c r="BB104" s="36"/>
    </row>
    <row r="105" spans="1:54" x14ac:dyDescent="0.25">
      <c r="A105" s="34"/>
      <c r="B105" s="34"/>
      <c r="C105" s="34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7"/>
      <c r="R105" s="35"/>
      <c r="S105" s="35"/>
      <c r="T105" s="35"/>
      <c r="U105" s="35"/>
      <c r="V105" s="37"/>
      <c r="W105" s="37"/>
      <c r="X105" s="35"/>
      <c r="Y105" s="37"/>
      <c r="Z105" s="37"/>
      <c r="AA105" s="35"/>
      <c r="AB105" s="35"/>
      <c r="AC105" s="35"/>
      <c r="AD105" s="37"/>
      <c r="AE105" s="35"/>
      <c r="AF105" s="35"/>
      <c r="AG105" s="35"/>
      <c r="AH105" s="35"/>
      <c r="AI105" s="35"/>
      <c r="AJ105" s="35"/>
      <c r="AK105" s="35"/>
      <c r="AL105" s="37"/>
      <c r="AM105" s="37"/>
      <c r="AN105" s="35"/>
      <c r="AO105" s="35"/>
      <c r="AP105" s="35"/>
      <c r="AQ105" s="35"/>
      <c r="AR105" s="35"/>
      <c r="AS105" s="35"/>
      <c r="AT105" s="35"/>
      <c r="AU105" s="35"/>
      <c r="AV105" s="35"/>
      <c r="AW105" s="35"/>
      <c r="AX105" s="35"/>
      <c r="AY105" s="35"/>
      <c r="AZ105" s="35"/>
      <c r="BA105" s="37"/>
      <c r="BB105" s="37"/>
    </row>
    <row r="106" spans="1:54" s="5" customFormat="1" x14ac:dyDescent="0.25">
      <c r="A106" s="32"/>
      <c r="B106" s="32"/>
      <c r="C106" s="32"/>
      <c r="D106" s="33"/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  <c r="AA106" s="33"/>
      <c r="AB106" s="36"/>
      <c r="AC106" s="36"/>
      <c r="AD106" s="36"/>
      <c r="AE106" s="36"/>
      <c r="AF106" s="36"/>
      <c r="AG106" s="36"/>
      <c r="AH106" s="36"/>
      <c r="AI106" s="36"/>
      <c r="AJ106" s="36"/>
      <c r="AK106" s="36"/>
      <c r="AL106" s="36"/>
      <c r="AM106" s="33"/>
      <c r="AN106" s="36"/>
      <c r="AO106" s="36"/>
      <c r="AP106" s="36"/>
      <c r="AQ106" s="36"/>
      <c r="AR106" s="36"/>
      <c r="AS106" s="36"/>
      <c r="AT106" s="36"/>
      <c r="AU106" s="36"/>
      <c r="AV106" s="36"/>
      <c r="AW106" s="36"/>
      <c r="AX106" s="36"/>
      <c r="AY106" s="33"/>
      <c r="AZ106" s="33"/>
      <c r="BA106" s="33"/>
      <c r="BB106" s="33"/>
    </row>
    <row r="107" spans="1:54" x14ac:dyDescent="0.25">
      <c r="A107" s="34"/>
      <c r="B107" s="34"/>
      <c r="C107" s="34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  <c r="R107" s="37"/>
      <c r="S107" s="37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  <c r="AD107" s="37"/>
      <c r="AE107" s="37"/>
      <c r="AF107" s="37"/>
      <c r="AG107" s="37"/>
      <c r="AH107" s="37"/>
      <c r="AI107" s="37"/>
      <c r="AJ107" s="37"/>
      <c r="AK107" s="37"/>
      <c r="AL107" s="37"/>
      <c r="AM107" s="37"/>
      <c r="AN107" s="37"/>
      <c r="AO107" s="37"/>
      <c r="AP107" s="37"/>
      <c r="AQ107" s="37"/>
      <c r="AR107" s="37"/>
      <c r="AS107" s="37"/>
      <c r="AT107" s="37"/>
      <c r="AU107" s="37"/>
      <c r="AV107" s="37"/>
      <c r="AW107" s="37"/>
      <c r="AX107" s="37"/>
      <c r="AY107" s="37"/>
      <c r="AZ107" s="37"/>
      <c r="BA107" s="37"/>
      <c r="BB107" s="37"/>
    </row>
    <row r="108" spans="1:54" s="5" customFormat="1" x14ac:dyDescent="0.25">
      <c r="A108" s="32"/>
      <c r="B108" s="32"/>
      <c r="C108" s="32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6"/>
      <c r="V108" s="36"/>
      <c r="W108" s="36"/>
      <c r="X108" s="36"/>
      <c r="Y108" s="36"/>
      <c r="Z108" s="36"/>
      <c r="AA108" s="36"/>
      <c r="AB108" s="36"/>
      <c r="AC108" s="36"/>
      <c r="AD108" s="36"/>
      <c r="AE108" s="36"/>
      <c r="AF108" s="36"/>
      <c r="AG108" s="36"/>
      <c r="AH108" s="36"/>
      <c r="AI108" s="36"/>
      <c r="AJ108" s="36"/>
      <c r="AK108" s="36"/>
      <c r="AL108" s="36"/>
      <c r="AM108" s="36"/>
      <c r="AN108" s="36"/>
      <c r="AO108" s="36"/>
      <c r="AP108" s="36"/>
      <c r="AQ108" s="36"/>
      <c r="AR108" s="36"/>
      <c r="AS108" s="36"/>
      <c r="AT108" s="36"/>
      <c r="AU108" s="36"/>
      <c r="AV108" s="36"/>
      <c r="AW108" s="36"/>
      <c r="AX108" s="36"/>
      <c r="AY108" s="36"/>
      <c r="AZ108" s="36"/>
      <c r="BA108" s="36"/>
      <c r="BB108" s="36"/>
    </row>
    <row r="109" spans="1:54" x14ac:dyDescent="0.25">
      <c r="A109" s="34"/>
      <c r="B109" s="34"/>
      <c r="C109" s="34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7"/>
      <c r="Q109" s="37"/>
      <c r="R109" s="35"/>
      <c r="S109" s="35"/>
      <c r="T109" s="35"/>
      <c r="U109" s="37"/>
      <c r="V109" s="37"/>
      <c r="W109" s="37"/>
      <c r="X109" s="37"/>
      <c r="Y109" s="37"/>
      <c r="Z109" s="37"/>
      <c r="AA109" s="35"/>
      <c r="AB109" s="35"/>
      <c r="AC109" s="35"/>
      <c r="AD109" s="35"/>
      <c r="AE109" s="35"/>
      <c r="AF109" s="37"/>
      <c r="AG109" s="37"/>
      <c r="AH109" s="37"/>
      <c r="AI109" s="37"/>
      <c r="AJ109" s="35"/>
      <c r="AK109" s="35"/>
      <c r="AL109" s="37"/>
      <c r="AM109" s="37"/>
      <c r="AN109" s="37"/>
      <c r="AO109" s="37"/>
      <c r="AP109" s="35"/>
      <c r="AQ109" s="35"/>
      <c r="AR109" s="35"/>
      <c r="AS109" s="35"/>
      <c r="AT109" s="37"/>
      <c r="AU109" s="37"/>
      <c r="AV109" s="37"/>
      <c r="AW109" s="37"/>
      <c r="AX109" s="37"/>
      <c r="AY109" s="37"/>
      <c r="AZ109" s="37"/>
      <c r="BA109" s="37"/>
      <c r="BB109" s="37"/>
    </row>
    <row r="110" spans="1:54" s="5" customFormat="1" x14ac:dyDescent="0.25">
      <c r="A110" s="32"/>
      <c r="B110" s="32"/>
      <c r="C110" s="32"/>
      <c r="D110" s="33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6"/>
      <c r="AD110" s="36"/>
      <c r="AE110" s="36"/>
      <c r="AF110" s="36"/>
      <c r="AG110" s="33"/>
      <c r="AH110" s="33"/>
      <c r="AI110" s="33"/>
      <c r="AJ110" s="33"/>
      <c r="AK110" s="33"/>
      <c r="AL110" s="33"/>
      <c r="AM110" s="33"/>
      <c r="AN110" s="33"/>
      <c r="AO110" s="33"/>
      <c r="AP110" s="33"/>
      <c r="AQ110" s="36"/>
      <c r="AR110" s="33"/>
      <c r="AS110" s="33"/>
      <c r="AT110" s="33"/>
      <c r="AU110" s="33"/>
      <c r="AV110" s="33"/>
      <c r="AW110" s="33"/>
      <c r="AX110" s="33"/>
      <c r="AY110" s="33"/>
      <c r="AZ110" s="33"/>
      <c r="BA110" s="33"/>
      <c r="BB110" s="33"/>
    </row>
    <row r="111" spans="1:54" x14ac:dyDescent="0.25">
      <c r="A111" s="34"/>
      <c r="B111" s="34"/>
      <c r="C111" s="34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  <c r="AD111" s="37"/>
      <c r="AE111" s="37"/>
      <c r="AF111" s="37"/>
      <c r="AG111" s="37"/>
      <c r="AH111" s="37"/>
      <c r="AI111" s="37"/>
      <c r="AJ111" s="37"/>
      <c r="AK111" s="37"/>
      <c r="AL111" s="37"/>
      <c r="AM111" s="37"/>
      <c r="AN111" s="37"/>
      <c r="AO111" s="37"/>
      <c r="AP111" s="37"/>
      <c r="AQ111" s="37"/>
      <c r="AR111" s="37"/>
      <c r="AS111" s="37"/>
      <c r="AT111" s="37"/>
      <c r="AU111" s="37"/>
      <c r="AV111" s="37"/>
      <c r="AW111" s="37"/>
      <c r="AX111" s="37"/>
      <c r="AY111" s="37"/>
      <c r="AZ111" s="37"/>
      <c r="BA111" s="37"/>
      <c r="BB111" s="37"/>
    </row>
    <row r="112" spans="1:54" s="5" customFormat="1" x14ac:dyDescent="0.25">
      <c r="A112" s="32"/>
      <c r="B112" s="32"/>
      <c r="C112" s="32"/>
      <c r="D112" s="33"/>
      <c r="E112" s="33"/>
      <c r="F112" s="33"/>
      <c r="G112" s="33"/>
      <c r="H112" s="36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6"/>
      <c r="W112" s="36"/>
      <c r="X112" s="36"/>
      <c r="Y112" s="36"/>
      <c r="Z112" s="36"/>
      <c r="AA112" s="36"/>
      <c r="AB112" s="36"/>
      <c r="AC112" s="36"/>
      <c r="AD112" s="36"/>
      <c r="AE112" s="36"/>
      <c r="AF112" s="36"/>
      <c r="AG112" s="36"/>
      <c r="AH112" s="36"/>
      <c r="AI112" s="36"/>
      <c r="AJ112" s="36"/>
      <c r="AK112" s="36"/>
      <c r="AL112" s="36"/>
      <c r="AM112" s="36"/>
      <c r="AN112" s="36"/>
      <c r="AO112" s="36"/>
      <c r="AP112" s="36"/>
      <c r="AQ112" s="36"/>
      <c r="AR112" s="36"/>
      <c r="AS112" s="36"/>
      <c r="AT112" s="36"/>
      <c r="AU112" s="36"/>
      <c r="AV112" s="36"/>
      <c r="AW112" s="36"/>
      <c r="AX112" s="36"/>
      <c r="AY112" s="36"/>
      <c r="AZ112" s="36"/>
      <c r="BA112" s="36"/>
      <c r="BB112" s="36"/>
    </row>
    <row r="113" spans="1:54" x14ac:dyDescent="0.25">
      <c r="A113" s="34"/>
      <c r="B113" s="34"/>
      <c r="C113" s="34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5"/>
      <c r="AK113" s="35"/>
      <c r="AL113" s="35"/>
      <c r="AM113" s="35"/>
      <c r="AN113" s="37"/>
      <c r="AO113" s="37"/>
      <c r="AP113" s="37"/>
      <c r="AQ113" s="37"/>
      <c r="AR113" s="37"/>
      <c r="AS113" s="37"/>
      <c r="AT113" s="37"/>
      <c r="AU113" s="37"/>
      <c r="AV113" s="37"/>
      <c r="AW113" s="37"/>
      <c r="AX113" s="37"/>
      <c r="AY113" s="37"/>
      <c r="AZ113" s="37"/>
      <c r="BA113" s="37"/>
      <c r="BB113" s="37"/>
    </row>
    <row r="114" spans="1:54" s="5" customFormat="1" x14ac:dyDescent="0.25">
      <c r="A114" s="32"/>
      <c r="B114" s="32"/>
      <c r="C114" s="32"/>
      <c r="D114" s="33"/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  <c r="AA114" s="33"/>
      <c r="AB114" s="36"/>
      <c r="AC114" s="36"/>
      <c r="AD114" s="36"/>
      <c r="AE114" s="36"/>
      <c r="AF114" s="36"/>
      <c r="AG114" s="36"/>
      <c r="AH114" s="36"/>
      <c r="AI114" s="36"/>
      <c r="AJ114" s="33"/>
      <c r="AK114" s="36"/>
      <c r="AL114" s="33"/>
      <c r="AM114" s="33"/>
      <c r="AN114" s="33"/>
      <c r="AO114" s="33"/>
      <c r="AP114" s="33"/>
      <c r="AQ114" s="33"/>
      <c r="AR114" s="33"/>
      <c r="AS114" s="33"/>
      <c r="AT114" s="33"/>
      <c r="AU114" s="33"/>
      <c r="AV114" s="33"/>
      <c r="AW114" s="33"/>
      <c r="AX114" s="33"/>
      <c r="AY114" s="33"/>
      <c r="AZ114" s="33"/>
      <c r="BA114" s="33"/>
      <c r="BB114" s="33"/>
    </row>
    <row r="115" spans="1:54" x14ac:dyDescent="0.25">
      <c r="A115" s="34"/>
      <c r="B115" s="34"/>
      <c r="C115" s="34"/>
      <c r="D115" s="35"/>
      <c r="E115" s="35"/>
      <c r="F115" s="35"/>
      <c r="G115" s="35"/>
      <c r="H115" s="37"/>
      <c r="I115" s="37"/>
      <c r="J115" s="37"/>
      <c r="K115" s="37"/>
      <c r="L115" s="37"/>
      <c r="M115" s="37"/>
      <c r="N115" s="37"/>
      <c r="O115" s="37"/>
      <c r="P115" s="37"/>
      <c r="Q115" s="37"/>
      <c r="R115" s="37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  <c r="AD115" s="37"/>
      <c r="AE115" s="37"/>
      <c r="AF115" s="37"/>
      <c r="AG115" s="37"/>
      <c r="AH115" s="37"/>
      <c r="AI115" s="37"/>
      <c r="AJ115" s="37"/>
      <c r="AK115" s="37"/>
      <c r="AL115" s="37"/>
      <c r="AM115" s="37"/>
      <c r="AN115" s="37"/>
      <c r="AO115" s="37"/>
      <c r="AP115" s="37"/>
      <c r="AQ115" s="37"/>
      <c r="AR115" s="37"/>
      <c r="AS115" s="37"/>
      <c r="AT115" s="37"/>
      <c r="AU115" s="37"/>
      <c r="AV115" s="37"/>
      <c r="AW115" s="37"/>
      <c r="AX115" s="37"/>
      <c r="AY115" s="37"/>
      <c r="AZ115" s="37"/>
      <c r="BA115" s="37"/>
      <c r="BB115" s="37"/>
    </row>
    <row r="116" spans="1:54" s="5" customFormat="1" x14ac:dyDescent="0.25">
      <c r="A116" s="32"/>
      <c r="B116" s="32"/>
      <c r="C116" s="32"/>
      <c r="D116" s="36"/>
      <c r="E116" s="36"/>
      <c r="F116" s="36"/>
      <c r="G116" s="36"/>
      <c r="H116" s="36"/>
      <c r="I116" s="36"/>
      <c r="J116" s="36"/>
      <c r="K116" s="36"/>
      <c r="L116" s="36"/>
      <c r="M116" s="36"/>
      <c r="N116" s="36"/>
      <c r="O116" s="36"/>
      <c r="P116" s="36"/>
      <c r="Q116" s="36"/>
      <c r="R116" s="36"/>
      <c r="S116" s="36"/>
      <c r="T116" s="36"/>
      <c r="U116" s="36"/>
      <c r="V116" s="36"/>
      <c r="W116" s="36"/>
      <c r="X116" s="36"/>
      <c r="Y116" s="36"/>
      <c r="Z116" s="36"/>
      <c r="AA116" s="36"/>
      <c r="AB116" s="36"/>
      <c r="AC116" s="36"/>
      <c r="AD116" s="36"/>
      <c r="AE116" s="36"/>
      <c r="AF116" s="36"/>
      <c r="AG116" s="36"/>
      <c r="AH116" s="36"/>
      <c r="AI116" s="36"/>
      <c r="AJ116" s="36"/>
      <c r="AK116" s="36"/>
      <c r="AL116" s="36"/>
      <c r="AM116" s="36"/>
      <c r="AN116" s="36"/>
      <c r="AO116" s="36"/>
      <c r="AP116" s="36"/>
      <c r="AQ116" s="36"/>
      <c r="AR116" s="36"/>
      <c r="AS116" s="36"/>
      <c r="AT116" s="36"/>
      <c r="AU116" s="36"/>
      <c r="AV116" s="36"/>
      <c r="AW116" s="36"/>
      <c r="AX116" s="36"/>
      <c r="AY116" s="36"/>
      <c r="AZ116" s="36"/>
      <c r="BA116" s="36"/>
      <c r="BB116" s="36"/>
    </row>
    <row r="117" spans="1:54" x14ac:dyDescent="0.25">
      <c r="A117" s="34"/>
      <c r="B117" s="34"/>
      <c r="C117" s="34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35"/>
      <c r="AE117" s="35"/>
      <c r="AF117" s="37"/>
      <c r="AG117" s="35"/>
      <c r="AH117" s="35"/>
      <c r="AI117" s="35"/>
      <c r="AJ117" s="35"/>
      <c r="AK117" s="35"/>
      <c r="AL117" s="37"/>
      <c r="AM117" s="35"/>
      <c r="AN117" s="35"/>
      <c r="AO117" s="35"/>
      <c r="AP117" s="35"/>
      <c r="AQ117" s="35"/>
      <c r="AR117" s="35"/>
      <c r="AS117" s="35"/>
      <c r="AT117" s="35"/>
      <c r="AU117" s="37"/>
      <c r="AV117" s="35"/>
      <c r="AW117" s="35"/>
      <c r="AX117" s="35"/>
      <c r="AY117" s="35"/>
      <c r="AZ117" s="35"/>
      <c r="BA117" s="35"/>
      <c r="BB117" s="35"/>
    </row>
    <row r="118" spans="1:54" s="5" customFormat="1" x14ac:dyDescent="0.25">
      <c r="A118" s="32"/>
      <c r="B118" s="32"/>
      <c r="C118" s="32"/>
      <c r="D118" s="33"/>
      <c r="E118" s="33"/>
      <c r="F118" s="33"/>
      <c r="G118" s="33"/>
      <c r="H118" s="33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3"/>
      <c r="T118" s="36"/>
      <c r="U118" s="36"/>
      <c r="V118" s="36"/>
      <c r="W118" s="36"/>
      <c r="X118" s="33"/>
      <c r="Y118" s="33"/>
      <c r="Z118" s="33"/>
      <c r="AA118" s="36"/>
      <c r="AB118" s="36"/>
      <c r="AC118" s="33"/>
      <c r="AD118" s="36"/>
      <c r="AE118" s="33"/>
      <c r="AF118" s="33"/>
      <c r="AG118" s="33"/>
      <c r="AH118" s="33"/>
      <c r="AI118" s="33"/>
      <c r="AJ118" s="36"/>
      <c r="AK118" s="36"/>
      <c r="AL118" s="33"/>
      <c r="AM118" s="33"/>
      <c r="AN118" s="33"/>
      <c r="AO118" s="36"/>
      <c r="AP118" s="36"/>
      <c r="AQ118" s="36"/>
      <c r="AR118" s="36"/>
      <c r="AS118" s="36"/>
      <c r="AT118" s="36"/>
      <c r="AU118" s="33"/>
      <c r="AV118" s="33"/>
      <c r="AW118" s="36"/>
      <c r="AX118" s="36"/>
      <c r="AY118" s="33"/>
      <c r="AZ118" s="33"/>
      <c r="BA118" s="33"/>
      <c r="BB118" s="33"/>
    </row>
    <row r="119" spans="1:54" x14ac:dyDescent="0.25">
      <c r="A119" s="34"/>
      <c r="B119" s="34"/>
      <c r="C119" s="34"/>
      <c r="D119" s="37"/>
      <c r="E119" s="37"/>
      <c r="F119" s="37"/>
      <c r="G119" s="37"/>
      <c r="H119" s="37"/>
      <c r="I119" s="37"/>
      <c r="J119" s="37"/>
      <c r="K119" s="37"/>
      <c r="L119" s="37"/>
      <c r="M119" s="37"/>
      <c r="N119" s="37"/>
      <c r="O119" s="37"/>
      <c r="P119" s="37"/>
      <c r="Q119" s="37"/>
      <c r="R119" s="37"/>
      <c r="S119" s="37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  <c r="AD119" s="37"/>
      <c r="AE119" s="37"/>
      <c r="AF119" s="37"/>
      <c r="AG119" s="37"/>
      <c r="AH119" s="37"/>
      <c r="AI119" s="37"/>
      <c r="AJ119" s="37"/>
      <c r="AK119" s="37"/>
      <c r="AL119" s="37"/>
      <c r="AM119" s="37"/>
      <c r="AN119" s="37"/>
      <c r="AO119" s="37"/>
      <c r="AP119" s="37"/>
      <c r="AQ119" s="37"/>
      <c r="AR119" s="37"/>
      <c r="AS119" s="37"/>
      <c r="AT119" s="37"/>
      <c r="AU119" s="37"/>
      <c r="AV119" s="37"/>
      <c r="AW119" s="37"/>
      <c r="AX119" s="37"/>
      <c r="AY119" s="37"/>
      <c r="AZ119" s="37"/>
      <c r="BA119" s="37"/>
      <c r="BB119" s="37"/>
    </row>
    <row r="120" spans="1:54" s="5" customFormat="1" x14ac:dyDescent="0.25">
      <c r="A120" s="32"/>
      <c r="B120" s="32"/>
      <c r="C120" s="32"/>
      <c r="D120" s="36"/>
      <c r="E120" s="36"/>
      <c r="F120" s="36"/>
      <c r="G120" s="36"/>
      <c r="H120" s="36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6"/>
      <c r="W120" s="36"/>
      <c r="X120" s="36"/>
      <c r="Y120" s="36"/>
      <c r="Z120" s="36"/>
      <c r="AA120" s="36"/>
      <c r="AB120" s="36"/>
      <c r="AC120" s="36"/>
      <c r="AD120" s="36"/>
      <c r="AE120" s="36"/>
      <c r="AF120" s="36"/>
      <c r="AG120" s="36"/>
      <c r="AH120" s="36"/>
      <c r="AI120" s="36"/>
      <c r="AJ120" s="36"/>
      <c r="AK120" s="36"/>
      <c r="AL120" s="36"/>
      <c r="AM120" s="36"/>
      <c r="AN120" s="36"/>
      <c r="AO120" s="36"/>
      <c r="AP120" s="36"/>
      <c r="AQ120" s="36"/>
      <c r="AR120" s="36"/>
      <c r="AS120" s="36"/>
      <c r="AT120" s="36"/>
      <c r="AU120" s="36"/>
      <c r="AV120" s="36"/>
      <c r="AW120" s="36"/>
      <c r="AX120" s="36"/>
      <c r="AY120" s="36"/>
      <c r="AZ120" s="36"/>
      <c r="BA120" s="36"/>
      <c r="BB120" s="36"/>
    </row>
    <row r="121" spans="1:54" x14ac:dyDescent="0.25">
      <c r="A121" s="34"/>
      <c r="B121" s="34"/>
      <c r="C121" s="34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  <c r="AA121" s="35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  <c r="AM121" s="35"/>
      <c r="AN121" s="35"/>
      <c r="AO121" s="35"/>
      <c r="AP121" s="35"/>
      <c r="AQ121" s="35"/>
      <c r="AR121" s="35"/>
      <c r="AS121" s="35"/>
      <c r="AT121" s="35"/>
      <c r="AU121" s="35"/>
      <c r="AV121" s="35"/>
      <c r="AW121" s="35"/>
      <c r="AX121" s="35"/>
      <c r="AY121" s="35"/>
      <c r="AZ121" s="35"/>
      <c r="BA121" s="35"/>
      <c r="BB121" s="35"/>
    </row>
    <row r="122" spans="1:54" s="5" customFormat="1" x14ac:dyDescent="0.25">
      <c r="A122" s="32"/>
      <c r="B122" s="32"/>
      <c r="C122" s="32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  <c r="AF122" s="36"/>
      <c r="AG122" s="33"/>
      <c r="AH122" s="33"/>
      <c r="AI122" s="33"/>
      <c r="AJ122" s="33"/>
      <c r="AK122" s="33"/>
      <c r="AL122" s="33"/>
      <c r="AM122" s="33"/>
      <c r="AN122" s="33"/>
      <c r="AO122" s="33"/>
      <c r="AP122" s="33"/>
      <c r="AQ122" s="33"/>
      <c r="AR122" s="33"/>
      <c r="AS122" s="33"/>
      <c r="AT122" s="33"/>
      <c r="AU122" s="33"/>
      <c r="AV122" s="33"/>
      <c r="AW122" s="33"/>
      <c r="AX122" s="33"/>
      <c r="AY122" s="33"/>
      <c r="AZ122" s="33"/>
      <c r="BA122" s="33"/>
      <c r="BB122" s="33"/>
    </row>
    <row r="123" spans="1:54" x14ac:dyDescent="0.25">
      <c r="A123" s="34"/>
      <c r="B123" s="34"/>
      <c r="C123" s="34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37"/>
      <c r="S123" s="37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  <c r="AD123" s="37"/>
      <c r="AE123" s="37"/>
      <c r="AF123" s="37"/>
      <c r="AG123" s="37"/>
      <c r="AH123" s="37"/>
      <c r="AI123" s="37"/>
      <c r="AJ123" s="37"/>
      <c r="AK123" s="37"/>
      <c r="AL123" s="37"/>
      <c r="AM123" s="37"/>
      <c r="AN123" s="37"/>
      <c r="AO123" s="37"/>
      <c r="AP123" s="37"/>
      <c r="AQ123" s="37"/>
      <c r="AR123" s="37"/>
      <c r="AS123" s="37"/>
      <c r="AT123" s="37"/>
      <c r="AU123" s="37"/>
      <c r="AV123" s="37"/>
      <c r="AW123" s="37"/>
      <c r="AX123" s="37"/>
      <c r="AY123" s="37"/>
      <c r="AZ123" s="37"/>
      <c r="BA123" s="37"/>
      <c r="BB123" s="37"/>
    </row>
    <row r="124" spans="1:54" s="5" customFormat="1" x14ac:dyDescent="0.25">
      <c r="A124" s="34"/>
      <c r="B124" s="34"/>
      <c r="C124" s="34"/>
      <c r="D124" s="35"/>
      <c r="E124" s="35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37"/>
      <c r="S124" s="37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  <c r="AD124" s="37"/>
      <c r="AE124" s="37"/>
      <c r="AF124" s="37"/>
      <c r="AG124" s="37"/>
      <c r="AH124" s="37"/>
      <c r="AI124" s="37"/>
      <c r="AJ124" s="37"/>
      <c r="AK124" s="37"/>
      <c r="AL124" s="37"/>
      <c r="AM124" s="37"/>
      <c r="AN124" s="37"/>
      <c r="AO124" s="37"/>
      <c r="AP124" s="37"/>
      <c r="AQ124" s="37"/>
      <c r="AR124" s="37"/>
      <c r="AS124" s="37"/>
      <c r="AT124" s="37"/>
      <c r="AU124" s="37"/>
      <c r="AV124" s="37"/>
      <c r="AW124" s="37"/>
      <c r="AX124" s="37"/>
      <c r="AY124" s="37"/>
      <c r="AZ124" s="37"/>
      <c r="BA124" s="37"/>
      <c r="BB124" s="37"/>
    </row>
    <row r="125" spans="1:54" x14ac:dyDescent="0.25">
      <c r="A125" s="34"/>
      <c r="B125" s="32"/>
      <c r="C125" s="32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6"/>
      <c r="U125" s="36"/>
      <c r="V125" s="36"/>
      <c r="W125" s="36"/>
      <c r="X125" s="36"/>
      <c r="Y125" s="36"/>
      <c r="Z125" s="36"/>
      <c r="AA125" s="36"/>
      <c r="AB125" s="36"/>
      <c r="AC125" s="36"/>
      <c r="AD125" s="36"/>
      <c r="AE125" s="36"/>
      <c r="AF125" s="36"/>
      <c r="AG125" s="36"/>
      <c r="AH125" s="36"/>
      <c r="AI125" s="36"/>
      <c r="AJ125" s="33"/>
      <c r="AK125" s="36"/>
      <c r="AL125" s="36"/>
      <c r="AM125" s="36"/>
      <c r="AN125" s="36"/>
      <c r="AO125" s="33"/>
      <c r="AP125" s="33"/>
      <c r="AQ125" s="33"/>
      <c r="AR125" s="36"/>
      <c r="AS125" s="36"/>
      <c r="AT125" s="33"/>
      <c r="AU125" s="36"/>
      <c r="AV125" s="36"/>
      <c r="AW125" s="36"/>
      <c r="AX125" s="36"/>
      <c r="AY125" s="33"/>
      <c r="AZ125" s="36"/>
      <c r="BA125" s="36"/>
      <c r="BB125" s="36"/>
    </row>
    <row r="126" spans="1:54" s="5" customFormat="1" x14ac:dyDescent="0.25">
      <c r="A126" s="34"/>
      <c r="B126" s="34"/>
      <c r="C126" s="34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35"/>
      <c r="AE126" s="35"/>
      <c r="AF126" s="35"/>
      <c r="AG126" s="35"/>
      <c r="AH126" s="35"/>
      <c r="AI126" s="37"/>
      <c r="AJ126" s="37"/>
      <c r="AK126" s="37"/>
      <c r="AL126" s="35"/>
      <c r="AM126" s="35"/>
      <c r="AN126" s="35"/>
      <c r="AO126" s="35"/>
      <c r="AP126" s="35"/>
      <c r="AQ126" s="35"/>
      <c r="AR126" s="35"/>
      <c r="AS126" s="35"/>
      <c r="AT126" s="35"/>
      <c r="AU126" s="35"/>
      <c r="AV126" s="35"/>
      <c r="AW126" s="35"/>
      <c r="AX126" s="35"/>
      <c r="AY126" s="35"/>
      <c r="AZ126" s="35"/>
      <c r="BA126" s="35"/>
      <c r="BB126" s="35"/>
    </row>
    <row r="127" spans="1:54" x14ac:dyDescent="0.25">
      <c r="A127" s="34"/>
      <c r="B127" s="32"/>
      <c r="C127" s="32"/>
      <c r="D127" s="36"/>
      <c r="E127" s="36"/>
      <c r="F127" s="36"/>
      <c r="G127" s="36"/>
      <c r="H127" s="36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6"/>
      <c r="V127" s="36"/>
      <c r="W127" s="36"/>
      <c r="X127" s="36"/>
      <c r="Y127" s="36"/>
      <c r="Z127" s="36"/>
      <c r="AA127" s="36"/>
      <c r="AB127" s="36"/>
      <c r="AC127" s="36"/>
      <c r="AD127" s="36"/>
      <c r="AE127" s="36"/>
      <c r="AF127" s="36"/>
      <c r="AG127" s="36"/>
      <c r="AH127" s="36"/>
      <c r="AI127" s="36"/>
      <c r="AJ127" s="36"/>
      <c r="AK127" s="36"/>
      <c r="AL127" s="36"/>
      <c r="AM127" s="36"/>
      <c r="AN127" s="36"/>
      <c r="AO127" s="36"/>
      <c r="AP127" s="36"/>
      <c r="AQ127" s="36"/>
      <c r="AR127" s="36"/>
      <c r="AS127" s="36"/>
      <c r="AT127" s="36"/>
      <c r="AU127" s="36"/>
      <c r="AV127" s="36"/>
      <c r="AW127" s="36"/>
      <c r="AX127" s="36"/>
      <c r="AY127" s="36"/>
      <c r="AZ127" s="36"/>
      <c r="BA127" s="36"/>
      <c r="BB127" s="36"/>
    </row>
    <row r="128" spans="1:54" x14ac:dyDescent="0.25">
      <c r="A128" s="34"/>
      <c r="B128" s="34"/>
      <c r="C128" s="34"/>
      <c r="D128" s="37"/>
      <c r="E128" s="37"/>
      <c r="F128" s="37"/>
      <c r="G128" s="37"/>
      <c r="H128" s="37"/>
      <c r="I128" s="37"/>
      <c r="J128" s="37"/>
      <c r="K128" s="37"/>
      <c r="L128" s="37"/>
      <c r="M128" s="37"/>
      <c r="N128" s="37"/>
      <c r="O128" s="37"/>
      <c r="P128" s="37"/>
      <c r="Q128" s="37"/>
      <c r="R128" s="37"/>
      <c r="S128" s="37"/>
      <c r="T128" s="37"/>
      <c r="U128" s="37"/>
      <c r="V128" s="37"/>
      <c r="W128" s="37"/>
      <c r="X128" s="37"/>
      <c r="Y128" s="37"/>
      <c r="Z128" s="37"/>
      <c r="AA128" s="37"/>
      <c r="AB128" s="37"/>
      <c r="AC128" s="37"/>
      <c r="AD128" s="37"/>
      <c r="AE128" s="37"/>
      <c r="AF128" s="37"/>
      <c r="AG128" s="37"/>
      <c r="AH128" s="37"/>
      <c r="AI128" s="37"/>
      <c r="AJ128" s="37"/>
      <c r="AK128" s="37"/>
      <c r="AL128" s="37"/>
      <c r="AM128" s="37"/>
      <c r="AN128" s="37"/>
      <c r="AO128" s="37"/>
      <c r="AP128" s="37"/>
      <c r="AQ128" s="37"/>
      <c r="AR128" s="37"/>
      <c r="AS128" s="37"/>
      <c r="AT128" s="37"/>
      <c r="AU128" s="37"/>
      <c r="AV128" s="37"/>
      <c r="AW128" s="37"/>
      <c r="AX128" s="37"/>
      <c r="AY128" s="37"/>
      <c r="AZ128" s="37"/>
      <c r="BA128" s="37"/>
      <c r="BB128" s="37"/>
    </row>
    <row r="129" spans="1:54" s="5" customFormat="1" x14ac:dyDescent="0.25">
      <c r="A129" s="32"/>
      <c r="B129" s="32"/>
      <c r="C129" s="32"/>
      <c r="D129" s="36"/>
      <c r="E129" s="36"/>
      <c r="F129" s="36"/>
      <c r="G129" s="36"/>
      <c r="H129" s="36"/>
      <c r="I129" s="36"/>
      <c r="J129" s="36"/>
      <c r="K129" s="36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36"/>
      <c r="W129" s="36"/>
      <c r="X129" s="36"/>
      <c r="Y129" s="36"/>
      <c r="Z129" s="36"/>
      <c r="AA129" s="36"/>
      <c r="AB129" s="36"/>
      <c r="AC129" s="36"/>
      <c r="AD129" s="36"/>
      <c r="AE129" s="36"/>
      <c r="AF129" s="36"/>
      <c r="AG129" s="36"/>
      <c r="AH129" s="36"/>
      <c r="AI129" s="36"/>
      <c r="AJ129" s="36"/>
      <c r="AK129" s="36"/>
      <c r="AL129" s="36"/>
      <c r="AM129" s="36"/>
      <c r="AN129" s="36"/>
      <c r="AO129" s="36"/>
      <c r="AP129" s="33"/>
      <c r="AQ129" s="36"/>
      <c r="AR129" s="33"/>
      <c r="AS129" s="36"/>
      <c r="AT129" s="33"/>
      <c r="AU129" s="36"/>
      <c r="AV129" s="36"/>
      <c r="AW129" s="36"/>
      <c r="AX129" s="33"/>
      <c r="AY129" s="33"/>
      <c r="AZ129" s="33"/>
      <c r="BA129" s="36"/>
      <c r="BB129" s="36"/>
    </row>
    <row r="130" spans="1:54" x14ac:dyDescent="0.25">
      <c r="A130" s="34"/>
      <c r="B130" s="34"/>
      <c r="C130" s="34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35"/>
      <c r="AE130" s="35"/>
      <c r="AF130" s="35"/>
      <c r="AG130" s="35"/>
      <c r="AH130" s="35"/>
      <c r="AI130" s="35"/>
      <c r="AJ130" s="35"/>
      <c r="AK130" s="35"/>
      <c r="AL130" s="35"/>
      <c r="AM130" s="35"/>
      <c r="AN130" s="35"/>
      <c r="AO130" s="37"/>
      <c r="AP130" s="35"/>
      <c r="AQ130" s="35"/>
      <c r="AR130" s="35"/>
      <c r="AS130" s="37"/>
      <c r="AT130" s="37"/>
      <c r="AU130" s="37"/>
      <c r="AV130" s="37"/>
      <c r="AW130" s="37"/>
      <c r="AX130" s="37"/>
      <c r="AY130" s="37"/>
      <c r="AZ130" s="35"/>
      <c r="BA130" s="35"/>
      <c r="BB130" s="37"/>
    </row>
    <row r="131" spans="1:54" s="5" customFormat="1" x14ac:dyDescent="0.25">
      <c r="A131" s="32"/>
      <c r="B131" s="32"/>
      <c r="C131" s="32"/>
      <c r="D131" s="36"/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  <c r="AA131" s="36"/>
      <c r="AB131" s="36"/>
      <c r="AC131" s="36"/>
      <c r="AD131" s="36"/>
      <c r="AE131" s="36"/>
      <c r="AF131" s="36"/>
      <c r="AG131" s="36"/>
      <c r="AH131" s="36"/>
      <c r="AI131" s="36"/>
      <c r="AJ131" s="36"/>
      <c r="AK131" s="36"/>
      <c r="AL131" s="36"/>
      <c r="AM131" s="36"/>
      <c r="AN131" s="36"/>
      <c r="AO131" s="36"/>
      <c r="AP131" s="36"/>
      <c r="AQ131" s="36"/>
      <c r="AR131" s="36"/>
      <c r="AS131" s="36"/>
      <c r="AT131" s="36"/>
      <c r="AU131" s="36"/>
      <c r="AV131" s="36"/>
      <c r="AW131" s="36"/>
      <c r="AX131" s="36"/>
      <c r="AY131" s="36"/>
      <c r="AZ131" s="36"/>
      <c r="BA131" s="36"/>
      <c r="BB131" s="36"/>
    </row>
    <row r="132" spans="1:54" x14ac:dyDescent="0.25">
      <c r="A132" s="34"/>
      <c r="B132" s="34"/>
      <c r="C132" s="34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  <c r="O132" s="37"/>
      <c r="P132" s="37"/>
      <c r="Q132" s="37"/>
      <c r="R132" s="37"/>
      <c r="S132" s="37"/>
      <c r="T132" s="37"/>
      <c r="U132" s="37"/>
      <c r="V132" s="37"/>
      <c r="W132" s="37"/>
      <c r="X132" s="37"/>
      <c r="Y132" s="37"/>
      <c r="Z132" s="37"/>
      <c r="AA132" s="37"/>
      <c r="AB132" s="37"/>
      <c r="AC132" s="37"/>
      <c r="AD132" s="37"/>
      <c r="AE132" s="37"/>
      <c r="AF132" s="37"/>
      <c r="AG132" s="37"/>
      <c r="AH132" s="37"/>
      <c r="AI132" s="37"/>
      <c r="AJ132" s="37"/>
      <c r="AK132" s="37"/>
      <c r="AL132" s="37"/>
      <c r="AM132" s="37"/>
      <c r="AN132" s="37"/>
      <c r="AO132" s="37"/>
      <c r="AP132" s="37"/>
      <c r="AQ132" s="37"/>
      <c r="AR132" s="37"/>
      <c r="AS132" s="37"/>
      <c r="AT132" s="37"/>
      <c r="AU132" s="37"/>
      <c r="AV132" s="37"/>
      <c r="AW132" s="37"/>
      <c r="AX132" s="37"/>
      <c r="AY132" s="37"/>
      <c r="AZ132" s="37"/>
      <c r="BA132" s="37"/>
      <c r="BB132" s="37"/>
    </row>
    <row r="133" spans="1:54" s="5" customFormat="1" x14ac:dyDescent="0.25">
      <c r="A133" s="32"/>
      <c r="B133" s="32"/>
      <c r="C133" s="32"/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  <c r="W133" s="33"/>
      <c r="X133" s="33"/>
      <c r="Y133" s="36"/>
      <c r="Z133" s="36"/>
      <c r="AA133" s="36"/>
      <c r="AB133" s="36"/>
      <c r="AC133" s="36"/>
      <c r="AD133" s="36"/>
      <c r="AE133" s="36"/>
      <c r="AF133" s="36"/>
      <c r="AG133" s="36"/>
      <c r="AH133" s="36"/>
      <c r="AI133" s="36"/>
      <c r="AJ133" s="36"/>
      <c r="AK133" s="36"/>
      <c r="AL133" s="36"/>
      <c r="AM133" s="36"/>
      <c r="AN133" s="36"/>
      <c r="AO133" s="36"/>
      <c r="AP133" s="36"/>
      <c r="AQ133" s="36"/>
      <c r="AR133" s="36"/>
      <c r="AS133" s="36"/>
      <c r="AT133" s="36"/>
      <c r="AU133" s="36"/>
      <c r="AV133" s="36"/>
      <c r="AW133" s="36"/>
      <c r="AX133" s="36"/>
      <c r="AY133" s="36"/>
      <c r="AZ133" s="36"/>
      <c r="BA133" s="36"/>
      <c r="BB133" s="36"/>
    </row>
    <row r="134" spans="1:54" x14ac:dyDescent="0.25">
      <c r="A134" s="34"/>
      <c r="B134" s="34"/>
      <c r="C134" s="34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35"/>
      <c r="AE134" s="35"/>
      <c r="AF134" s="35"/>
      <c r="AG134" s="35"/>
      <c r="AH134" s="35"/>
      <c r="AI134" s="35"/>
      <c r="AJ134" s="35"/>
      <c r="AK134" s="35"/>
      <c r="AL134" s="35"/>
      <c r="AM134" s="35"/>
      <c r="AN134" s="35"/>
      <c r="AO134" s="35"/>
      <c r="AP134" s="35"/>
      <c r="AQ134" s="35"/>
      <c r="AR134" s="35"/>
      <c r="AS134" s="35"/>
      <c r="AT134" s="35"/>
      <c r="AU134" s="35"/>
      <c r="AV134" s="35"/>
      <c r="AW134" s="35"/>
      <c r="AX134" s="35"/>
      <c r="AY134" s="35"/>
      <c r="AZ134" s="35"/>
      <c r="BA134" s="35"/>
      <c r="BB134" s="35"/>
    </row>
    <row r="135" spans="1:54" s="5" customFormat="1" x14ac:dyDescent="0.25">
      <c r="A135" s="32"/>
      <c r="B135" s="32"/>
      <c r="C135" s="32"/>
      <c r="D135" s="36"/>
      <c r="E135" s="36"/>
      <c r="F135" s="36"/>
      <c r="G135" s="36"/>
      <c r="H135" s="36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6"/>
      <c r="W135" s="36"/>
      <c r="X135" s="36"/>
      <c r="Y135" s="36"/>
      <c r="Z135" s="36"/>
      <c r="AA135" s="36"/>
      <c r="AB135" s="36"/>
      <c r="AC135" s="36"/>
      <c r="AD135" s="36"/>
      <c r="AE135" s="36"/>
      <c r="AF135" s="36"/>
      <c r="AG135" s="36"/>
      <c r="AH135" s="36"/>
      <c r="AI135" s="36"/>
      <c r="AJ135" s="36"/>
      <c r="AK135" s="36"/>
      <c r="AL135" s="36"/>
      <c r="AM135" s="36"/>
      <c r="AN135" s="36"/>
      <c r="AO135" s="36"/>
      <c r="AP135" s="36"/>
      <c r="AQ135" s="36"/>
      <c r="AR135" s="36"/>
      <c r="AS135" s="36"/>
      <c r="AT135" s="36"/>
      <c r="AU135" s="36"/>
      <c r="AV135" s="36"/>
      <c r="AW135" s="36"/>
      <c r="AX135" s="36"/>
      <c r="AY135" s="36"/>
      <c r="AZ135" s="36"/>
      <c r="BA135" s="36"/>
      <c r="BB135" s="36"/>
    </row>
    <row r="136" spans="1:54" x14ac:dyDescent="0.25">
      <c r="A136" s="34"/>
      <c r="B136" s="34"/>
      <c r="C136" s="34"/>
      <c r="D136" s="37"/>
      <c r="E136" s="37"/>
      <c r="F136" s="37"/>
      <c r="G136" s="37"/>
      <c r="H136" s="37"/>
      <c r="I136" s="37"/>
      <c r="J136" s="37"/>
      <c r="K136" s="37"/>
      <c r="L136" s="37"/>
      <c r="M136" s="37"/>
      <c r="N136" s="37"/>
      <c r="O136" s="37"/>
      <c r="P136" s="37"/>
      <c r="Q136" s="37"/>
      <c r="R136" s="37"/>
      <c r="S136" s="37"/>
      <c r="T136" s="37"/>
      <c r="U136" s="37"/>
      <c r="V136" s="37"/>
      <c r="W136" s="37"/>
      <c r="X136" s="37"/>
      <c r="Y136" s="37"/>
      <c r="Z136" s="37"/>
      <c r="AA136" s="37"/>
      <c r="AB136" s="37"/>
      <c r="AC136" s="37"/>
      <c r="AD136" s="37"/>
      <c r="AE136" s="37"/>
      <c r="AF136" s="37"/>
      <c r="AG136" s="37"/>
      <c r="AH136" s="37"/>
      <c r="AI136" s="37"/>
      <c r="AJ136" s="37"/>
      <c r="AK136" s="37"/>
      <c r="AL136" s="37"/>
      <c r="AM136" s="37"/>
      <c r="AN136" s="37"/>
      <c r="AO136" s="37"/>
      <c r="AP136" s="37"/>
      <c r="AQ136" s="37"/>
      <c r="AR136" s="35"/>
      <c r="AS136" s="37"/>
      <c r="AT136" s="37"/>
      <c r="AU136" s="35"/>
      <c r="AV136" s="37"/>
      <c r="AW136" s="35"/>
      <c r="AX136" s="35"/>
      <c r="AY136" s="35"/>
      <c r="AZ136" s="35"/>
      <c r="BA136" s="35"/>
      <c r="BB136" s="35"/>
    </row>
    <row r="137" spans="1:54" s="5" customFormat="1" x14ac:dyDescent="0.25">
      <c r="A137" s="32"/>
      <c r="B137" s="32"/>
      <c r="C137" s="32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F137" s="33"/>
      <c r="AG137" s="33"/>
      <c r="AH137" s="33"/>
      <c r="AI137" s="33"/>
      <c r="AJ137" s="33"/>
      <c r="AK137" s="33"/>
      <c r="AL137" s="33"/>
      <c r="AM137" s="33"/>
      <c r="AN137" s="33"/>
      <c r="AO137" s="33"/>
      <c r="AP137" s="33"/>
      <c r="AQ137" s="33"/>
      <c r="AR137" s="33"/>
      <c r="AS137" s="33"/>
      <c r="AT137" s="33"/>
      <c r="AU137" s="33"/>
      <c r="AV137" s="33"/>
      <c r="AW137" s="33"/>
      <c r="AX137" s="33"/>
      <c r="AY137" s="33"/>
      <c r="AZ137" s="33"/>
      <c r="BA137" s="33"/>
      <c r="BB137" s="33"/>
    </row>
    <row r="138" spans="1:54" x14ac:dyDescent="0.25">
      <c r="A138" s="34"/>
      <c r="B138" s="34"/>
      <c r="C138" s="34"/>
      <c r="D138" s="37"/>
      <c r="E138" s="37"/>
      <c r="F138" s="37"/>
      <c r="G138" s="37"/>
      <c r="H138" s="37"/>
      <c r="I138" s="37"/>
      <c r="J138" s="37"/>
      <c r="K138" s="37"/>
      <c r="L138" s="37"/>
      <c r="M138" s="37"/>
      <c r="N138" s="37"/>
      <c r="O138" s="37"/>
      <c r="P138" s="37"/>
      <c r="Q138" s="37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35"/>
      <c r="AE138" s="35"/>
      <c r="AF138" s="35"/>
      <c r="AG138" s="35"/>
      <c r="AH138" s="35"/>
      <c r="AI138" s="35"/>
      <c r="AJ138" s="35"/>
      <c r="AK138" s="35"/>
      <c r="AL138" s="35"/>
      <c r="AM138" s="35"/>
      <c r="AN138" s="35"/>
      <c r="AO138" s="35"/>
      <c r="AP138" s="35"/>
      <c r="AQ138" s="35"/>
      <c r="AR138" s="35"/>
      <c r="AS138" s="35"/>
      <c r="AT138" s="35"/>
      <c r="AU138" s="35"/>
      <c r="AV138" s="35"/>
      <c r="AW138" s="35"/>
      <c r="AX138" s="35"/>
      <c r="AY138" s="35"/>
      <c r="AZ138" s="35"/>
      <c r="BA138" s="35"/>
      <c r="BB138" s="35"/>
    </row>
    <row r="139" spans="1:54" s="5" customFormat="1" x14ac:dyDescent="0.25">
      <c r="A139" s="32"/>
      <c r="B139" s="32"/>
      <c r="C139" s="32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6"/>
      <c r="R139" s="36"/>
      <c r="S139" s="36"/>
      <c r="T139" s="36"/>
      <c r="U139" s="36"/>
      <c r="V139" s="36"/>
      <c r="W139" s="36"/>
      <c r="X139" s="36"/>
      <c r="Y139" s="36"/>
      <c r="Z139" s="36"/>
      <c r="AA139" s="36"/>
      <c r="AB139" s="36"/>
      <c r="AC139" s="36"/>
      <c r="AD139" s="36"/>
      <c r="AE139" s="36"/>
      <c r="AF139" s="36"/>
      <c r="AG139" s="36"/>
      <c r="AH139" s="36"/>
      <c r="AI139" s="36"/>
      <c r="AJ139" s="36"/>
      <c r="AK139" s="36"/>
      <c r="AL139" s="36"/>
      <c r="AM139" s="36"/>
      <c r="AN139" s="33"/>
      <c r="AO139" s="36"/>
      <c r="AP139" s="33"/>
      <c r="AQ139" s="33"/>
      <c r="AR139" s="33"/>
      <c r="AS139" s="33"/>
      <c r="AT139" s="33"/>
      <c r="AU139" s="33"/>
      <c r="AV139" s="33"/>
      <c r="AW139" s="36"/>
      <c r="AX139" s="36"/>
      <c r="AY139" s="33"/>
      <c r="AZ139" s="33"/>
      <c r="BA139" s="33"/>
      <c r="BB139" s="33"/>
    </row>
    <row r="140" spans="1:54" x14ac:dyDescent="0.25">
      <c r="A140" s="34"/>
      <c r="B140" s="34"/>
      <c r="C140" s="34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  <c r="AE140" s="35"/>
      <c r="AF140" s="35"/>
      <c r="AG140" s="35"/>
      <c r="AH140" s="35"/>
      <c r="AI140" s="35"/>
      <c r="AJ140" s="35"/>
      <c r="AK140" s="35"/>
      <c r="AL140" s="35"/>
      <c r="AM140" s="35"/>
      <c r="AN140" s="35"/>
      <c r="AO140" s="35"/>
      <c r="AP140" s="35"/>
      <c r="AQ140" s="35"/>
      <c r="AR140" s="35"/>
      <c r="AS140" s="35"/>
      <c r="AT140" s="35"/>
      <c r="AU140" s="35"/>
      <c r="AV140" s="35"/>
      <c r="AW140" s="35"/>
      <c r="AX140" s="35"/>
      <c r="AY140" s="35"/>
      <c r="AZ140" s="35"/>
      <c r="BA140" s="35"/>
      <c r="BB140" s="35"/>
    </row>
    <row r="141" spans="1:54" s="5" customFormat="1" x14ac:dyDescent="0.25">
      <c r="A141" s="32"/>
      <c r="B141" s="32"/>
      <c r="C141" s="32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  <c r="AD141" s="33"/>
      <c r="AE141" s="33"/>
      <c r="AF141" s="33"/>
      <c r="AG141" s="33"/>
      <c r="AH141" s="33"/>
      <c r="AI141" s="33"/>
      <c r="AJ141" s="33"/>
      <c r="AK141" s="33"/>
      <c r="AL141" s="33"/>
      <c r="AM141" s="33"/>
      <c r="AN141" s="33"/>
      <c r="AO141" s="33"/>
      <c r="AP141" s="33"/>
      <c r="AQ141" s="33"/>
      <c r="AR141" s="33"/>
      <c r="AS141" s="33"/>
      <c r="AT141" s="33"/>
      <c r="AU141" s="33"/>
      <c r="AV141" s="33"/>
      <c r="AW141" s="33"/>
      <c r="AX141" s="36"/>
      <c r="AY141" s="36"/>
      <c r="AZ141" s="36"/>
      <c r="BA141" s="36"/>
      <c r="BB141" s="36"/>
    </row>
    <row r="142" spans="1:54" x14ac:dyDescent="0.25">
      <c r="A142" s="34"/>
      <c r="B142" s="34"/>
      <c r="C142" s="34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7"/>
      <c r="AY142" s="37"/>
      <c r="AZ142" s="37"/>
      <c r="BA142" s="37"/>
      <c r="BB142" s="37"/>
    </row>
    <row r="143" spans="1:54" s="5" customFormat="1" x14ac:dyDescent="0.25">
      <c r="A143" s="32"/>
      <c r="B143" s="32"/>
      <c r="C143" s="32"/>
      <c r="D143" s="33"/>
      <c r="E143" s="33"/>
      <c r="F143" s="36"/>
      <c r="G143" s="36"/>
      <c r="H143" s="36"/>
      <c r="I143" s="36"/>
      <c r="J143" s="36"/>
      <c r="K143" s="36"/>
      <c r="L143" s="36"/>
      <c r="M143" s="36"/>
      <c r="N143" s="36"/>
      <c r="O143" s="36"/>
      <c r="P143" s="36"/>
      <c r="Q143" s="36"/>
      <c r="R143" s="36"/>
      <c r="S143" s="36"/>
      <c r="T143" s="36"/>
      <c r="U143" s="36"/>
      <c r="V143" s="36"/>
      <c r="W143" s="36"/>
      <c r="X143" s="36"/>
      <c r="Y143" s="36"/>
      <c r="Z143" s="36"/>
      <c r="AA143" s="36"/>
      <c r="AB143" s="36"/>
      <c r="AC143" s="36"/>
      <c r="AD143" s="36"/>
      <c r="AE143" s="36"/>
      <c r="AF143" s="36"/>
      <c r="AG143" s="36"/>
      <c r="AH143" s="36"/>
      <c r="AI143" s="36"/>
      <c r="AJ143" s="36"/>
      <c r="AK143" s="36"/>
      <c r="AL143" s="36"/>
      <c r="AM143" s="36"/>
      <c r="AN143" s="36"/>
      <c r="AO143" s="36"/>
      <c r="AP143" s="36"/>
      <c r="AQ143" s="36"/>
      <c r="AR143" s="36"/>
      <c r="AS143" s="36"/>
      <c r="AT143" s="36"/>
      <c r="AU143" s="36"/>
      <c r="AV143" s="36"/>
      <c r="AW143" s="36"/>
      <c r="AX143" s="36"/>
      <c r="AY143" s="36"/>
      <c r="AZ143" s="36"/>
      <c r="BA143" s="36"/>
      <c r="BB143" s="36"/>
    </row>
    <row r="144" spans="1:54" x14ac:dyDescent="0.25">
      <c r="A144" s="34"/>
      <c r="B144" s="34"/>
      <c r="C144" s="34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</row>
    <row r="145" spans="1:54" s="5" customFormat="1" x14ac:dyDescent="0.25">
      <c r="A145" s="32"/>
      <c r="B145" s="32"/>
      <c r="C145" s="32"/>
      <c r="D145" s="33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  <c r="AM145" s="33"/>
      <c r="AN145" s="33"/>
      <c r="AO145" s="33"/>
      <c r="AP145" s="33"/>
      <c r="AQ145" s="33"/>
      <c r="AR145" s="33"/>
      <c r="AS145" s="33"/>
      <c r="AT145" s="33"/>
      <c r="AU145" s="33"/>
      <c r="AV145" s="36"/>
      <c r="AW145" s="33"/>
      <c r="AX145" s="36"/>
      <c r="AY145" s="33"/>
      <c r="AZ145" s="33"/>
      <c r="BA145" s="33"/>
      <c r="BB145" s="33"/>
    </row>
    <row r="146" spans="1:54" x14ac:dyDescent="0.25">
      <c r="A146" s="34"/>
      <c r="B146" s="34"/>
      <c r="C146" s="34"/>
      <c r="D146" s="35"/>
      <c r="E146" s="35"/>
      <c r="F146" s="35"/>
      <c r="G146" s="35"/>
      <c r="H146" s="37"/>
      <c r="I146" s="35"/>
      <c r="J146" s="35"/>
      <c r="K146" s="35"/>
      <c r="L146" s="35"/>
      <c r="M146" s="37"/>
      <c r="N146" s="37"/>
      <c r="O146" s="37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  <c r="AD146" s="37"/>
      <c r="AE146" s="37"/>
      <c r="AF146" s="37"/>
      <c r="AG146" s="37"/>
      <c r="AH146" s="37"/>
      <c r="AI146" s="37"/>
      <c r="AJ146" s="37"/>
      <c r="AK146" s="37"/>
      <c r="AL146" s="37"/>
      <c r="AM146" s="37"/>
      <c r="AN146" s="37"/>
      <c r="AO146" s="37"/>
      <c r="AP146" s="37"/>
      <c r="AQ146" s="37"/>
      <c r="AR146" s="37"/>
      <c r="AS146" s="37"/>
      <c r="AT146" s="37"/>
      <c r="AU146" s="37"/>
      <c r="AV146" s="37"/>
      <c r="AW146" s="37"/>
      <c r="AX146" s="37"/>
      <c r="AY146" s="37"/>
      <c r="AZ146" s="37"/>
      <c r="BA146" s="37"/>
      <c r="BB146" s="37"/>
    </row>
    <row r="147" spans="1:54" s="5" customFormat="1" x14ac:dyDescent="0.25">
      <c r="A147" s="32"/>
      <c r="B147" s="32"/>
      <c r="C147" s="32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3"/>
      <c r="AY147" s="33"/>
      <c r="AZ147" s="33"/>
      <c r="BA147" s="33"/>
      <c r="BB147" s="33"/>
    </row>
    <row r="148" spans="1:54" x14ac:dyDescent="0.25">
      <c r="A148" s="34"/>
      <c r="B148" s="34"/>
      <c r="C148" s="34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</row>
    <row r="149" spans="1:54" s="5" customFormat="1" x14ac:dyDescent="0.25">
      <c r="A149" s="32"/>
      <c r="B149" s="32"/>
      <c r="C149" s="32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</row>
    <row r="150" spans="1:54" x14ac:dyDescent="0.25">
      <c r="A150" s="34"/>
      <c r="B150" s="34"/>
      <c r="C150" s="34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</row>
    <row r="151" spans="1:54" s="5" customFormat="1" x14ac:dyDescent="0.25">
      <c r="A151" s="34"/>
      <c r="B151" s="34"/>
      <c r="C151" s="34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7"/>
      <c r="AK151" s="37"/>
      <c r="AL151" s="37"/>
      <c r="AM151" s="37"/>
      <c r="AN151" s="37"/>
      <c r="AO151" s="37"/>
      <c r="AP151" s="37"/>
      <c r="AQ151" s="37"/>
      <c r="AR151" s="37"/>
      <c r="AS151" s="37"/>
      <c r="AT151" s="37"/>
      <c r="AU151" s="37"/>
      <c r="AV151" s="37"/>
      <c r="AW151" s="37"/>
      <c r="AX151" s="37"/>
      <c r="AY151" s="37"/>
      <c r="AZ151" s="37"/>
      <c r="BA151" s="37"/>
      <c r="BB151" s="37"/>
    </row>
    <row r="152" spans="1:54" x14ac:dyDescent="0.25">
      <c r="A152" s="34"/>
      <c r="B152" s="32"/>
      <c r="C152" s="32"/>
      <c r="D152" s="33"/>
      <c r="E152" s="33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  <c r="AM152" s="33"/>
      <c r="AN152" s="36"/>
      <c r="AO152" s="33"/>
      <c r="AP152" s="33"/>
      <c r="AQ152" s="33"/>
      <c r="AR152" s="33"/>
      <c r="AS152" s="36"/>
      <c r="AT152" s="36"/>
      <c r="AU152" s="33"/>
      <c r="AV152" s="33"/>
      <c r="AW152" s="36"/>
      <c r="AX152" s="33"/>
      <c r="AY152" s="36"/>
      <c r="AZ152" s="36"/>
      <c r="BA152" s="33"/>
      <c r="BB152" s="36"/>
    </row>
    <row r="153" spans="1:54" s="5" customFormat="1" x14ac:dyDescent="0.25">
      <c r="A153" s="34"/>
      <c r="B153" s="34"/>
      <c r="C153" s="34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  <c r="AY153" s="35"/>
      <c r="AZ153" s="35"/>
      <c r="BA153" s="35"/>
      <c r="BB153" s="35"/>
    </row>
    <row r="154" spans="1:54" x14ac:dyDescent="0.25">
      <c r="A154" s="34"/>
      <c r="B154" s="32"/>
      <c r="C154" s="32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6"/>
      <c r="W154" s="36"/>
      <c r="X154" s="36"/>
      <c r="Y154" s="36"/>
      <c r="Z154" s="36"/>
      <c r="AA154" s="36"/>
      <c r="AB154" s="36"/>
      <c r="AC154" s="36"/>
      <c r="AD154" s="36"/>
      <c r="AE154" s="36"/>
      <c r="AF154" s="36"/>
      <c r="AG154" s="36"/>
      <c r="AH154" s="36"/>
      <c r="AI154" s="36"/>
      <c r="AJ154" s="36"/>
      <c r="AK154" s="36"/>
      <c r="AL154" s="36"/>
      <c r="AM154" s="36"/>
      <c r="AN154" s="36"/>
      <c r="AO154" s="36"/>
      <c r="AP154" s="36"/>
      <c r="AQ154" s="36"/>
      <c r="AR154" s="36"/>
      <c r="AS154" s="36"/>
      <c r="AT154" s="36"/>
      <c r="AU154" s="36"/>
      <c r="AV154" s="36"/>
      <c r="AW154" s="36"/>
      <c r="AX154" s="36"/>
      <c r="AY154" s="36"/>
      <c r="AZ154" s="36"/>
      <c r="BA154" s="36"/>
      <c r="BB154" s="36"/>
    </row>
    <row r="155" spans="1:54" x14ac:dyDescent="0.25">
      <c r="A155" s="34"/>
      <c r="B155" s="34"/>
      <c r="C155" s="34"/>
      <c r="D155" s="37"/>
      <c r="E155" s="37"/>
      <c r="F155" s="37"/>
      <c r="G155" s="37"/>
      <c r="H155" s="37"/>
      <c r="I155" s="37"/>
      <c r="J155" s="37"/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  <c r="AD155" s="37"/>
      <c r="AE155" s="37"/>
      <c r="AF155" s="37"/>
      <c r="AG155" s="37"/>
      <c r="AH155" s="37"/>
      <c r="AI155" s="37"/>
      <c r="AJ155" s="37"/>
      <c r="AK155" s="37"/>
      <c r="AL155" s="37"/>
      <c r="AM155" s="37"/>
      <c r="AN155" s="37"/>
      <c r="AO155" s="37"/>
      <c r="AP155" s="37"/>
      <c r="AQ155" s="37"/>
      <c r="AR155" s="37"/>
      <c r="AS155" s="37"/>
      <c r="AT155" s="37"/>
      <c r="AU155" s="37"/>
      <c r="AV155" s="37"/>
      <c r="AW155" s="37"/>
      <c r="AX155" s="37"/>
      <c r="AY155" s="37"/>
      <c r="AZ155" s="37"/>
      <c r="BA155" s="37"/>
      <c r="BB155" s="37"/>
    </row>
    <row r="156" spans="1:54" s="5" customFormat="1" x14ac:dyDescent="0.25">
      <c r="A156" s="32"/>
      <c r="B156" s="32"/>
      <c r="C156" s="32"/>
      <c r="D156" s="33"/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36"/>
      <c r="AI156" s="36"/>
      <c r="AJ156" s="36"/>
      <c r="AK156" s="36"/>
      <c r="AL156" s="36"/>
      <c r="AM156" s="36"/>
      <c r="AN156" s="36"/>
      <c r="AO156" s="36"/>
      <c r="AP156" s="36"/>
      <c r="AQ156" s="36"/>
      <c r="AR156" s="36"/>
      <c r="AS156" s="36"/>
      <c r="AT156" s="36"/>
      <c r="AU156" s="36"/>
      <c r="AV156" s="36"/>
      <c r="AW156" s="36"/>
      <c r="AX156" s="36"/>
      <c r="AY156" s="36"/>
      <c r="AZ156" s="36"/>
      <c r="BA156" s="36"/>
      <c r="BB156" s="36"/>
    </row>
    <row r="157" spans="1:54" x14ac:dyDescent="0.25">
      <c r="A157" s="34"/>
      <c r="B157" s="34"/>
      <c r="C157" s="34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  <c r="AM157" s="35"/>
      <c r="AN157" s="35"/>
      <c r="AO157" s="35"/>
      <c r="AP157" s="35"/>
      <c r="AQ157" s="35"/>
      <c r="AR157" s="35"/>
      <c r="AS157" s="35"/>
      <c r="AT157" s="35"/>
      <c r="AU157" s="35"/>
      <c r="AV157" s="35"/>
      <c r="AW157" s="35"/>
      <c r="AX157" s="35"/>
      <c r="AY157" s="35"/>
      <c r="AZ157" s="35"/>
      <c r="BA157" s="35"/>
      <c r="BB157" s="35"/>
    </row>
    <row r="158" spans="1:54" s="5" customFormat="1" x14ac:dyDescent="0.25">
      <c r="A158" s="32"/>
      <c r="B158" s="32"/>
      <c r="C158" s="32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6"/>
      <c r="V158" s="36"/>
      <c r="W158" s="36"/>
      <c r="X158" s="36"/>
      <c r="Y158" s="36"/>
      <c r="Z158" s="36"/>
      <c r="AA158" s="36"/>
      <c r="AB158" s="36"/>
      <c r="AC158" s="36"/>
      <c r="AD158" s="36"/>
      <c r="AE158" s="36"/>
      <c r="AF158" s="36"/>
      <c r="AG158" s="36"/>
      <c r="AH158" s="36"/>
      <c r="AI158" s="36"/>
      <c r="AJ158" s="36"/>
      <c r="AK158" s="36"/>
      <c r="AL158" s="36"/>
      <c r="AM158" s="36"/>
      <c r="AN158" s="36"/>
      <c r="AO158" s="36"/>
      <c r="AP158" s="36"/>
      <c r="AQ158" s="36"/>
      <c r="AR158" s="36"/>
      <c r="AS158" s="36"/>
      <c r="AT158" s="36"/>
      <c r="AU158" s="36"/>
      <c r="AV158" s="36"/>
      <c r="AW158" s="36"/>
      <c r="AX158" s="36"/>
      <c r="AY158" s="36"/>
      <c r="AZ158" s="36"/>
      <c r="BA158" s="36"/>
      <c r="BB158" s="36"/>
    </row>
    <row r="159" spans="1:54" x14ac:dyDescent="0.25">
      <c r="A159" s="34"/>
      <c r="B159" s="34"/>
      <c r="C159" s="34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  <c r="AM159" s="35"/>
      <c r="AN159" s="35"/>
      <c r="AO159" s="35"/>
      <c r="AP159" s="35"/>
      <c r="AQ159" s="37"/>
      <c r="AR159" s="37"/>
      <c r="AS159" s="37"/>
      <c r="AT159" s="37"/>
      <c r="AU159" s="37"/>
      <c r="AV159" s="37"/>
      <c r="AW159" s="37"/>
      <c r="AX159" s="37"/>
      <c r="AY159" s="37"/>
      <c r="AZ159" s="37"/>
      <c r="BA159" s="37"/>
      <c r="BB159" s="37"/>
    </row>
    <row r="160" spans="1:54" s="5" customFormat="1" x14ac:dyDescent="0.25">
      <c r="A160" s="32"/>
      <c r="B160" s="32"/>
      <c r="C160" s="32"/>
      <c r="D160" s="33"/>
      <c r="E160" s="33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33"/>
      <c r="AG160" s="33"/>
      <c r="AH160" s="33"/>
      <c r="AI160" s="33"/>
      <c r="AJ160" s="33"/>
      <c r="AK160" s="33"/>
      <c r="AL160" s="33"/>
      <c r="AM160" s="33"/>
      <c r="AN160" s="33"/>
      <c r="AO160" s="33"/>
      <c r="AP160" s="33"/>
      <c r="AQ160" s="36"/>
      <c r="AR160" s="36"/>
      <c r="AS160" s="36"/>
      <c r="AT160" s="36"/>
      <c r="AU160" s="36"/>
      <c r="AV160" s="36"/>
      <c r="AW160" s="36"/>
      <c r="AX160" s="36"/>
      <c r="AY160" s="36"/>
      <c r="AZ160" s="36"/>
      <c r="BA160" s="36"/>
      <c r="BB160" s="36"/>
    </row>
    <row r="161" spans="1:54" x14ac:dyDescent="0.25">
      <c r="A161" s="34"/>
      <c r="B161" s="34"/>
      <c r="C161" s="34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  <c r="AM161" s="35"/>
      <c r="AN161" s="35"/>
      <c r="AO161" s="35"/>
      <c r="AP161" s="35"/>
      <c r="AQ161" s="37"/>
      <c r="AR161" s="35"/>
      <c r="AS161" s="37"/>
      <c r="AT161" s="35"/>
      <c r="AU161" s="35"/>
      <c r="AV161" s="35"/>
      <c r="AW161" s="35"/>
      <c r="AX161" s="35"/>
      <c r="AY161" s="35"/>
      <c r="AZ161" s="37"/>
      <c r="BA161" s="37"/>
      <c r="BB161" s="37"/>
    </row>
    <row r="162" spans="1:54" s="5" customFormat="1" x14ac:dyDescent="0.25">
      <c r="A162" s="32"/>
      <c r="B162" s="32"/>
      <c r="C162" s="32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  <c r="AM162" s="33"/>
      <c r="AN162" s="33"/>
      <c r="AO162" s="33"/>
      <c r="AP162" s="33"/>
      <c r="AQ162" s="36"/>
      <c r="AR162" s="36"/>
      <c r="AS162" s="36"/>
      <c r="AT162" s="36"/>
      <c r="AU162" s="36"/>
      <c r="AV162" s="36"/>
      <c r="AW162" s="36"/>
      <c r="AX162" s="36"/>
      <c r="AY162" s="36"/>
      <c r="AZ162" s="36"/>
      <c r="BA162" s="36"/>
      <c r="BB162" s="36"/>
    </row>
    <row r="163" spans="1:54" x14ac:dyDescent="0.25">
      <c r="A163" s="34"/>
      <c r="B163" s="34"/>
      <c r="C163" s="34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  <c r="AM163" s="35"/>
      <c r="AN163" s="35"/>
      <c r="AO163" s="35"/>
      <c r="AP163" s="35"/>
      <c r="AQ163" s="37"/>
      <c r="AR163" s="37"/>
      <c r="AS163" s="37"/>
      <c r="AT163" s="35"/>
      <c r="AU163" s="35"/>
      <c r="AV163" s="37"/>
      <c r="AW163" s="37"/>
      <c r="AX163" s="37"/>
      <c r="AY163" s="35"/>
      <c r="AZ163" s="35"/>
      <c r="BA163" s="35"/>
      <c r="BB163" s="37"/>
    </row>
    <row r="164" spans="1:54" s="5" customFormat="1" x14ac:dyDescent="0.25">
      <c r="A164" s="32"/>
      <c r="B164" s="32"/>
      <c r="C164" s="32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  <c r="AM164" s="33"/>
      <c r="AN164" s="33"/>
      <c r="AO164" s="33"/>
      <c r="AP164" s="33"/>
      <c r="AQ164" s="36"/>
      <c r="AR164" s="36"/>
      <c r="AS164" s="36"/>
      <c r="AT164" s="36"/>
      <c r="AU164" s="36"/>
      <c r="AV164" s="36"/>
      <c r="AW164" s="36"/>
      <c r="AX164" s="36"/>
      <c r="AY164" s="36"/>
      <c r="AZ164" s="36"/>
      <c r="BA164" s="36"/>
      <c r="BB164" s="36"/>
    </row>
    <row r="165" spans="1:54" x14ac:dyDescent="0.25">
      <c r="A165" s="34"/>
      <c r="B165" s="34"/>
      <c r="C165" s="34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  <c r="AM165" s="35"/>
      <c r="AN165" s="35"/>
      <c r="AO165" s="35"/>
      <c r="AP165" s="35"/>
      <c r="AQ165" s="35"/>
      <c r="AR165" s="35"/>
      <c r="AS165" s="35"/>
      <c r="AT165" s="35"/>
      <c r="AU165" s="35"/>
      <c r="AV165" s="35"/>
      <c r="AW165" s="35"/>
      <c r="AX165" s="35"/>
      <c r="AY165" s="35"/>
      <c r="AZ165" s="35"/>
      <c r="BA165" s="35"/>
      <c r="BB165" s="35"/>
    </row>
    <row r="166" spans="1:54" s="5" customFormat="1" x14ac:dyDescent="0.25">
      <c r="A166" s="32"/>
      <c r="B166" s="32"/>
      <c r="C166" s="32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  <c r="AM166" s="33"/>
      <c r="AN166" s="33"/>
      <c r="AO166" s="33"/>
      <c r="AP166" s="33"/>
      <c r="AQ166" s="36"/>
      <c r="AR166" s="36"/>
      <c r="AS166" s="36"/>
      <c r="AT166" s="36"/>
      <c r="AU166" s="36"/>
      <c r="AV166" s="36"/>
      <c r="AW166" s="36"/>
      <c r="AX166" s="36"/>
      <c r="AY166" s="36"/>
      <c r="AZ166" s="36"/>
      <c r="BA166" s="36"/>
      <c r="BB166" s="36"/>
    </row>
    <row r="167" spans="1:54" x14ac:dyDescent="0.25">
      <c r="A167" s="34"/>
      <c r="B167" s="34"/>
      <c r="C167" s="34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  <c r="AM167" s="35"/>
      <c r="AN167" s="35"/>
      <c r="AO167" s="35"/>
      <c r="AP167" s="35"/>
      <c r="AQ167" s="37"/>
      <c r="AR167" s="37"/>
      <c r="AS167" s="37"/>
      <c r="AT167" s="37"/>
      <c r="AU167" s="37"/>
      <c r="AV167" s="37"/>
      <c r="AW167" s="37"/>
      <c r="AX167" s="37"/>
      <c r="AY167" s="37"/>
      <c r="AZ167" s="37"/>
      <c r="BA167" s="37"/>
      <c r="BB167" s="37"/>
    </row>
    <row r="168" spans="1:54" s="5" customFormat="1" x14ac:dyDescent="0.25">
      <c r="A168" s="32"/>
      <c r="B168" s="32"/>
      <c r="C168" s="32"/>
      <c r="D168" s="33"/>
      <c r="E168" s="33"/>
      <c r="F168" s="33"/>
      <c r="G168" s="33"/>
      <c r="H168" s="33"/>
      <c r="I168" s="33"/>
      <c r="J168" s="33"/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  <c r="AM168" s="33"/>
      <c r="AN168" s="33"/>
      <c r="AO168" s="33"/>
      <c r="AP168" s="33"/>
      <c r="AQ168" s="36"/>
      <c r="AR168" s="36"/>
      <c r="AS168" s="36"/>
      <c r="AT168" s="36"/>
      <c r="AU168" s="36"/>
      <c r="AV168" s="36"/>
      <c r="AW168" s="36"/>
      <c r="AX168" s="36"/>
      <c r="AY168" s="36"/>
      <c r="AZ168" s="36"/>
      <c r="BA168" s="36"/>
      <c r="BB168" s="36"/>
    </row>
    <row r="169" spans="1:54" x14ac:dyDescent="0.25">
      <c r="A169" s="34"/>
      <c r="B169" s="34"/>
      <c r="C169" s="34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  <c r="AM169" s="35"/>
      <c r="AN169" s="35"/>
      <c r="AO169" s="35"/>
      <c r="AP169" s="35"/>
      <c r="AQ169" s="35"/>
      <c r="AR169" s="35"/>
      <c r="AS169" s="35"/>
      <c r="AT169" s="35"/>
      <c r="AU169" s="35"/>
      <c r="AV169" s="35"/>
      <c r="AW169" s="35"/>
      <c r="AX169" s="35"/>
      <c r="AY169" s="35"/>
      <c r="AZ169" s="35"/>
      <c r="BA169" s="35"/>
      <c r="BB169" s="35"/>
    </row>
    <row r="170" spans="1:54" s="5" customFormat="1" x14ac:dyDescent="0.25">
      <c r="A170" s="32"/>
      <c r="B170" s="32"/>
      <c r="C170" s="32"/>
      <c r="D170" s="33"/>
      <c r="E170" s="33"/>
      <c r="F170" s="33"/>
      <c r="G170" s="33"/>
      <c r="H170" s="33"/>
      <c r="I170" s="33"/>
      <c r="J170" s="33"/>
      <c r="K170" s="33"/>
      <c r="L170" s="33"/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  <c r="AM170" s="33"/>
      <c r="AN170" s="33"/>
      <c r="AO170" s="33"/>
      <c r="AP170" s="33"/>
      <c r="AQ170" s="36"/>
      <c r="AR170" s="36"/>
      <c r="AS170" s="36"/>
      <c r="AT170" s="36"/>
      <c r="AU170" s="36"/>
      <c r="AV170" s="36"/>
      <c r="AW170" s="36"/>
      <c r="AX170" s="36"/>
      <c r="AY170" s="36"/>
      <c r="AZ170" s="36"/>
      <c r="BA170" s="36"/>
      <c r="BB170" s="36"/>
    </row>
    <row r="171" spans="1:54" x14ac:dyDescent="0.25">
      <c r="A171" s="34"/>
      <c r="B171" s="34"/>
      <c r="C171" s="34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  <c r="AM171" s="35"/>
      <c r="AN171" s="35"/>
      <c r="AO171" s="35"/>
      <c r="AP171" s="35"/>
      <c r="AQ171" s="35"/>
      <c r="AR171" s="35"/>
      <c r="AS171" s="35"/>
      <c r="AT171" s="35"/>
      <c r="AU171" s="35"/>
      <c r="AV171" s="35"/>
      <c r="AW171" s="35"/>
      <c r="AX171" s="35"/>
      <c r="AY171" s="35"/>
      <c r="AZ171" s="35"/>
      <c r="BA171" s="35"/>
      <c r="BB171" s="35"/>
    </row>
    <row r="172" spans="1:54" s="5" customFormat="1" x14ac:dyDescent="0.25">
      <c r="A172" s="32"/>
      <c r="B172" s="32"/>
      <c r="C172" s="32"/>
      <c r="D172" s="33"/>
      <c r="E172" s="33"/>
      <c r="F172" s="33"/>
      <c r="G172" s="33"/>
      <c r="H172" s="33"/>
      <c r="I172" s="33"/>
      <c r="J172" s="33"/>
      <c r="K172" s="33"/>
      <c r="L172" s="33"/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  <c r="AM172" s="33"/>
      <c r="AN172" s="33"/>
      <c r="AO172" s="33"/>
      <c r="AP172" s="33"/>
      <c r="AQ172" s="33"/>
      <c r="AR172" s="33"/>
      <c r="AS172" s="33"/>
      <c r="AT172" s="33"/>
      <c r="AU172" s="36"/>
      <c r="AV172" s="33"/>
      <c r="AW172" s="33"/>
      <c r="AX172" s="33"/>
      <c r="AY172" s="36"/>
      <c r="AZ172" s="33"/>
      <c r="BA172" s="33"/>
      <c r="BB172" s="33"/>
    </row>
    <row r="173" spans="1:54" x14ac:dyDescent="0.25">
      <c r="A173" s="34"/>
      <c r="B173" s="34"/>
      <c r="C173" s="34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  <c r="AF173" s="35"/>
      <c r="AG173" s="35"/>
      <c r="AH173" s="35"/>
      <c r="AI173" s="35"/>
      <c r="AJ173" s="35"/>
      <c r="AK173" s="35"/>
      <c r="AL173" s="35"/>
      <c r="AM173" s="35"/>
      <c r="AN173" s="35"/>
      <c r="AO173" s="35"/>
      <c r="AP173" s="35"/>
      <c r="AQ173" s="35"/>
      <c r="AR173" s="35"/>
      <c r="AS173" s="35"/>
      <c r="AT173" s="35"/>
      <c r="AU173" s="35"/>
      <c r="AV173" s="35"/>
      <c r="AW173" s="35"/>
      <c r="AX173" s="35"/>
      <c r="AY173" s="35"/>
      <c r="AZ173" s="35"/>
      <c r="BA173" s="35"/>
      <c r="BB173" s="35"/>
    </row>
    <row r="174" spans="1:54" s="5" customFormat="1" x14ac:dyDescent="0.25">
      <c r="A174" s="32"/>
      <c r="B174" s="32"/>
      <c r="C174" s="32"/>
      <c r="D174" s="33"/>
      <c r="E174" s="33"/>
      <c r="F174" s="33"/>
      <c r="G174" s="33"/>
      <c r="H174" s="33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  <c r="AF174" s="33"/>
      <c r="AG174" s="33"/>
      <c r="AH174" s="33"/>
      <c r="AI174" s="33"/>
      <c r="AJ174" s="33"/>
      <c r="AK174" s="33"/>
      <c r="AL174" s="33"/>
      <c r="AM174" s="33"/>
      <c r="AN174" s="33"/>
      <c r="AO174" s="33"/>
      <c r="AP174" s="33"/>
      <c r="AQ174" s="33"/>
      <c r="AR174" s="33"/>
      <c r="AS174" s="33"/>
      <c r="AT174" s="33"/>
      <c r="AU174" s="36"/>
      <c r="AV174" s="33"/>
      <c r="AW174" s="33"/>
      <c r="AX174" s="36"/>
      <c r="AY174" s="36"/>
      <c r="AZ174" s="33"/>
      <c r="BA174" s="33"/>
      <c r="BB174" s="36"/>
    </row>
    <row r="175" spans="1:54" x14ac:dyDescent="0.25">
      <c r="A175" s="34"/>
      <c r="B175" s="34"/>
      <c r="C175" s="34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  <c r="Y175" s="35"/>
      <c r="Z175" s="35"/>
      <c r="AA175" s="35"/>
      <c r="AB175" s="35"/>
      <c r="AC175" s="35"/>
      <c r="AD175" s="35"/>
      <c r="AE175" s="35"/>
      <c r="AF175" s="35"/>
      <c r="AG175" s="35"/>
      <c r="AH175" s="35"/>
      <c r="AI175" s="35"/>
      <c r="AJ175" s="35"/>
      <c r="AK175" s="35"/>
      <c r="AL175" s="35"/>
      <c r="AM175" s="35"/>
      <c r="AN175" s="35"/>
      <c r="AO175" s="35"/>
      <c r="AP175" s="35"/>
      <c r="AQ175" s="35"/>
      <c r="AR175" s="35"/>
      <c r="AS175" s="35"/>
      <c r="AT175" s="35"/>
      <c r="AU175" s="35"/>
      <c r="AV175" s="35"/>
      <c r="AW175" s="35"/>
      <c r="AX175" s="37"/>
      <c r="AY175" s="37"/>
      <c r="AZ175" s="37"/>
      <c r="BA175" s="37"/>
      <c r="BB175" s="37"/>
    </row>
    <row r="176" spans="1:54" s="5" customFormat="1" x14ac:dyDescent="0.25">
      <c r="A176" s="34"/>
      <c r="B176" s="32"/>
      <c r="C176" s="32"/>
      <c r="D176" s="33"/>
      <c r="E176" s="33"/>
      <c r="F176" s="33"/>
      <c r="G176" s="33"/>
      <c r="H176" s="33"/>
      <c r="I176" s="33"/>
      <c r="J176" s="33"/>
      <c r="K176" s="33"/>
      <c r="L176" s="33"/>
      <c r="M176" s="33"/>
      <c r="N176" s="33"/>
      <c r="O176" s="33"/>
      <c r="P176" s="33"/>
      <c r="Q176" s="33"/>
      <c r="R176" s="33"/>
      <c r="S176" s="33"/>
      <c r="T176" s="33"/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F176" s="33"/>
      <c r="AG176" s="33"/>
      <c r="AH176" s="33"/>
      <c r="AI176" s="33"/>
      <c r="AJ176" s="33"/>
      <c r="AK176" s="33"/>
      <c r="AL176" s="33"/>
      <c r="AM176" s="33"/>
      <c r="AN176" s="33"/>
      <c r="AO176" s="33"/>
      <c r="AP176" s="33"/>
      <c r="AQ176" s="33"/>
      <c r="AR176" s="33"/>
      <c r="AS176" s="33"/>
      <c r="AT176" s="33"/>
      <c r="AU176" s="33"/>
      <c r="AV176" s="33"/>
      <c r="AW176" s="33"/>
      <c r="AX176" s="36"/>
      <c r="AY176" s="36"/>
      <c r="AZ176" s="36"/>
      <c r="BA176" s="36"/>
      <c r="BB176" s="36"/>
    </row>
    <row r="177" spans="1:54" x14ac:dyDescent="0.25">
      <c r="A177" s="34"/>
      <c r="B177" s="34"/>
      <c r="C177" s="34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5"/>
      <c r="AA177" s="35"/>
      <c r="AB177" s="35"/>
      <c r="AC177" s="35"/>
      <c r="AD177" s="35"/>
      <c r="AE177" s="35"/>
      <c r="AF177" s="35"/>
      <c r="AG177" s="35"/>
      <c r="AH177" s="35"/>
      <c r="AI177" s="35"/>
      <c r="AJ177" s="35"/>
      <c r="AK177" s="35"/>
      <c r="AL177" s="35"/>
      <c r="AM177" s="35"/>
      <c r="AN177" s="35"/>
      <c r="AO177" s="35"/>
      <c r="AP177" s="35"/>
      <c r="AQ177" s="35"/>
      <c r="AR177" s="35"/>
      <c r="AS177" s="35"/>
      <c r="AT177" s="35"/>
      <c r="AU177" s="35"/>
      <c r="AV177" s="35"/>
      <c r="AW177" s="35"/>
      <c r="AX177" s="37"/>
      <c r="AY177" s="37"/>
      <c r="AZ177" s="37"/>
      <c r="BA177" s="37"/>
      <c r="BB177" s="37"/>
    </row>
    <row r="178" spans="1:54" s="5" customFormat="1" x14ac:dyDescent="0.25">
      <c r="A178" s="34"/>
      <c r="B178" s="32"/>
      <c r="C178" s="32"/>
      <c r="D178" s="33"/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F178" s="33"/>
      <c r="AG178" s="33"/>
      <c r="AH178" s="33"/>
      <c r="AI178" s="33"/>
      <c r="AJ178" s="33"/>
      <c r="AK178" s="33"/>
      <c r="AL178" s="33"/>
      <c r="AM178" s="33"/>
      <c r="AN178" s="33"/>
      <c r="AO178" s="33"/>
      <c r="AP178" s="33"/>
      <c r="AQ178" s="33"/>
      <c r="AR178" s="33"/>
      <c r="AS178" s="33"/>
      <c r="AT178" s="33"/>
      <c r="AU178" s="33"/>
      <c r="AV178" s="33"/>
      <c r="AW178" s="33"/>
      <c r="AX178" s="36"/>
      <c r="AY178" s="36"/>
      <c r="AZ178" s="36"/>
      <c r="BA178" s="36"/>
      <c r="BB178" s="36"/>
    </row>
    <row r="179" spans="1:54" s="5" customFormat="1" x14ac:dyDescent="0.25">
      <c r="A179" s="32"/>
      <c r="B179" s="32"/>
      <c r="C179" s="32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F179" s="33"/>
      <c r="AG179" s="33"/>
      <c r="AH179" s="33"/>
      <c r="AI179" s="33"/>
      <c r="AJ179" s="33"/>
      <c r="AK179" s="33"/>
      <c r="AL179" s="33"/>
      <c r="AM179" s="33"/>
      <c r="AN179" s="33"/>
      <c r="AO179" s="33"/>
      <c r="AP179" s="33"/>
      <c r="AQ179" s="36"/>
      <c r="AR179" s="36"/>
      <c r="AS179" s="36"/>
      <c r="AT179" s="36"/>
      <c r="AU179" s="36"/>
      <c r="AV179" s="36"/>
      <c r="AW179" s="36"/>
      <c r="AX179" s="36"/>
      <c r="AY179" s="36"/>
      <c r="AZ179" s="36"/>
      <c r="BA179" s="36"/>
      <c r="BB179" s="36"/>
    </row>
    <row r="180" spans="1:54" x14ac:dyDescent="0.25">
      <c r="A180" s="34"/>
      <c r="B180" s="34"/>
      <c r="C180" s="34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  <c r="AA180" s="35"/>
      <c r="AB180" s="35"/>
      <c r="AC180" s="35"/>
      <c r="AD180" s="35"/>
      <c r="AE180" s="35"/>
      <c r="AF180" s="35"/>
      <c r="AG180" s="35"/>
      <c r="AH180" s="35"/>
      <c r="AI180" s="35"/>
      <c r="AJ180" s="35"/>
      <c r="AK180" s="35"/>
      <c r="AL180" s="35"/>
      <c r="AM180" s="35"/>
      <c r="AN180" s="35"/>
      <c r="AO180" s="35"/>
      <c r="AP180" s="35"/>
      <c r="AQ180" s="37"/>
      <c r="AR180" s="37"/>
      <c r="AS180" s="37"/>
      <c r="AT180" s="37"/>
      <c r="AU180" s="37"/>
      <c r="AV180" s="37"/>
      <c r="AW180" s="37"/>
      <c r="AX180" s="37"/>
      <c r="AY180" s="37"/>
      <c r="AZ180" s="37"/>
      <c r="BA180" s="37"/>
      <c r="BB180" s="37"/>
    </row>
    <row r="181" spans="1:54" s="5" customFormat="1" x14ac:dyDescent="0.25">
      <c r="A181" s="32"/>
      <c r="B181" s="32"/>
      <c r="C181" s="32"/>
      <c r="D181" s="33"/>
      <c r="E181" s="33"/>
      <c r="F181" s="33"/>
      <c r="G181" s="33"/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F181" s="33"/>
      <c r="AG181" s="33"/>
      <c r="AH181" s="33"/>
      <c r="AI181" s="33"/>
      <c r="AJ181" s="33"/>
      <c r="AK181" s="33"/>
      <c r="AL181" s="33"/>
      <c r="AM181" s="33"/>
      <c r="AN181" s="33"/>
      <c r="AO181" s="33"/>
      <c r="AP181" s="33"/>
      <c r="AQ181" s="36"/>
      <c r="AR181" s="36"/>
      <c r="AS181" s="36"/>
      <c r="AT181" s="36"/>
      <c r="AU181" s="36"/>
      <c r="AV181" s="36"/>
      <c r="AW181" s="36"/>
      <c r="AX181" s="36"/>
      <c r="AY181" s="36"/>
      <c r="AZ181" s="36"/>
      <c r="BA181" s="36"/>
      <c r="BB181" s="36"/>
    </row>
    <row r="182" spans="1:54" x14ac:dyDescent="0.25">
      <c r="A182" s="34"/>
      <c r="B182" s="34"/>
      <c r="C182" s="34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35"/>
      <c r="AA182" s="35"/>
      <c r="AB182" s="35"/>
      <c r="AC182" s="35"/>
      <c r="AD182" s="35"/>
      <c r="AE182" s="35"/>
      <c r="AF182" s="35"/>
      <c r="AG182" s="35"/>
      <c r="AH182" s="35"/>
      <c r="AI182" s="35"/>
      <c r="AJ182" s="35"/>
      <c r="AK182" s="35"/>
      <c r="AL182" s="35"/>
      <c r="AM182" s="35"/>
      <c r="AN182" s="35"/>
      <c r="AO182" s="35"/>
      <c r="AP182" s="35"/>
      <c r="AQ182" s="37"/>
      <c r="AR182" s="37"/>
      <c r="AS182" s="37"/>
      <c r="AT182" s="37"/>
      <c r="AU182" s="37"/>
      <c r="AV182" s="37"/>
      <c r="AW182" s="37"/>
      <c r="AX182" s="37"/>
      <c r="AY182" s="37"/>
      <c r="AZ182" s="37"/>
      <c r="BA182" s="37"/>
      <c r="BB182" s="37"/>
    </row>
    <row r="183" spans="1:54" s="5" customFormat="1" x14ac:dyDescent="0.25">
      <c r="A183" s="32"/>
      <c r="B183" s="32"/>
      <c r="C183" s="32"/>
      <c r="D183" s="36"/>
      <c r="E183" s="36"/>
      <c r="F183" s="36"/>
      <c r="G183" s="36"/>
      <c r="H183" s="36"/>
      <c r="I183" s="36"/>
      <c r="J183" s="36"/>
      <c r="K183" s="36"/>
      <c r="L183" s="36"/>
      <c r="M183" s="36"/>
      <c r="N183" s="36"/>
      <c r="O183" s="36"/>
      <c r="P183" s="36"/>
      <c r="Q183" s="36"/>
      <c r="R183" s="36"/>
      <c r="S183" s="36"/>
      <c r="T183" s="36"/>
      <c r="U183" s="36"/>
      <c r="V183" s="36"/>
      <c r="W183" s="36"/>
      <c r="X183" s="36"/>
      <c r="Y183" s="36"/>
      <c r="Z183" s="36"/>
      <c r="AA183" s="36"/>
      <c r="AB183" s="36"/>
      <c r="AC183" s="36"/>
      <c r="AD183" s="36"/>
      <c r="AE183" s="36"/>
      <c r="AF183" s="36"/>
      <c r="AG183" s="36"/>
      <c r="AH183" s="36"/>
      <c r="AI183" s="36"/>
      <c r="AJ183" s="36"/>
      <c r="AK183" s="36"/>
      <c r="AL183" s="36"/>
      <c r="AM183" s="36"/>
      <c r="AN183" s="36"/>
      <c r="AO183" s="36"/>
      <c r="AP183" s="36"/>
      <c r="AQ183" s="36"/>
      <c r="AR183" s="36"/>
      <c r="AS183" s="36"/>
      <c r="AT183" s="36"/>
      <c r="AU183" s="36"/>
      <c r="AV183" s="36"/>
      <c r="AW183" s="36"/>
      <c r="AX183" s="36"/>
      <c r="AY183" s="36"/>
      <c r="AZ183" s="36"/>
      <c r="BA183" s="36"/>
      <c r="BB183" s="36"/>
    </row>
    <row r="184" spans="1:54" x14ac:dyDescent="0.25">
      <c r="A184" s="34"/>
      <c r="B184" s="34"/>
      <c r="C184" s="34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  <c r="AB184" s="35"/>
      <c r="AC184" s="35"/>
      <c r="AD184" s="35"/>
      <c r="AE184" s="35"/>
      <c r="AF184" s="35"/>
      <c r="AG184" s="35"/>
      <c r="AH184" s="35"/>
      <c r="AI184" s="35"/>
      <c r="AJ184" s="35"/>
      <c r="AK184" s="35"/>
      <c r="AL184" s="35"/>
      <c r="AM184" s="35"/>
      <c r="AN184" s="35"/>
      <c r="AO184" s="35"/>
      <c r="AP184" s="35"/>
      <c r="AQ184" s="35"/>
      <c r="AR184" s="35"/>
      <c r="AS184" s="35"/>
      <c r="AT184" s="35"/>
      <c r="AU184" s="35"/>
      <c r="AV184" s="35"/>
      <c r="AW184" s="35"/>
      <c r="AX184" s="35"/>
      <c r="AY184" s="35"/>
      <c r="AZ184" s="35"/>
      <c r="BA184" s="35"/>
      <c r="BB184" s="35"/>
    </row>
    <row r="185" spans="1:54" s="5" customFormat="1" x14ac:dyDescent="0.25">
      <c r="A185" s="32"/>
      <c r="B185" s="32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  <c r="V185" s="33"/>
      <c r="W185" s="33"/>
      <c r="X185" s="33"/>
      <c r="Y185" s="33"/>
      <c r="Z185" s="33"/>
      <c r="AA185" s="33"/>
      <c r="AB185" s="33"/>
      <c r="AC185" s="33"/>
      <c r="AD185" s="33"/>
      <c r="AE185" s="33"/>
      <c r="AF185" s="33"/>
      <c r="AG185" s="33"/>
      <c r="AH185" s="33"/>
      <c r="AI185" s="33"/>
      <c r="AJ185" s="33"/>
      <c r="AK185" s="33"/>
      <c r="AL185" s="33"/>
      <c r="AM185" s="33"/>
      <c r="AN185" s="33"/>
      <c r="AO185" s="33"/>
      <c r="AP185" s="33"/>
      <c r="AQ185" s="33"/>
      <c r="AR185" s="33"/>
      <c r="AS185" s="33"/>
      <c r="AT185" s="33"/>
      <c r="AU185" s="36"/>
      <c r="AV185" s="33"/>
      <c r="AW185" s="33"/>
      <c r="AX185" s="36"/>
      <c r="AY185" s="36"/>
      <c r="AZ185" s="36"/>
      <c r="BA185" s="36"/>
      <c r="BB185" s="36"/>
    </row>
    <row r="186" spans="1:54" x14ac:dyDescent="0.25">
      <c r="A186" s="34"/>
      <c r="B186" s="34"/>
      <c r="C186" s="34"/>
      <c r="D186" s="37"/>
      <c r="E186" s="37"/>
      <c r="F186" s="37"/>
      <c r="G186" s="37"/>
      <c r="H186" s="37"/>
      <c r="I186" s="37"/>
      <c r="J186" s="37"/>
      <c r="K186" s="37"/>
      <c r="L186" s="37"/>
      <c r="M186" s="37"/>
      <c r="N186" s="37"/>
      <c r="O186" s="37"/>
      <c r="P186" s="37"/>
      <c r="Q186" s="37"/>
      <c r="R186" s="37"/>
      <c r="S186" s="37"/>
      <c r="T186" s="37"/>
      <c r="U186" s="37"/>
      <c r="V186" s="37"/>
      <c r="W186" s="37"/>
      <c r="X186" s="37"/>
      <c r="Y186" s="37"/>
      <c r="Z186" s="37"/>
      <c r="AA186" s="37"/>
      <c r="AB186" s="37"/>
      <c r="AC186" s="37"/>
      <c r="AD186" s="37"/>
      <c r="AE186" s="37"/>
      <c r="AF186" s="37"/>
      <c r="AG186" s="37"/>
      <c r="AH186" s="37"/>
      <c r="AI186" s="37"/>
      <c r="AJ186" s="37"/>
      <c r="AK186" s="37"/>
      <c r="AL186" s="37"/>
      <c r="AM186" s="37"/>
      <c r="AN186" s="37"/>
      <c r="AO186" s="37"/>
      <c r="AP186" s="37"/>
      <c r="AQ186" s="37"/>
      <c r="AR186" s="37"/>
      <c r="AS186" s="37"/>
      <c r="AT186" s="37"/>
      <c r="AU186" s="37"/>
      <c r="AV186" s="37"/>
      <c r="AW186" s="37"/>
      <c r="AX186" s="37"/>
      <c r="AY186" s="37"/>
      <c r="AZ186" s="37"/>
      <c r="BA186" s="37"/>
      <c r="BB186" s="37"/>
    </row>
    <row r="187" spans="1:54" s="5" customFormat="1" x14ac:dyDescent="0.25">
      <c r="A187" s="32"/>
      <c r="B187" s="32"/>
      <c r="C187" s="32"/>
      <c r="D187" s="36"/>
      <c r="E187" s="36"/>
      <c r="F187" s="36"/>
      <c r="G187" s="36"/>
      <c r="H187" s="36"/>
      <c r="I187" s="36"/>
      <c r="J187" s="36"/>
      <c r="K187" s="36"/>
      <c r="L187" s="36"/>
      <c r="M187" s="36"/>
      <c r="N187" s="36"/>
      <c r="O187" s="36"/>
      <c r="P187" s="36"/>
      <c r="Q187" s="36"/>
      <c r="R187" s="36"/>
      <c r="S187" s="36"/>
      <c r="T187" s="36"/>
      <c r="U187" s="36"/>
      <c r="V187" s="36"/>
      <c r="W187" s="36"/>
      <c r="X187" s="36"/>
      <c r="Y187" s="36"/>
      <c r="Z187" s="36"/>
      <c r="AA187" s="36"/>
      <c r="AB187" s="36"/>
      <c r="AC187" s="36"/>
      <c r="AD187" s="36"/>
      <c r="AE187" s="36"/>
      <c r="AF187" s="36"/>
      <c r="AG187" s="36"/>
      <c r="AH187" s="36"/>
      <c r="AI187" s="36"/>
      <c r="AJ187" s="36"/>
      <c r="AK187" s="36"/>
      <c r="AL187" s="36"/>
      <c r="AM187" s="36"/>
      <c r="AN187" s="36"/>
      <c r="AO187" s="36"/>
      <c r="AP187" s="36"/>
      <c r="AQ187" s="36"/>
      <c r="AR187" s="36"/>
      <c r="AS187" s="36"/>
      <c r="AT187" s="36"/>
      <c r="AU187" s="36"/>
      <c r="AV187" s="36"/>
      <c r="AW187" s="36"/>
      <c r="AX187" s="36"/>
      <c r="AY187" s="36"/>
      <c r="AZ187" s="36"/>
      <c r="BA187" s="36"/>
      <c r="BB187" s="36"/>
    </row>
    <row r="188" spans="1:54" x14ac:dyDescent="0.25">
      <c r="A188" s="34"/>
      <c r="B188" s="34"/>
      <c r="C188" s="34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  <c r="Y188" s="35"/>
      <c r="Z188" s="35"/>
      <c r="AA188" s="35"/>
      <c r="AB188" s="35"/>
      <c r="AC188" s="35"/>
      <c r="AD188" s="35"/>
      <c r="AE188" s="35"/>
      <c r="AF188" s="35"/>
      <c r="AG188" s="35"/>
      <c r="AH188" s="35"/>
      <c r="AI188" s="35"/>
      <c r="AJ188" s="35"/>
      <c r="AK188" s="35"/>
      <c r="AL188" s="35"/>
      <c r="AM188" s="35"/>
      <c r="AN188" s="35"/>
      <c r="AO188" s="35"/>
      <c r="AP188" s="35"/>
      <c r="AQ188" s="37"/>
      <c r="AR188" s="37"/>
      <c r="AS188" s="37"/>
      <c r="AT188" s="37"/>
      <c r="AU188" s="35"/>
      <c r="AV188" s="37"/>
      <c r="AW188" s="35"/>
      <c r="AX188" s="35"/>
      <c r="AY188" s="35"/>
      <c r="AZ188" s="35"/>
      <c r="BA188" s="35"/>
      <c r="BB188" s="35"/>
    </row>
  </sheetData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65"/>
  <sheetViews>
    <sheetView zoomScaleNormal="100" workbookViewId="0">
      <pane xSplit="6" ySplit="15" topLeftCell="AV28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">
        <v>2012</v>
      </c>
      <c r="BD1" s="1">
        <v>2013</v>
      </c>
    </row>
    <row r="2" spans="1:56" x14ac:dyDescent="0.25">
      <c r="A2" s="12" t="s">
        <v>32</v>
      </c>
      <c r="B2" s="2" t="s">
        <v>5</v>
      </c>
      <c r="C2" s="2" t="s">
        <v>6</v>
      </c>
      <c r="D2" s="44">
        <v>750</v>
      </c>
      <c r="E2" s="44">
        <v>1000</v>
      </c>
      <c r="F2" s="44">
        <v>800</v>
      </c>
      <c r="G2" s="44">
        <v>990</v>
      </c>
      <c r="H2" s="44">
        <v>1000</v>
      </c>
      <c r="I2" s="44">
        <v>800</v>
      </c>
      <c r="J2" s="44">
        <v>1000</v>
      </c>
      <c r="K2" s="44">
        <v>1080</v>
      </c>
      <c r="L2" s="44">
        <v>1000</v>
      </c>
      <c r="M2" s="44">
        <v>1000</v>
      </c>
      <c r="N2" s="44">
        <v>1040</v>
      </c>
      <c r="O2" s="44">
        <v>1135</v>
      </c>
      <c r="P2" s="44">
        <v>1030</v>
      </c>
      <c r="Q2" s="44">
        <v>1040</v>
      </c>
      <c r="R2" s="44">
        <v>1200</v>
      </c>
      <c r="S2" s="44">
        <v>1200</v>
      </c>
      <c r="T2" s="44">
        <v>1310</v>
      </c>
      <c r="U2" s="44">
        <v>1265</v>
      </c>
      <c r="V2" s="44">
        <v>1300</v>
      </c>
      <c r="W2" s="44">
        <v>1350</v>
      </c>
      <c r="X2" s="44">
        <v>1240</v>
      </c>
      <c r="Y2" s="44">
        <v>1200</v>
      </c>
      <c r="Z2" s="44">
        <v>1360</v>
      </c>
      <c r="AA2" s="44">
        <v>1480</v>
      </c>
      <c r="AB2" s="44">
        <v>1500</v>
      </c>
      <c r="AC2" s="44">
        <v>1800</v>
      </c>
      <c r="AD2" s="44">
        <v>2300</v>
      </c>
      <c r="AE2" s="44">
        <v>2400</v>
      </c>
      <c r="AF2" s="44">
        <v>2200</v>
      </c>
      <c r="AG2" s="44">
        <v>1900</v>
      </c>
      <c r="AH2" s="44">
        <v>2100</v>
      </c>
      <c r="AI2" s="44">
        <v>2200</v>
      </c>
      <c r="AJ2" s="44">
        <v>2225</v>
      </c>
      <c r="AK2" s="44">
        <v>2500</v>
      </c>
      <c r="AL2" s="44">
        <v>1700</v>
      </c>
      <c r="AM2" s="44">
        <v>1800</v>
      </c>
      <c r="AN2" s="44">
        <v>2000</v>
      </c>
      <c r="AO2" s="44">
        <v>2100</v>
      </c>
      <c r="AP2" s="44">
        <v>2300</v>
      </c>
      <c r="AQ2" s="44">
        <v>2000</v>
      </c>
      <c r="AR2" s="44">
        <v>2100</v>
      </c>
      <c r="AS2" s="44">
        <v>2000</v>
      </c>
      <c r="AT2" s="44">
        <v>2100</v>
      </c>
      <c r="AU2" s="44">
        <v>2500</v>
      </c>
      <c r="AV2" s="44">
        <v>3000</v>
      </c>
      <c r="AW2" s="44">
        <v>3700</v>
      </c>
      <c r="AX2" s="44">
        <v>2800</v>
      </c>
      <c r="AY2" s="44">
        <v>2900</v>
      </c>
      <c r="AZ2" s="44">
        <v>4150</v>
      </c>
      <c r="BA2" s="44">
        <v>4000</v>
      </c>
      <c r="BB2" s="44">
        <f>4200000/1000</f>
        <v>4200</v>
      </c>
      <c r="BC2" s="42">
        <f>4600000/1000</f>
        <v>4600</v>
      </c>
      <c r="BD2" s="42">
        <f>5900000/1000</f>
        <v>5900</v>
      </c>
    </row>
    <row r="3" spans="1:56" s="5" customFormat="1" x14ac:dyDescent="0.25">
      <c r="A3" s="14"/>
      <c r="B3" s="6"/>
      <c r="C3" s="6" t="s">
        <v>7</v>
      </c>
      <c r="D3" s="47">
        <v>0</v>
      </c>
      <c r="E3" s="47">
        <v>10</v>
      </c>
      <c r="F3" s="47">
        <v>0</v>
      </c>
      <c r="G3" s="47">
        <v>35</v>
      </c>
      <c r="H3" s="47">
        <v>0</v>
      </c>
      <c r="I3" s="47">
        <v>7</v>
      </c>
      <c r="J3" s="47">
        <v>0</v>
      </c>
      <c r="K3" s="47">
        <v>1</v>
      </c>
      <c r="L3" s="47">
        <v>6</v>
      </c>
      <c r="M3" s="47">
        <v>0</v>
      </c>
      <c r="N3" s="47">
        <v>5</v>
      </c>
      <c r="O3" s="47">
        <v>5</v>
      </c>
      <c r="P3" s="47">
        <v>0</v>
      </c>
      <c r="Q3" s="47">
        <v>0</v>
      </c>
      <c r="R3" s="47">
        <v>0</v>
      </c>
      <c r="S3" s="47">
        <v>0</v>
      </c>
      <c r="T3" s="47">
        <v>0</v>
      </c>
      <c r="U3" s="47">
        <v>0</v>
      </c>
      <c r="V3" s="47">
        <v>0</v>
      </c>
      <c r="W3" s="47">
        <v>0</v>
      </c>
      <c r="X3" s="47">
        <v>0</v>
      </c>
      <c r="Y3" s="47">
        <v>51</v>
      </c>
      <c r="Z3" s="47">
        <v>45</v>
      </c>
      <c r="AA3" s="47">
        <v>130</v>
      </c>
      <c r="AB3" s="47">
        <v>175</v>
      </c>
      <c r="AC3" s="47">
        <v>200</v>
      </c>
      <c r="AD3" s="47">
        <v>56</v>
      </c>
      <c r="AE3" s="47">
        <v>200</v>
      </c>
      <c r="AF3" s="47">
        <v>325</v>
      </c>
      <c r="AG3" s="47">
        <v>798</v>
      </c>
      <c r="AH3" s="47">
        <v>115</v>
      </c>
      <c r="AI3" s="47">
        <v>85</v>
      </c>
      <c r="AJ3" s="47">
        <v>160</v>
      </c>
      <c r="AK3" s="47">
        <v>10</v>
      </c>
      <c r="AL3" s="47">
        <v>466</v>
      </c>
      <c r="AM3" s="47">
        <v>748</v>
      </c>
      <c r="AN3" s="47">
        <v>882</v>
      </c>
      <c r="AO3" s="47">
        <v>664</v>
      </c>
      <c r="AP3" s="47">
        <v>800</v>
      </c>
      <c r="AQ3" s="47">
        <v>1250</v>
      </c>
      <c r="AR3" s="47">
        <v>608</v>
      </c>
      <c r="AS3" s="47">
        <v>1192</v>
      </c>
      <c r="AT3" s="47">
        <v>1474</v>
      </c>
      <c r="AU3" s="47">
        <v>1025</v>
      </c>
      <c r="AV3" s="47">
        <v>181</v>
      </c>
      <c r="AW3" s="47">
        <v>67</v>
      </c>
      <c r="AX3" s="47">
        <v>1034</v>
      </c>
      <c r="AY3" s="47">
        <v>1102</v>
      </c>
      <c r="AZ3" s="47">
        <v>499</v>
      </c>
      <c r="BA3" s="47">
        <v>558</v>
      </c>
      <c r="BB3" s="47">
        <f>381293/1000</f>
        <v>381.29300000000001</v>
      </c>
      <c r="BC3" s="43"/>
      <c r="BD3" s="43"/>
    </row>
    <row r="4" spans="1:56" x14ac:dyDescent="0.25">
      <c r="A4" s="12"/>
      <c r="B4" s="2"/>
      <c r="C4" s="2" t="s">
        <v>8</v>
      </c>
      <c r="D4" s="44">
        <v>0</v>
      </c>
      <c r="E4" s="44">
        <v>0</v>
      </c>
      <c r="F4" s="44">
        <v>0</v>
      </c>
      <c r="G4" s="44">
        <v>0</v>
      </c>
      <c r="H4" s="44">
        <v>0</v>
      </c>
      <c r="I4" s="44">
        <v>0</v>
      </c>
      <c r="J4" s="44">
        <v>0</v>
      </c>
      <c r="K4" s="44">
        <v>0</v>
      </c>
      <c r="L4" s="44">
        <v>0</v>
      </c>
      <c r="M4" s="44">
        <v>0</v>
      </c>
      <c r="N4" s="44">
        <v>0</v>
      </c>
      <c r="O4" s="44">
        <v>0</v>
      </c>
      <c r="P4" s="44">
        <v>0</v>
      </c>
      <c r="Q4" s="44">
        <v>0</v>
      </c>
      <c r="R4" s="44">
        <v>0</v>
      </c>
      <c r="S4" s="44">
        <v>0</v>
      </c>
      <c r="T4" s="44">
        <v>0</v>
      </c>
      <c r="U4" s="44">
        <v>0</v>
      </c>
      <c r="V4" s="44">
        <v>0</v>
      </c>
      <c r="W4" s="44">
        <v>2</v>
      </c>
      <c r="X4" s="44">
        <v>0</v>
      </c>
      <c r="Y4" s="44">
        <v>0</v>
      </c>
      <c r="Z4" s="44">
        <v>0</v>
      </c>
      <c r="AA4" s="44">
        <v>0</v>
      </c>
      <c r="AB4" s="44">
        <v>0</v>
      </c>
      <c r="AC4" s="44">
        <v>7</v>
      </c>
      <c r="AD4" s="44">
        <v>6</v>
      </c>
      <c r="AE4" s="44">
        <v>20</v>
      </c>
      <c r="AF4" s="44">
        <v>5</v>
      </c>
      <c r="AG4" s="44">
        <v>13</v>
      </c>
      <c r="AH4" s="44">
        <v>8</v>
      </c>
      <c r="AI4" s="44">
        <v>8</v>
      </c>
      <c r="AJ4" s="44">
        <v>8</v>
      </c>
      <c r="AK4" s="44">
        <v>88</v>
      </c>
      <c r="AL4" s="44">
        <v>36</v>
      </c>
      <c r="AM4" s="44">
        <v>10</v>
      </c>
      <c r="AN4" s="44">
        <v>3</v>
      </c>
      <c r="AO4" s="44">
        <v>1</v>
      </c>
      <c r="AP4" s="44">
        <v>5</v>
      </c>
      <c r="AQ4" s="44">
        <v>3</v>
      </c>
      <c r="AR4" s="44">
        <v>7</v>
      </c>
      <c r="AS4" s="44">
        <v>8</v>
      </c>
      <c r="AT4" s="44">
        <v>9</v>
      </c>
      <c r="AU4" s="44">
        <v>12</v>
      </c>
      <c r="AV4" s="44">
        <v>9</v>
      </c>
      <c r="AW4" s="44">
        <v>312</v>
      </c>
      <c r="AX4" s="44">
        <v>11</v>
      </c>
      <c r="AY4" s="44">
        <v>12</v>
      </c>
      <c r="AZ4" s="44">
        <v>66</v>
      </c>
      <c r="BA4" s="44">
        <v>272</v>
      </c>
      <c r="BB4" s="44">
        <f>13945/1000</f>
        <v>13.945</v>
      </c>
      <c r="BC4" s="42"/>
      <c r="BD4" s="42"/>
    </row>
    <row r="5" spans="1:56" s="5" customFormat="1" x14ac:dyDescent="0.25">
      <c r="A5" s="14"/>
      <c r="B5" s="6"/>
      <c r="C5" s="6" t="s">
        <v>9</v>
      </c>
      <c r="D5" s="47">
        <v>760</v>
      </c>
      <c r="E5" s="47">
        <v>1005</v>
      </c>
      <c r="F5" s="47">
        <v>795</v>
      </c>
      <c r="G5" s="47">
        <v>1020</v>
      </c>
      <c r="H5" s="47">
        <v>980</v>
      </c>
      <c r="I5" s="47">
        <v>837</v>
      </c>
      <c r="J5" s="47">
        <v>1000</v>
      </c>
      <c r="K5" s="47">
        <v>1001</v>
      </c>
      <c r="L5" s="47">
        <v>1036</v>
      </c>
      <c r="M5" s="47">
        <v>1040</v>
      </c>
      <c r="N5" s="47">
        <v>1065</v>
      </c>
      <c r="O5" s="47">
        <v>1100</v>
      </c>
      <c r="P5" s="47">
        <v>1075</v>
      </c>
      <c r="Q5" s="47">
        <v>1045</v>
      </c>
      <c r="R5" s="47">
        <v>1180</v>
      </c>
      <c r="S5" s="47">
        <v>1190</v>
      </c>
      <c r="T5" s="47">
        <v>1240</v>
      </c>
      <c r="U5" s="47">
        <v>1265</v>
      </c>
      <c r="V5" s="47">
        <v>1300</v>
      </c>
      <c r="W5" s="47">
        <v>1298</v>
      </c>
      <c r="X5" s="47">
        <v>1290</v>
      </c>
      <c r="Y5" s="47">
        <v>1301</v>
      </c>
      <c r="Z5" s="47">
        <v>1305</v>
      </c>
      <c r="AA5" s="47">
        <v>1560</v>
      </c>
      <c r="AB5" s="47">
        <v>1675</v>
      </c>
      <c r="AC5" s="47">
        <v>2043</v>
      </c>
      <c r="AD5" s="47">
        <v>2300</v>
      </c>
      <c r="AE5" s="47">
        <v>2580</v>
      </c>
      <c r="AF5" s="47">
        <v>2520</v>
      </c>
      <c r="AG5" s="47">
        <v>2685</v>
      </c>
      <c r="AH5" s="47">
        <v>2357</v>
      </c>
      <c r="AI5" s="47">
        <v>2277</v>
      </c>
      <c r="AJ5" s="47">
        <v>2327</v>
      </c>
      <c r="AK5" s="47">
        <v>2322</v>
      </c>
      <c r="AL5" s="47">
        <v>2170</v>
      </c>
      <c r="AM5" s="47">
        <v>2528</v>
      </c>
      <c r="AN5" s="47">
        <v>2789</v>
      </c>
      <c r="AO5" s="47">
        <v>2839</v>
      </c>
      <c r="AP5" s="47">
        <v>3150</v>
      </c>
      <c r="AQ5" s="47">
        <v>3150</v>
      </c>
      <c r="AR5" s="47">
        <v>2730</v>
      </c>
      <c r="AS5" s="47">
        <v>3100</v>
      </c>
      <c r="AT5" s="47">
        <v>3200</v>
      </c>
      <c r="AU5" s="47">
        <v>3400</v>
      </c>
      <c r="AV5" s="47">
        <v>3500</v>
      </c>
      <c r="AW5" s="47">
        <v>3500</v>
      </c>
      <c r="AX5" s="47">
        <v>3700</v>
      </c>
      <c r="AY5" s="47">
        <v>3900</v>
      </c>
      <c r="AZ5" s="47">
        <v>4300</v>
      </c>
      <c r="BA5" s="47">
        <v>4300</v>
      </c>
      <c r="BB5" s="47">
        <f>BB2+BB3-BB4</f>
        <v>4567.348</v>
      </c>
      <c r="BC5" s="43"/>
      <c r="BD5" s="43"/>
    </row>
    <row r="6" spans="1:56" x14ac:dyDescent="0.25">
      <c r="A6" s="12"/>
      <c r="B6" s="2" t="s">
        <v>10</v>
      </c>
      <c r="C6" s="2" t="s">
        <v>6</v>
      </c>
      <c r="D6" s="44">
        <v>775</v>
      </c>
      <c r="E6" s="44">
        <v>950</v>
      </c>
      <c r="F6" s="44">
        <v>1080</v>
      </c>
      <c r="G6" s="44">
        <v>1185</v>
      </c>
      <c r="H6" s="44">
        <v>1495</v>
      </c>
      <c r="I6" s="44">
        <v>1495</v>
      </c>
      <c r="J6" s="44">
        <v>1755</v>
      </c>
      <c r="K6" s="44">
        <v>1820</v>
      </c>
      <c r="L6" s="44">
        <v>2000</v>
      </c>
      <c r="M6" s="44">
        <v>1835</v>
      </c>
      <c r="N6" s="44">
        <v>1835</v>
      </c>
      <c r="O6" s="44">
        <v>2400</v>
      </c>
      <c r="P6" s="44">
        <v>2495</v>
      </c>
      <c r="Q6" s="44">
        <v>2355</v>
      </c>
      <c r="R6" s="44">
        <v>2755</v>
      </c>
      <c r="S6" s="44">
        <v>2205</v>
      </c>
      <c r="T6" s="44">
        <v>2185</v>
      </c>
      <c r="U6" s="44">
        <v>2640</v>
      </c>
      <c r="V6" s="44">
        <v>2182</v>
      </c>
      <c r="W6" s="44">
        <v>2186</v>
      </c>
      <c r="X6" s="44">
        <v>2296</v>
      </c>
      <c r="Y6" s="44">
        <v>2241</v>
      </c>
      <c r="Z6" s="44">
        <v>2246</v>
      </c>
      <c r="AA6" s="44">
        <v>2398</v>
      </c>
      <c r="AB6" s="44">
        <v>2664</v>
      </c>
      <c r="AC6" s="44">
        <v>2379</v>
      </c>
      <c r="AD6" s="44">
        <v>2380</v>
      </c>
      <c r="AE6" s="44">
        <v>2465</v>
      </c>
      <c r="AF6" s="44">
        <v>2985</v>
      </c>
      <c r="AG6" s="44">
        <v>2835</v>
      </c>
      <c r="AH6" s="44">
        <v>3007</v>
      </c>
      <c r="AI6" s="44">
        <v>2578</v>
      </c>
      <c r="AJ6" s="44">
        <v>2635</v>
      </c>
      <c r="AK6" s="44">
        <v>2766</v>
      </c>
      <c r="AL6" s="44">
        <v>2886</v>
      </c>
      <c r="AM6" s="44">
        <v>3911</v>
      </c>
      <c r="AN6" s="44">
        <v>3600</v>
      </c>
      <c r="AO6" s="44">
        <v>3651</v>
      </c>
      <c r="AP6" s="44">
        <v>3860</v>
      </c>
      <c r="AQ6" s="44">
        <v>3634</v>
      </c>
      <c r="AR6" s="44">
        <v>3600</v>
      </c>
      <c r="AS6" s="44">
        <v>3975</v>
      </c>
      <c r="AT6" s="44">
        <v>4179</v>
      </c>
      <c r="AU6" s="44">
        <v>4100</v>
      </c>
      <c r="AV6" s="44">
        <v>4150</v>
      </c>
      <c r="AW6" s="44">
        <v>3550</v>
      </c>
      <c r="AX6" s="44">
        <v>3800</v>
      </c>
      <c r="AY6" s="44">
        <v>3100</v>
      </c>
      <c r="AZ6" s="44">
        <v>1930</v>
      </c>
      <c r="BA6" s="44">
        <v>1750</v>
      </c>
      <c r="BB6" s="44">
        <f>954600/1000</f>
        <v>954.6</v>
      </c>
      <c r="BC6" s="42">
        <f>858400/1000</f>
        <v>858.4</v>
      </c>
      <c r="BD6" s="42">
        <f>832500/1000</f>
        <v>832.5</v>
      </c>
    </row>
    <row r="7" spans="1:56" s="5" customFormat="1" x14ac:dyDescent="0.25">
      <c r="A7" s="14"/>
      <c r="B7" s="6"/>
      <c r="C7" s="6" t="s">
        <v>7</v>
      </c>
      <c r="D7" s="47">
        <v>0</v>
      </c>
      <c r="E7" s="47">
        <v>0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  <c r="U7" s="47">
        <v>0</v>
      </c>
      <c r="V7" s="47">
        <v>0</v>
      </c>
      <c r="W7" s="47">
        <v>0</v>
      </c>
      <c r="X7" s="47">
        <v>0</v>
      </c>
      <c r="Y7" s="47">
        <v>0</v>
      </c>
      <c r="Z7" s="47">
        <v>0</v>
      </c>
      <c r="AA7" s="47">
        <v>0</v>
      </c>
      <c r="AB7" s="47">
        <v>0</v>
      </c>
      <c r="AC7" s="47">
        <v>51</v>
      </c>
      <c r="AD7" s="47">
        <v>427</v>
      </c>
      <c r="AE7" s="47">
        <v>300</v>
      </c>
      <c r="AF7" s="47">
        <v>202</v>
      </c>
      <c r="AG7" s="47">
        <v>352</v>
      </c>
      <c r="AH7" s="47">
        <v>209</v>
      </c>
      <c r="AI7" s="47">
        <v>420</v>
      </c>
      <c r="AJ7" s="47">
        <v>1070</v>
      </c>
      <c r="AK7" s="47">
        <v>545</v>
      </c>
      <c r="AL7" s="47">
        <v>1083</v>
      </c>
      <c r="AM7" s="47">
        <v>519</v>
      </c>
      <c r="AN7" s="47">
        <v>1355</v>
      </c>
      <c r="AO7" s="47">
        <v>1450</v>
      </c>
      <c r="AP7" s="47">
        <v>1139</v>
      </c>
      <c r="AQ7" s="47">
        <v>2411</v>
      </c>
      <c r="AR7" s="47">
        <v>1758</v>
      </c>
      <c r="AS7" s="47">
        <v>2977</v>
      </c>
      <c r="AT7" s="47">
        <v>2265</v>
      </c>
      <c r="AU7" s="47">
        <v>2370</v>
      </c>
      <c r="AV7" s="47">
        <v>3414</v>
      </c>
      <c r="AW7" s="47">
        <v>3501</v>
      </c>
      <c r="AX7" s="47">
        <v>4029</v>
      </c>
      <c r="AY7" s="47">
        <v>3267</v>
      </c>
      <c r="AZ7" s="47">
        <v>2919</v>
      </c>
      <c r="BA7" s="47">
        <v>4394</v>
      </c>
      <c r="BB7" s="47">
        <f>603950/1000</f>
        <v>603.95000000000005</v>
      </c>
      <c r="BC7" s="43"/>
      <c r="BD7" s="43"/>
    </row>
    <row r="8" spans="1:56" x14ac:dyDescent="0.25">
      <c r="A8" s="12"/>
      <c r="B8" s="2"/>
      <c r="C8" s="2" t="s">
        <v>8</v>
      </c>
      <c r="D8" s="44">
        <v>286</v>
      </c>
      <c r="E8" s="44">
        <v>458</v>
      </c>
      <c r="F8" s="44">
        <v>568</v>
      </c>
      <c r="G8" s="44">
        <v>611</v>
      </c>
      <c r="H8" s="44">
        <v>805</v>
      </c>
      <c r="I8" s="44">
        <v>959</v>
      </c>
      <c r="J8" s="44">
        <v>1093</v>
      </c>
      <c r="K8" s="44">
        <v>1083</v>
      </c>
      <c r="L8" s="44">
        <v>993</v>
      </c>
      <c r="M8" s="44">
        <v>1186</v>
      </c>
      <c r="N8" s="44">
        <v>1124</v>
      </c>
      <c r="O8" s="44">
        <v>1539</v>
      </c>
      <c r="P8" s="44">
        <v>1489</v>
      </c>
      <c r="Q8" s="44">
        <v>1000</v>
      </c>
      <c r="R8" s="44">
        <v>583</v>
      </c>
      <c r="S8" s="44">
        <v>2163</v>
      </c>
      <c r="T8" s="44">
        <v>580</v>
      </c>
      <c r="U8" s="44">
        <v>1218</v>
      </c>
      <c r="V8" s="44">
        <v>962</v>
      </c>
      <c r="W8" s="44">
        <v>617</v>
      </c>
      <c r="X8" s="44">
        <v>1028</v>
      </c>
      <c r="Y8" s="44">
        <v>956</v>
      </c>
      <c r="Z8" s="44">
        <v>654</v>
      </c>
      <c r="AA8" s="44">
        <v>499</v>
      </c>
      <c r="AB8" s="44">
        <v>684</v>
      </c>
      <c r="AC8" s="44">
        <v>322</v>
      </c>
      <c r="AD8" s="44">
        <v>510</v>
      </c>
      <c r="AE8" s="44">
        <v>197</v>
      </c>
      <c r="AF8" s="44">
        <v>666</v>
      </c>
      <c r="AG8" s="44">
        <v>205</v>
      </c>
      <c r="AH8" s="44">
        <v>753</v>
      </c>
      <c r="AI8" s="44">
        <v>289</v>
      </c>
      <c r="AJ8" s="44">
        <v>269</v>
      </c>
      <c r="AK8" s="44">
        <v>500</v>
      </c>
      <c r="AL8" s="44">
        <v>9</v>
      </c>
      <c r="AM8" s="44">
        <v>266</v>
      </c>
      <c r="AN8" s="44">
        <v>207</v>
      </c>
      <c r="AO8" s="44">
        <v>100</v>
      </c>
      <c r="AP8" s="44">
        <v>394</v>
      </c>
      <c r="AQ8" s="44">
        <v>207</v>
      </c>
      <c r="AR8" s="44">
        <v>127</v>
      </c>
      <c r="AS8" s="44">
        <v>133</v>
      </c>
      <c r="AT8" s="44">
        <v>313</v>
      </c>
      <c r="AU8" s="44">
        <v>357</v>
      </c>
      <c r="AV8" s="44">
        <v>152</v>
      </c>
      <c r="AW8" s="44">
        <v>216</v>
      </c>
      <c r="AX8" s="44">
        <v>303</v>
      </c>
      <c r="AY8" s="44">
        <v>370</v>
      </c>
      <c r="AZ8" s="44">
        <v>136</v>
      </c>
      <c r="BA8" s="44">
        <v>150</v>
      </c>
      <c r="BB8" s="44">
        <f>52653/1000</f>
        <v>52.652999999999999</v>
      </c>
      <c r="BC8" s="42"/>
      <c r="BD8" s="42"/>
    </row>
    <row r="9" spans="1:56" s="5" customFormat="1" x14ac:dyDescent="0.25">
      <c r="A9" s="14"/>
      <c r="B9" s="6"/>
      <c r="C9" s="6" t="s">
        <v>9</v>
      </c>
      <c r="D9" s="47">
        <v>494</v>
      </c>
      <c r="E9" s="47">
        <v>492</v>
      </c>
      <c r="F9" s="47">
        <v>496</v>
      </c>
      <c r="G9" s="47">
        <v>539</v>
      </c>
      <c r="H9" s="47">
        <v>584</v>
      </c>
      <c r="I9" s="47">
        <v>629</v>
      </c>
      <c r="J9" s="47">
        <v>674</v>
      </c>
      <c r="K9" s="47">
        <v>719</v>
      </c>
      <c r="L9" s="47">
        <v>774</v>
      </c>
      <c r="M9" s="47">
        <v>794</v>
      </c>
      <c r="N9" s="47">
        <v>819</v>
      </c>
      <c r="O9" s="47">
        <v>839</v>
      </c>
      <c r="P9" s="47">
        <v>949</v>
      </c>
      <c r="Q9" s="47">
        <v>1044</v>
      </c>
      <c r="R9" s="47">
        <v>1137</v>
      </c>
      <c r="S9" s="47">
        <v>1376</v>
      </c>
      <c r="T9" s="47">
        <v>1510</v>
      </c>
      <c r="U9" s="47">
        <v>1286</v>
      </c>
      <c r="V9" s="47">
        <v>1440</v>
      </c>
      <c r="W9" s="47">
        <v>1222</v>
      </c>
      <c r="X9" s="47">
        <v>1406</v>
      </c>
      <c r="Y9" s="47">
        <v>1451</v>
      </c>
      <c r="Z9" s="47">
        <v>1649</v>
      </c>
      <c r="AA9" s="47">
        <v>1775</v>
      </c>
      <c r="AB9" s="47">
        <v>1906</v>
      </c>
      <c r="AC9" s="47">
        <v>2095</v>
      </c>
      <c r="AD9" s="47">
        <v>2251</v>
      </c>
      <c r="AE9" s="47">
        <v>2618</v>
      </c>
      <c r="AF9" s="47">
        <v>2664</v>
      </c>
      <c r="AG9" s="47">
        <v>2756</v>
      </c>
      <c r="AH9" s="47">
        <v>2514</v>
      </c>
      <c r="AI9" s="47">
        <v>2641</v>
      </c>
      <c r="AJ9" s="47">
        <v>2875</v>
      </c>
      <c r="AK9" s="47">
        <v>3215</v>
      </c>
      <c r="AL9" s="47">
        <v>3904</v>
      </c>
      <c r="AM9" s="47">
        <v>4363</v>
      </c>
      <c r="AN9" s="47">
        <v>4735</v>
      </c>
      <c r="AO9" s="47">
        <v>5000</v>
      </c>
      <c r="AP9" s="47">
        <v>4600</v>
      </c>
      <c r="AQ9" s="47">
        <v>5600</v>
      </c>
      <c r="AR9" s="47">
        <v>5167</v>
      </c>
      <c r="AS9" s="47">
        <v>6150</v>
      </c>
      <c r="AT9" s="47">
        <v>6300</v>
      </c>
      <c r="AU9" s="47">
        <v>6000</v>
      </c>
      <c r="AV9" s="47">
        <v>7100</v>
      </c>
      <c r="AW9" s="47">
        <v>6900</v>
      </c>
      <c r="AX9" s="47">
        <v>7204</v>
      </c>
      <c r="AY9" s="47">
        <v>6090</v>
      </c>
      <c r="AZ9" s="47">
        <v>5013</v>
      </c>
      <c r="BA9" s="47">
        <v>5720</v>
      </c>
      <c r="BB9" s="47">
        <f>BB6+BB7-BB8</f>
        <v>1505.8970000000002</v>
      </c>
      <c r="BC9" s="43"/>
      <c r="BD9" s="43"/>
    </row>
    <row r="10" spans="1:56" x14ac:dyDescent="0.25">
      <c r="A10" s="12"/>
      <c r="B10" s="2" t="s">
        <v>11</v>
      </c>
      <c r="C10" s="2" t="s">
        <v>6</v>
      </c>
      <c r="D10" s="44">
        <v>0</v>
      </c>
      <c r="E10" s="44">
        <v>0</v>
      </c>
      <c r="F10" s="44">
        <v>0</v>
      </c>
      <c r="G10" s="44">
        <v>0</v>
      </c>
      <c r="H10" s="44">
        <v>5</v>
      </c>
      <c r="I10" s="44">
        <v>5</v>
      </c>
      <c r="J10" s="44">
        <v>5</v>
      </c>
      <c r="K10" s="44">
        <v>6</v>
      </c>
      <c r="L10" s="44">
        <v>8</v>
      </c>
      <c r="M10" s="44">
        <v>11</v>
      </c>
      <c r="N10" s="44">
        <v>12</v>
      </c>
      <c r="O10" s="44">
        <v>11</v>
      </c>
      <c r="P10" s="44">
        <v>13</v>
      </c>
      <c r="Q10" s="44">
        <v>7</v>
      </c>
      <c r="R10" s="44">
        <v>9</v>
      </c>
      <c r="S10" s="44">
        <v>7</v>
      </c>
      <c r="T10" s="44">
        <v>8</v>
      </c>
      <c r="U10" s="44">
        <v>6</v>
      </c>
      <c r="V10" s="44">
        <v>3</v>
      </c>
      <c r="W10" s="44">
        <v>3</v>
      </c>
      <c r="X10" s="44">
        <v>2</v>
      </c>
      <c r="Y10" s="44">
        <v>15</v>
      </c>
      <c r="Z10" s="44">
        <v>36</v>
      </c>
      <c r="AA10" s="44">
        <v>46</v>
      </c>
      <c r="AB10" s="44">
        <v>60</v>
      </c>
      <c r="AC10" s="44">
        <v>75</v>
      </c>
      <c r="AD10" s="44">
        <v>120</v>
      </c>
      <c r="AE10" s="44">
        <v>120</v>
      </c>
      <c r="AF10" s="44">
        <v>70</v>
      </c>
      <c r="AG10" s="44">
        <v>120</v>
      </c>
      <c r="AH10" s="44">
        <v>120</v>
      </c>
      <c r="AI10" s="44">
        <v>90</v>
      </c>
      <c r="AJ10" s="44">
        <v>90</v>
      </c>
      <c r="AK10" s="44">
        <v>70</v>
      </c>
      <c r="AL10" s="44">
        <v>90</v>
      </c>
      <c r="AM10" s="44">
        <v>75</v>
      </c>
      <c r="AN10" s="44">
        <v>65</v>
      </c>
      <c r="AO10" s="44">
        <v>40</v>
      </c>
      <c r="AP10" s="44">
        <v>60</v>
      </c>
      <c r="AQ10" s="44">
        <v>60</v>
      </c>
      <c r="AR10" s="44">
        <v>40</v>
      </c>
      <c r="AS10" s="44">
        <v>45</v>
      </c>
      <c r="AT10" s="44">
        <v>95</v>
      </c>
      <c r="AU10" s="44">
        <v>45</v>
      </c>
      <c r="AV10" s="44">
        <v>25</v>
      </c>
      <c r="AW10" s="44">
        <v>25</v>
      </c>
      <c r="AX10" s="44">
        <v>25</v>
      </c>
      <c r="AY10" s="44">
        <v>25</v>
      </c>
      <c r="AZ10" s="44">
        <v>30</v>
      </c>
      <c r="BA10" s="44">
        <v>40</v>
      </c>
      <c r="BB10" s="42">
        <f>102260/1000</f>
        <v>102.26</v>
      </c>
      <c r="BC10" s="42">
        <f>115000/1000</f>
        <v>115</v>
      </c>
      <c r="BD10" s="42">
        <f>180000/1000</f>
        <v>180</v>
      </c>
    </row>
    <row r="11" spans="1:56" s="5" customFormat="1" x14ac:dyDescent="0.25">
      <c r="A11" s="14"/>
      <c r="B11" s="6"/>
      <c r="C11" s="6" t="s">
        <v>7</v>
      </c>
      <c r="D11" s="47">
        <v>0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v>0</v>
      </c>
      <c r="O11" s="47">
        <v>0</v>
      </c>
      <c r="P11" s="47">
        <v>0</v>
      </c>
      <c r="Q11" s="47">
        <v>0</v>
      </c>
      <c r="R11" s="47">
        <v>0</v>
      </c>
      <c r="S11" s="47">
        <v>0</v>
      </c>
      <c r="T11" s="47">
        <v>0</v>
      </c>
      <c r="U11" s="47">
        <v>0</v>
      </c>
      <c r="V11" s="47">
        <v>0</v>
      </c>
      <c r="W11" s="47">
        <v>0</v>
      </c>
      <c r="X11" s="47">
        <v>4</v>
      </c>
      <c r="Y11" s="47">
        <v>0</v>
      </c>
      <c r="Z11" s="47">
        <v>2</v>
      </c>
      <c r="AA11" s="47">
        <v>3</v>
      </c>
      <c r="AB11" s="47">
        <v>82</v>
      </c>
      <c r="AC11" s="47">
        <v>30</v>
      </c>
      <c r="AD11" s="47">
        <v>0</v>
      </c>
      <c r="AE11" s="47">
        <v>0</v>
      </c>
      <c r="AF11" s="47">
        <v>20</v>
      </c>
      <c r="AG11" s="47">
        <v>0</v>
      </c>
      <c r="AH11" s="47">
        <v>2</v>
      </c>
      <c r="AI11" s="47">
        <v>17</v>
      </c>
      <c r="AJ11" s="47">
        <v>64</v>
      </c>
      <c r="AK11" s="47">
        <v>63</v>
      </c>
      <c r="AL11" s="47">
        <v>170</v>
      </c>
      <c r="AM11" s="47">
        <v>180</v>
      </c>
      <c r="AN11" s="47">
        <v>225</v>
      </c>
      <c r="AO11" s="47">
        <v>278</v>
      </c>
      <c r="AP11" s="47">
        <v>335</v>
      </c>
      <c r="AQ11" s="47">
        <v>313</v>
      </c>
      <c r="AR11" s="47">
        <v>358</v>
      </c>
      <c r="AS11" s="47">
        <v>558</v>
      </c>
      <c r="AT11" s="47">
        <v>772</v>
      </c>
      <c r="AU11" s="47">
        <v>603</v>
      </c>
      <c r="AV11" s="47">
        <v>858</v>
      </c>
      <c r="AW11" s="47">
        <v>1078</v>
      </c>
      <c r="AX11" s="47">
        <v>1268</v>
      </c>
      <c r="AY11" s="47">
        <v>1277</v>
      </c>
      <c r="AZ11" s="47">
        <v>1007</v>
      </c>
      <c r="BA11" s="47">
        <v>1860</v>
      </c>
      <c r="BB11" s="47">
        <f>1297770/1000</f>
        <v>1297.77</v>
      </c>
      <c r="BC11" s="43"/>
      <c r="BD11" s="43"/>
    </row>
    <row r="12" spans="1:56" x14ac:dyDescent="0.25">
      <c r="A12" s="12"/>
      <c r="B12" s="2"/>
      <c r="C12" s="2" t="s">
        <v>8</v>
      </c>
      <c r="D12" s="44">
        <v>0</v>
      </c>
      <c r="E12" s="44">
        <v>0</v>
      </c>
      <c r="F12" s="44">
        <v>0</v>
      </c>
      <c r="G12" s="44">
        <v>0</v>
      </c>
      <c r="H12" s="44">
        <v>1</v>
      </c>
      <c r="I12" s="44">
        <v>0</v>
      </c>
      <c r="J12" s="44">
        <v>0</v>
      </c>
      <c r="K12" s="44">
        <v>0</v>
      </c>
      <c r="L12" s="44">
        <v>0</v>
      </c>
      <c r="M12" s="44">
        <v>0</v>
      </c>
      <c r="N12" s="44">
        <v>0</v>
      </c>
      <c r="O12" s="44">
        <v>0</v>
      </c>
      <c r="P12" s="44">
        <v>0</v>
      </c>
      <c r="Q12" s="44">
        <v>0</v>
      </c>
      <c r="R12" s="44">
        <v>0</v>
      </c>
      <c r="S12" s="44">
        <v>0</v>
      </c>
      <c r="T12" s="44">
        <v>0</v>
      </c>
      <c r="U12" s="44">
        <v>0</v>
      </c>
      <c r="V12" s="44">
        <v>0</v>
      </c>
      <c r="W12" s="44">
        <v>0</v>
      </c>
      <c r="X12" s="44">
        <v>0</v>
      </c>
      <c r="Y12" s="44">
        <v>0</v>
      </c>
      <c r="Z12" s="44">
        <v>0</v>
      </c>
      <c r="AA12" s="44">
        <v>0</v>
      </c>
      <c r="AB12" s="44">
        <v>0</v>
      </c>
      <c r="AC12" s="44">
        <v>0</v>
      </c>
      <c r="AD12" s="44">
        <v>0</v>
      </c>
      <c r="AE12" s="44">
        <v>0</v>
      </c>
      <c r="AF12" s="44">
        <v>0</v>
      </c>
      <c r="AG12" s="44">
        <v>0</v>
      </c>
      <c r="AH12" s="44">
        <v>0</v>
      </c>
      <c r="AI12" s="44">
        <v>0</v>
      </c>
      <c r="AJ12" s="44">
        <v>0</v>
      </c>
      <c r="AK12" s="44">
        <v>0</v>
      </c>
      <c r="AL12" s="44">
        <v>0</v>
      </c>
      <c r="AM12" s="44">
        <v>0</v>
      </c>
      <c r="AN12" s="44">
        <v>0</v>
      </c>
      <c r="AO12" s="44">
        <v>0</v>
      </c>
      <c r="AP12" s="44">
        <v>0</v>
      </c>
      <c r="AQ12" s="44">
        <v>0</v>
      </c>
      <c r="AR12" s="44">
        <v>0</v>
      </c>
      <c r="AS12" s="44">
        <v>0</v>
      </c>
      <c r="AT12" s="44">
        <v>0</v>
      </c>
      <c r="AU12" s="44">
        <v>1</v>
      </c>
      <c r="AV12" s="44">
        <v>0</v>
      </c>
      <c r="AW12" s="44">
        <v>0</v>
      </c>
      <c r="AX12" s="44">
        <v>0</v>
      </c>
      <c r="AY12" s="44">
        <v>0</v>
      </c>
      <c r="AZ12" s="44">
        <v>0</v>
      </c>
      <c r="BA12" s="44">
        <v>0</v>
      </c>
      <c r="BB12" s="44">
        <f>2/1000</f>
        <v>2E-3</v>
      </c>
      <c r="BC12" s="42"/>
      <c r="BD12" s="42"/>
    </row>
    <row r="13" spans="1:56" s="5" customFormat="1" x14ac:dyDescent="0.25">
      <c r="A13" s="14"/>
      <c r="B13" s="6"/>
      <c r="C13" s="6" t="s">
        <v>9</v>
      </c>
      <c r="D13" s="47">
        <v>0</v>
      </c>
      <c r="E13" s="47">
        <v>0</v>
      </c>
      <c r="F13" s="47">
        <v>0</v>
      </c>
      <c r="G13" s="47">
        <v>0</v>
      </c>
      <c r="H13" s="47">
        <v>4</v>
      </c>
      <c r="I13" s="47">
        <v>5</v>
      </c>
      <c r="J13" s="47">
        <v>5</v>
      </c>
      <c r="K13" s="47">
        <v>6</v>
      </c>
      <c r="L13" s="47">
        <v>8</v>
      </c>
      <c r="M13" s="47">
        <v>11</v>
      </c>
      <c r="N13" s="47">
        <v>12</v>
      </c>
      <c r="O13" s="47">
        <v>11</v>
      </c>
      <c r="P13" s="47">
        <v>13</v>
      </c>
      <c r="Q13" s="47">
        <v>7</v>
      </c>
      <c r="R13" s="47">
        <v>9</v>
      </c>
      <c r="S13" s="47">
        <v>7</v>
      </c>
      <c r="T13" s="47">
        <v>8</v>
      </c>
      <c r="U13" s="47">
        <v>6</v>
      </c>
      <c r="V13" s="47">
        <v>3</v>
      </c>
      <c r="W13" s="47">
        <v>3</v>
      </c>
      <c r="X13" s="47">
        <v>2</v>
      </c>
      <c r="Y13" s="47">
        <v>17</v>
      </c>
      <c r="Z13" s="47">
        <v>38</v>
      </c>
      <c r="AA13" s="47">
        <v>49</v>
      </c>
      <c r="AB13" s="47">
        <v>141</v>
      </c>
      <c r="AC13" s="47">
        <v>103</v>
      </c>
      <c r="AD13" s="47">
        <v>122</v>
      </c>
      <c r="AE13" s="47">
        <v>121</v>
      </c>
      <c r="AF13" s="47">
        <v>90</v>
      </c>
      <c r="AG13" s="47">
        <v>119</v>
      </c>
      <c r="AH13" s="47">
        <v>120</v>
      </c>
      <c r="AI13" s="47">
        <v>107</v>
      </c>
      <c r="AJ13" s="47">
        <v>154</v>
      </c>
      <c r="AK13" s="47">
        <v>133</v>
      </c>
      <c r="AL13" s="47">
        <v>245</v>
      </c>
      <c r="AM13" s="47">
        <v>255</v>
      </c>
      <c r="AN13" s="47">
        <v>285</v>
      </c>
      <c r="AO13" s="47">
        <v>323</v>
      </c>
      <c r="AP13" s="47">
        <v>385</v>
      </c>
      <c r="AQ13" s="47">
        <v>363</v>
      </c>
      <c r="AR13" s="47">
        <v>388</v>
      </c>
      <c r="AS13" s="47">
        <v>603</v>
      </c>
      <c r="AT13" s="47">
        <v>790</v>
      </c>
      <c r="AU13" s="47">
        <v>686</v>
      </c>
      <c r="AV13" s="47">
        <v>831</v>
      </c>
      <c r="AW13" s="47">
        <v>1089</v>
      </c>
      <c r="AX13" s="47">
        <v>1276</v>
      </c>
      <c r="AY13" s="47">
        <v>1268</v>
      </c>
      <c r="AZ13" s="47">
        <v>1106</v>
      </c>
      <c r="BA13" s="47">
        <v>1419</v>
      </c>
      <c r="BB13" s="47">
        <f>BB10+BB11-BB12</f>
        <v>1400.028</v>
      </c>
      <c r="BC13" s="43"/>
      <c r="BD13" s="43"/>
    </row>
    <row r="14" spans="1:56" x14ac:dyDescent="0.25">
      <c r="A14" s="12"/>
      <c r="B14" s="2" t="s">
        <v>12</v>
      </c>
      <c r="C14" s="2" t="s">
        <v>6</v>
      </c>
      <c r="D14" s="44">
        <v>110</v>
      </c>
      <c r="E14" s="44">
        <v>140</v>
      </c>
      <c r="F14" s="44">
        <v>165</v>
      </c>
      <c r="G14" s="44">
        <v>130</v>
      </c>
      <c r="H14" s="44">
        <v>100</v>
      </c>
      <c r="I14" s="44">
        <v>130</v>
      </c>
      <c r="J14" s="44">
        <v>150</v>
      </c>
      <c r="K14" s="44">
        <v>140</v>
      </c>
      <c r="L14" s="44">
        <v>123</v>
      </c>
      <c r="M14" s="44">
        <v>130</v>
      </c>
      <c r="N14" s="44">
        <v>160</v>
      </c>
      <c r="O14" s="44">
        <v>175</v>
      </c>
      <c r="P14" s="44">
        <v>122</v>
      </c>
      <c r="Q14" s="44">
        <v>159</v>
      </c>
      <c r="R14" s="44">
        <v>150</v>
      </c>
      <c r="S14" s="44">
        <v>150</v>
      </c>
      <c r="T14" s="44">
        <v>158</v>
      </c>
      <c r="U14" s="44">
        <v>165</v>
      </c>
      <c r="V14" s="44">
        <v>190</v>
      </c>
      <c r="W14" s="44">
        <v>225</v>
      </c>
      <c r="X14" s="44">
        <v>170</v>
      </c>
      <c r="Y14" s="44">
        <v>198</v>
      </c>
      <c r="Z14" s="44">
        <v>210</v>
      </c>
      <c r="AA14" s="44">
        <v>189</v>
      </c>
      <c r="AB14" s="44">
        <v>168</v>
      </c>
      <c r="AC14" s="44">
        <v>162</v>
      </c>
      <c r="AD14" s="44">
        <v>165</v>
      </c>
      <c r="AE14" s="44">
        <v>160</v>
      </c>
      <c r="AF14" s="44">
        <v>165</v>
      </c>
      <c r="AG14" s="44">
        <v>150</v>
      </c>
      <c r="AH14" s="44">
        <v>160</v>
      </c>
      <c r="AI14" s="44">
        <v>100</v>
      </c>
      <c r="AJ14" s="44">
        <v>145</v>
      </c>
      <c r="AK14" s="44">
        <v>146</v>
      </c>
      <c r="AL14" s="44">
        <v>150</v>
      </c>
      <c r="AM14" s="44">
        <v>225</v>
      </c>
      <c r="AN14" s="44">
        <v>260</v>
      </c>
      <c r="AO14" s="44">
        <v>225</v>
      </c>
      <c r="AP14" s="44">
        <v>190</v>
      </c>
      <c r="AQ14" s="44">
        <v>220</v>
      </c>
      <c r="AR14" s="44">
        <v>230</v>
      </c>
      <c r="AS14" s="44">
        <v>234</v>
      </c>
      <c r="AT14" s="44">
        <v>234</v>
      </c>
      <c r="AU14" s="44">
        <v>270</v>
      </c>
      <c r="AV14" s="44">
        <v>300</v>
      </c>
      <c r="AW14" s="44">
        <v>360</v>
      </c>
      <c r="AX14" s="44">
        <v>405</v>
      </c>
      <c r="AY14" s="44">
        <v>360</v>
      </c>
      <c r="AZ14" s="44">
        <v>420</v>
      </c>
      <c r="BA14" s="44">
        <v>400</v>
      </c>
      <c r="BB14" s="44">
        <f>900000/1000</f>
        <v>900</v>
      </c>
      <c r="BC14" s="42">
        <f>880000/1000</f>
        <v>880</v>
      </c>
      <c r="BD14" s="42">
        <f>900000/1000</f>
        <v>900</v>
      </c>
    </row>
    <row r="15" spans="1:56" s="5" customFormat="1" x14ac:dyDescent="0.25">
      <c r="A15" s="14"/>
      <c r="B15" s="6"/>
      <c r="C15" s="6" t="s">
        <v>7</v>
      </c>
      <c r="D15" s="47">
        <v>10</v>
      </c>
      <c r="E15" s="47">
        <v>0</v>
      </c>
      <c r="F15" s="47">
        <v>0</v>
      </c>
      <c r="G15" s="47">
        <v>0</v>
      </c>
      <c r="H15" s="47">
        <v>0</v>
      </c>
      <c r="I15" s="47">
        <v>9</v>
      </c>
      <c r="J15" s="47">
        <v>0</v>
      </c>
      <c r="K15" s="47">
        <v>0</v>
      </c>
      <c r="L15" s="47">
        <v>13</v>
      </c>
      <c r="M15" s="47">
        <v>16</v>
      </c>
      <c r="N15" s="47">
        <v>5</v>
      </c>
      <c r="O15" s="47">
        <v>0</v>
      </c>
      <c r="P15" s="47">
        <v>31</v>
      </c>
      <c r="Q15" s="47">
        <v>57</v>
      </c>
      <c r="R15" s="47">
        <v>67</v>
      </c>
      <c r="S15" s="47">
        <v>30</v>
      </c>
      <c r="T15" s="47">
        <v>10</v>
      </c>
      <c r="U15" s="47">
        <v>24</v>
      </c>
      <c r="V15" s="47">
        <v>50</v>
      </c>
      <c r="W15" s="47">
        <v>10</v>
      </c>
      <c r="X15" s="47">
        <v>32</v>
      </c>
      <c r="Y15" s="47">
        <v>16</v>
      </c>
      <c r="Z15" s="47">
        <v>30</v>
      </c>
      <c r="AA15" s="47">
        <v>58</v>
      </c>
      <c r="AB15" s="47">
        <v>90</v>
      </c>
      <c r="AC15" s="47">
        <v>92</v>
      </c>
      <c r="AD15" s="47">
        <v>157</v>
      </c>
      <c r="AE15" s="47">
        <v>113</v>
      </c>
      <c r="AF15" s="47">
        <v>220</v>
      </c>
      <c r="AG15" s="47">
        <v>210</v>
      </c>
      <c r="AH15" s="47">
        <v>161</v>
      </c>
      <c r="AI15" s="47">
        <v>300</v>
      </c>
      <c r="AJ15" s="47">
        <v>320</v>
      </c>
      <c r="AK15" s="47">
        <v>280</v>
      </c>
      <c r="AL15" s="47">
        <v>415</v>
      </c>
      <c r="AM15" s="47">
        <v>350</v>
      </c>
      <c r="AN15" s="47">
        <v>264</v>
      </c>
      <c r="AO15" s="47">
        <v>275</v>
      </c>
      <c r="AP15" s="47">
        <v>325</v>
      </c>
      <c r="AQ15" s="47">
        <v>327</v>
      </c>
      <c r="AR15" s="47">
        <v>243</v>
      </c>
      <c r="AS15" s="47">
        <v>300</v>
      </c>
      <c r="AT15" s="47">
        <v>325</v>
      </c>
      <c r="AU15" s="47">
        <v>155</v>
      </c>
      <c r="AV15" s="47">
        <v>296</v>
      </c>
      <c r="AW15" s="47">
        <v>237</v>
      </c>
      <c r="AX15" s="47">
        <v>169</v>
      </c>
      <c r="AY15" s="47">
        <v>261</v>
      </c>
      <c r="AZ15" s="47">
        <v>209</v>
      </c>
      <c r="BA15" s="47">
        <v>520</v>
      </c>
      <c r="BB15" s="47">
        <f>249439/1000</f>
        <v>249.43899999999999</v>
      </c>
      <c r="BC15" s="43"/>
      <c r="BD15" s="43"/>
    </row>
    <row r="16" spans="1:56" x14ac:dyDescent="0.25">
      <c r="A16" s="12"/>
      <c r="B16" s="2"/>
      <c r="C16" s="2" t="s">
        <v>8</v>
      </c>
      <c r="D16" s="44">
        <v>0</v>
      </c>
      <c r="E16" s="44">
        <v>0</v>
      </c>
      <c r="F16" s="44">
        <v>0</v>
      </c>
      <c r="G16" s="44">
        <v>2</v>
      </c>
      <c r="H16" s="44">
        <v>0</v>
      </c>
      <c r="I16" s="44">
        <v>0</v>
      </c>
      <c r="J16" s="44">
        <v>2</v>
      </c>
      <c r="K16" s="44">
        <v>2</v>
      </c>
      <c r="L16" s="44">
        <v>0</v>
      </c>
      <c r="M16" s="44">
        <v>0</v>
      </c>
      <c r="N16" s="44">
        <v>0</v>
      </c>
      <c r="O16" s="44">
        <v>0</v>
      </c>
      <c r="P16" s="44">
        <v>0</v>
      </c>
      <c r="Q16" s="44">
        <v>0</v>
      </c>
      <c r="R16" s="44">
        <v>0</v>
      </c>
      <c r="S16" s="44">
        <v>0</v>
      </c>
      <c r="T16" s="44">
        <v>0</v>
      </c>
      <c r="U16" s="44">
        <v>0</v>
      </c>
      <c r="V16" s="44">
        <v>0</v>
      </c>
      <c r="W16" s="44">
        <v>0</v>
      </c>
      <c r="X16" s="44">
        <v>0</v>
      </c>
      <c r="Y16" s="44">
        <v>0</v>
      </c>
      <c r="Z16" s="44">
        <v>0</v>
      </c>
      <c r="AA16" s="44">
        <v>0</v>
      </c>
      <c r="AB16" s="44">
        <v>0</v>
      </c>
      <c r="AC16" s="44">
        <v>1</v>
      </c>
      <c r="AD16" s="44">
        <v>2</v>
      </c>
      <c r="AE16" s="44">
        <v>0</v>
      </c>
      <c r="AF16" s="44">
        <v>63</v>
      </c>
      <c r="AG16" s="44">
        <v>0</v>
      </c>
      <c r="AH16" s="44">
        <v>3</v>
      </c>
      <c r="AI16" s="44">
        <v>5</v>
      </c>
      <c r="AJ16" s="44">
        <v>2</v>
      </c>
      <c r="AK16" s="44">
        <v>5</v>
      </c>
      <c r="AL16" s="44">
        <v>7</v>
      </c>
      <c r="AM16" s="44">
        <v>2</v>
      </c>
      <c r="AN16" s="44">
        <v>10</v>
      </c>
      <c r="AO16" s="44">
        <v>6</v>
      </c>
      <c r="AP16" s="44">
        <v>1</v>
      </c>
      <c r="AQ16" s="44">
        <v>0</v>
      </c>
      <c r="AR16" s="44">
        <v>6</v>
      </c>
      <c r="AS16" s="44">
        <v>0</v>
      </c>
      <c r="AT16" s="44">
        <v>0</v>
      </c>
      <c r="AU16" s="44">
        <v>0</v>
      </c>
      <c r="AV16" s="44">
        <v>0</v>
      </c>
      <c r="AW16" s="44">
        <v>0</v>
      </c>
      <c r="AX16" s="44">
        <v>4</v>
      </c>
      <c r="AY16" s="44">
        <v>3</v>
      </c>
      <c r="AZ16" s="44">
        <v>25</v>
      </c>
      <c r="BA16" s="44">
        <v>26</v>
      </c>
      <c r="BB16" s="44">
        <f>21248/1000</f>
        <v>21.248000000000001</v>
      </c>
      <c r="BC16" s="42"/>
      <c r="BD16" s="42"/>
    </row>
    <row r="17" spans="1:56" s="5" customFormat="1" x14ac:dyDescent="0.25">
      <c r="A17" s="14"/>
      <c r="B17" s="6"/>
      <c r="C17" s="6" t="s">
        <v>9</v>
      </c>
      <c r="D17" s="47">
        <v>130</v>
      </c>
      <c r="E17" s="47">
        <v>130</v>
      </c>
      <c r="F17" s="47">
        <v>165</v>
      </c>
      <c r="G17" s="47">
        <v>128</v>
      </c>
      <c r="H17" s="47">
        <v>102</v>
      </c>
      <c r="I17" s="47">
        <v>143</v>
      </c>
      <c r="J17" s="47">
        <v>139</v>
      </c>
      <c r="K17" s="47">
        <v>140</v>
      </c>
      <c r="L17" s="47">
        <v>137</v>
      </c>
      <c r="M17" s="47">
        <v>136</v>
      </c>
      <c r="N17" s="47">
        <v>155</v>
      </c>
      <c r="O17" s="47">
        <v>175</v>
      </c>
      <c r="P17" s="47">
        <v>181</v>
      </c>
      <c r="Q17" s="47">
        <v>198</v>
      </c>
      <c r="R17" s="47">
        <v>207</v>
      </c>
      <c r="S17" s="47">
        <v>205</v>
      </c>
      <c r="T17" s="47">
        <v>178</v>
      </c>
      <c r="U17" s="47">
        <v>184</v>
      </c>
      <c r="V17" s="47">
        <v>200</v>
      </c>
      <c r="W17" s="47">
        <v>235</v>
      </c>
      <c r="X17" s="47">
        <v>222</v>
      </c>
      <c r="Y17" s="47">
        <v>224</v>
      </c>
      <c r="Z17" s="47">
        <v>240</v>
      </c>
      <c r="AA17" s="47">
        <v>245</v>
      </c>
      <c r="AB17" s="47">
        <v>246</v>
      </c>
      <c r="AC17" s="47">
        <v>267</v>
      </c>
      <c r="AD17" s="47">
        <v>280</v>
      </c>
      <c r="AE17" s="47">
        <v>293</v>
      </c>
      <c r="AF17" s="47">
        <v>327</v>
      </c>
      <c r="AG17" s="47">
        <v>335</v>
      </c>
      <c r="AH17" s="47">
        <v>338</v>
      </c>
      <c r="AI17" s="47">
        <v>385</v>
      </c>
      <c r="AJ17" s="47">
        <v>388</v>
      </c>
      <c r="AK17" s="47">
        <v>421</v>
      </c>
      <c r="AL17" s="47">
        <v>450</v>
      </c>
      <c r="AM17" s="47">
        <v>475</v>
      </c>
      <c r="AN17" s="47">
        <v>500</v>
      </c>
      <c r="AO17" s="47">
        <v>525</v>
      </c>
      <c r="AP17" s="47">
        <v>525</v>
      </c>
      <c r="AQ17" s="47">
        <v>530</v>
      </c>
      <c r="AR17" s="47">
        <v>535</v>
      </c>
      <c r="AS17" s="47">
        <v>540</v>
      </c>
      <c r="AT17" s="47">
        <v>545</v>
      </c>
      <c r="AU17" s="47">
        <v>550</v>
      </c>
      <c r="AV17" s="47">
        <v>560</v>
      </c>
      <c r="AW17" s="47">
        <v>570</v>
      </c>
      <c r="AX17" s="47">
        <v>555</v>
      </c>
      <c r="AY17" s="47">
        <v>570</v>
      </c>
      <c r="AZ17" s="47">
        <v>600</v>
      </c>
      <c r="BA17" s="47">
        <v>759</v>
      </c>
      <c r="BB17" s="47">
        <f>BB14+BB15-BB16</f>
        <v>1128.191</v>
      </c>
      <c r="BC17" s="43"/>
      <c r="BD17" s="43"/>
    </row>
    <row r="18" spans="1:56" x14ac:dyDescent="0.25">
      <c r="A18" s="14"/>
      <c r="B18" s="6" t="s">
        <v>14</v>
      </c>
      <c r="C18" s="6" t="s">
        <v>42</v>
      </c>
      <c r="D18" s="47">
        <v>618</v>
      </c>
      <c r="E18" s="47">
        <v>470</v>
      </c>
      <c r="F18" s="47">
        <v>557</v>
      </c>
      <c r="G18" s="47">
        <v>597</v>
      </c>
      <c r="H18" s="47">
        <v>668</v>
      </c>
      <c r="I18" s="47">
        <v>567</v>
      </c>
      <c r="J18" s="47">
        <v>701</v>
      </c>
      <c r="K18" s="47">
        <v>791</v>
      </c>
      <c r="L18" s="47">
        <v>706</v>
      </c>
      <c r="M18" s="47">
        <v>544</v>
      </c>
      <c r="N18" s="47">
        <v>643</v>
      </c>
      <c r="O18" s="47">
        <v>910</v>
      </c>
      <c r="P18" s="47">
        <v>811</v>
      </c>
      <c r="Q18" s="47">
        <v>796</v>
      </c>
      <c r="R18" s="47">
        <v>834</v>
      </c>
      <c r="S18" s="47">
        <v>986</v>
      </c>
      <c r="T18" s="47">
        <v>1284</v>
      </c>
      <c r="U18" s="47">
        <v>1065</v>
      </c>
      <c r="V18" s="47">
        <v>1079</v>
      </c>
      <c r="W18" s="47">
        <v>1052</v>
      </c>
      <c r="X18" s="47">
        <v>930</v>
      </c>
      <c r="Y18" s="47">
        <v>1400</v>
      </c>
      <c r="Z18" s="47">
        <v>1860</v>
      </c>
      <c r="AA18" s="47">
        <v>1770</v>
      </c>
      <c r="AB18" s="47">
        <v>1655</v>
      </c>
      <c r="AC18" s="47">
        <v>1398</v>
      </c>
      <c r="AD18" s="47">
        <v>1475</v>
      </c>
      <c r="AE18" s="47">
        <v>1780</v>
      </c>
      <c r="AF18" s="47">
        <v>1410</v>
      </c>
      <c r="AG18" s="47">
        <v>1380</v>
      </c>
      <c r="AH18" s="47">
        <v>1944</v>
      </c>
      <c r="AI18" s="47">
        <v>2052</v>
      </c>
      <c r="AJ18" s="47">
        <v>2124</v>
      </c>
      <c r="AK18" s="47">
        <v>2191</v>
      </c>
      <c r="AL18" s="47">
        <v>1678</v>
      </c>
      <c r="AM18" s="47">
        <v>1375</v>
      </c>
      <c r="AN18" s="47">
        <v>2025</v>
      </c>
      <c r="AO18" s="47">
        <v>2372</v>
      </c>
      <c r="AP18" s="47">
        <v>2947</v>
      </c>
      <c r="AQ18" s="47">
        <v>2348</v>
      </c>
      <c r="AR18" s="47">
        <v>2756</v>
      </c>
      <c r="AS18" s="47">
        <v>1796</v>
      </c>
      <c r="AT18" s="47">
        <v>2345</v>
      </c>
      <c r="AU18" s="47">
        <v>1915</v>
      </c>
      <c r="AV18" s="47">
        <v>2110</v>
      </c>
      <c r="AW18" s="47">
        <v>2175</v>
      </c>
      <c r="AX18" s="47">
        <v>1980</v>
      </c>
      <c r="AY18" s="47">
        <v>1700</v>
      </c>
      <c r="AZ18" s="47">
        <v>2100</v>
      </c>
      <c r="BA18" s="47">
        <v>2531</v>
      </c>
      <c r="BB18" s="48">
        <v>2400</v>
      </c>
      <c r="BC18" s="42"/>
      <c r="BD18" s="42"/>
    </row>
    <row r="19" spans="1:56" s="5" customFormat="1" x14ac:dyDescent="0.25">
      <c r="A19" s="14"/>
      <c r="B19" s="2"/>
      <c r="C19" s="2" t="s">
        <v>45</v>
      </c>
      <c r="D19" s="44">
        <v>0</v>
      </c>
      <c r="E19" s="44">
        <v>0</v>
      </c>
      <c r="F19" s="44">
        <v>0</v>
      </c>
      <c r="G19" s="44">
        <v>0</v>
      </c>
      <c r="H19" s="44">
        <v>0</v>
      </c>
      <c r="I19" s="44">
        <v>0</v>
      </c>
      <c r="J19" s="44">
        <v>0</v>
      </c>
      <c r="K19" s="44">
        <v>0</v>
      </c>
      <c r="L19" s="44">
        <v>0</v>
      </c>
      <c r="M19" s="44">
        <v>0</v>
      </c>
      <c r="N19" s="44">
        <v>0</v>
      </c>
      <c r="O19" s="44">
        <v>0</v>
      </c>
      <c r="P19" s="44">
        <v>0</v>
      </c>
      <c r="Q19" s="44">
        <v>67</v>
      </c>
      <c r="R19" s="44">
        <v>102</v>
      </c>
      <c r="S19" s="44">
        <v>42</v>
      </c>
      <c r="T19" s="44">
        <v>0</v>
      </c>
      <c r="U19" s="44">
        <v>0</v>
      </c>
      <c r="V19" s="44">
        <v>0</v>
      </c>
      <c r="W19" s="44">
        <v>200</v>
      </c>
      <c r="X19" s="44">
        <v>75</v>
      </c>
      <c r="Y19" s="44">
        <v>0</v>
      </c>
      <c r="Z19" s="44">
        <v>0</v>
      </c>
      <c r="AA19" s="44">
        <v>0</v>
      </c>
      <c r="AB19" s="44">
        <v>0</v>
      </c>
      <c r="AC19" s="44">
        <v>0</v>
      </c>
      <c r="AD19" s="44">
        <v>201</v>
      </c>
      <c r="AE19" s="44">
        <v>35</v>
      </c>
      <c r="AF19" s="44">
        <v>0</v>
      </c>
      <c r="AG19" s="44">
        <v>470</v>
      </c>
      <c r="AH19" s="44">
        <v>247</v>
      </c>
      <c r="AI19" s="44">
        <v>17</v>
      </c>
      <c r="AJ19" s="44">
        <v>23</v>
      </c>
      <c r="AK19" s="44">
        <v>2</v>
      </c>
      <c r="AL19" s="44">
        <v>322</v>
      </c>
      <c r="AM19" s="44">
        <v>736</v>
      </c>
      <c r="AN19" s="44">
        <v>153</v>
      </c>
      <c r="AO19" s="44">
        <v>10</v>
      </c>
      <c r="AP19" s="44">
        <v>5</v>
      </c>
      <c r="AQ19" s="44">
        <v>1</v>
      </c>
      <c r="AR19" s="44">
        <v>2</v>
      </c>
      <c r="AS19" s="44">
        <v>1</v>
      </c>
      <c r="AT19" s="44">
        <v>1</v>
      </c>
      <c r="AU19" s="44">
        <v>0</v>
      </c>
      <c r="AV19" s="44">
        <v>0</v>
      </c>
      <c r="AW19" s="44">
        <v>0</v>
      </c>
      <c r="AX19" s="44">
        <v>0</v>
      </c>
      <c r="AY19" s="44">
        <v>5</v>
      </c>
      <c r="AZ19" s="44">
        <v>5</v>
      </c>
      <c r="BA19" s="44">
        <v>5</v>
      </c>
      <c r="BB19" s="45">
        <v>5</v>
      </c>
      <c r="BC19" s="43"/>
      <c r="BD19" s="43"/>
    </row>
    <row r="20" spans="1:56" x14ac:dyDescent="0.25">
      <c r="A20" s="14"/>
      <c r="B20" s="6"/>
      <c r="C20" s="6" t="s">
        <v>44</v>
      </c>
      <c r="D20" s="47">
        <v>275</v>
      </c>
      <c r="E20" s="47">
        <v>150</v>
      </c>
      <c r="F20" s="47">
        <v>150</v>
      </c>
      <c r="G20" s="47">
        <v>130</v>
      </c>
      <c r="H20" s="47">
        <v>125</v>
      </c>
      <c r="I20" s="47">
        <v>57</v>
      </c>
      <c r="J20" s="47">
        <v>65</v>
      </c>
      <c r="K20" s="47">
        <v>48</v>
      </c>
      <c r="L20" s="47">
        <v>109</v>
      </c>
      <c r="M20" s="47">
        <v>89</v>
      </c>
      <c r="N20" s="47">
        <v>42</v>
      </c>
      <c r="O20" s="47">
        <v>90</v>
      </c>
      <c r="P20" s="47">
        <v>46</v>
      </c>
      <c r="Q20" s="47">
        <v>60</v>
      </c>
      <c r="R20" s="47">
        <v>78</v>
      </c>
      <c r="S20" s="47">
        <v>0</v>
      </c>
      <c r="T20" s="47">
        <v>3</v>
      </c>
      <c r="U20" s="47">
        <v>4</v>
      </c>
      <c r="V20" s="47">
        <v>4</v>
      </c>
      <c r="W20" s="47">
        <v>4</v>
      </c>
      <c r="X20" s="47">
        <v>3</v>
      </c>
      <c r="Y20" s="47">
        <v>105</v>
      </c>
      <c r="Z20" s="47">
        <v>195</v>
      </c>
      <c r="AA20" s="47">
        <v>525</v>
      </c>
      <c r="AB20" s="47">
        <v>470</v>
      </c>
      <c r="AC20" s="47">
        <v>50</v>
      </c>
      <c r="AD20" s="47">
        <v>54</v>
      </c>
      <c r="AE20" s="47">
        <v>65</v>
      </c>
      <c r="AF20" s="47">
        <v>1</v>
      </c>
      <c r="AG20" s="47">
        <v>1</v>
      </c>
      <c r="AH20" s="47">
        <v>14</v>
      </c>
      <c r="AI20" s="47">
        <v>294</v>
      </c>
      <c r="AJ20" s="47">
        <v>504</v>
      </c>
      <c r="AK20" s="47">
        <v>642</v>
      </c>
      <c r="AL20" s="47">
        <v>126</v>
      </c>
      <c r="AM20" s="47">
        <v>4</v>
      </c>
      <c r="AN20" s="47">
        <v>113</v>
      </c>
      <c r="AO20" s="47">
        <v>236</v>
      </c>
      <c r="AP20" s="47">
        <v>433</v>
      </c>
      <c r="AQ20" s="47">
        <v>614</v>
      </c>
      <c r="AR20" s="47">
        <v>826</v>
      </c>
      <c r="AS20" s="47">
        <v>378</v>
      </c>
      <c r="AT20" s="47">
        <v>150</v>
      </c>
      <c r="AU20" s="47">
        <v>230</v>
      </c>
      <c r="AV20" s="47">
        <v>25</v>
      </c>
      <c r="AW20" s="47">
        <v>25</v>
      </c>
      <c r="AX20" s="47">
        <v>30</v>
      </c>
      <c r="AY20" s="47">
        <v>10</v>
      </c>
      <c r="AZ20" s="47">
        <v>5</v>
      </c>
      <c r="BA20" s="47">
        <v>40</v>
      </c>
      <c r="BB20" s="48">
        <v>40</v>
      </c>
      <c r="BC20" s="42"/>
      <c r="BD20" s="42"/>
    </row>
    <row r="21" spans="1:56" s="5" customFormat="1" ht="30" x14ac:dyDescent="0.25">
      <c r="A21" s="14"/>
      <c r="B21" s="2"/>
      <c r="C21" s="2" t="s">
        <v>43</v>
      </c>
      <c r="D21" s="44">
        <v>343</v>
      </c>
      <c r="E21" s="44">
        <v>377</v>
      </c>
      <c r="F21" s="44">
        <v>400</v>
      </c>
      <c r="G21" s="44">
        <v>417</v>
      </c>
      <c r="H21" s="44">
        <v>481</v>
      </c>
      <c r="I21" s="44">
        <v>523</v>
      </c>
      <c r="J21" s="44">
        <v>540</v>
      </c>
      <c r="K21" s="44">
        <v>560</v>
      </c>
      <c r="L21" s="44">
        <v>592</v>
      </c>
      <c r="M21" s="44">
        <v>631</v>
      </c>
      <c r="N21" s="44">
        <v>668</v>
      </c>
      <c r="O21" s="44">
        <v>750</v>
      </c>
      <c r="P21" s="44">
        <v>814</v>
      </c>
      <c r="Q21" s="44">
        <v>897</v>
      </c>
      <c r="R21" s="44">
        <v>972</v>
      </c>
      <c r="S21" s="44">
        <v>1047</v>
      </c>
      <c r="T21" s="44">
        <v>1135</v>
      </c>
      <c r="U21" s="44">
        <v>1168</v>
      </c>
      <c r="V21" s="44">
        <v>1203</v>
      </c>
      <c r="W21" s="44">
        <v>1151</v>
      </c>
      <c r="X21" s="44">
        <v>1036</v>
      </c>
      <c r="Y21" s="44">
        <v>1100</v>
      </c>
      <c r="Z21" s="44">
        <v>1210</v>
      </c>
      <c r="AA21" s="44">
        <v>1330</v>
      </c>
      <c r="AB21" s="44">
        <v>1410</v>
      </c>
      <c r="AC21" s="44">
        <v>1466</v>
      </c>
      <c r="AD21" s="44">
        <v>1557</v>
      </c>
      <c r="AE21" s="44">
        <v>1625</v>
      </c>
      <c r="AF21" s="44">
        <v>1679</v>
      </c>
      <c r="AG21" s="44">
        <v>1729</v>
      </c>
      <c r="AH21" s="44">
        <v>1790</v>
      </c>
      <c r="AI21" s="44">
        <v>1844</v>
      </c>
      <c r="AJ21" s="44">
        <v>1880</v>
      </c>
      <c r="AK21" s="44">
        <v>1800</v>
      </c>
      <c r="AL21" s="44">
        <v>1830</v>
      </c>
      <c r="AM21" s="44">
        <v>1900</v>
      </c>
      <c r="AN21" s="44">
        <v>1960</v>
      </c>
      <c r="AO21" s="44">
        <v>2020</v>
      </c>
      <c r="AP21" s="44">
        <v>2080</v>
      </c>
      <c r="AQ21" s="44">
        <v>2050</v>
      </c>
      <c r="AR21" s="44">
        <v>1850</v>
      </c>
      <c r="AS21" s="44">
        <v>1850</v>
      </c>
      <c r="AT21" s="44">
        <v>1900</v>
      </c>
      <c r="AU21" s="44">
        <v>1930</v>
      </c>
      <c r="AV21" s="44">
        <v>1960</v>
      </c>
      <c r="AW21" s="44">
        <v>2000</v>
      </c>
      <c r="AX21" s="44">
        <v>2000</v>
      </c>
      <c r="AY21" s="44">
        <v>2000</v>
      </c>
      <c r="AZ21" s="44">
        <v>2000</v>
      </c>
      <c r="BA21" s="44">
        <v>2500</v>
      </c>
      <c r="BB21" s="45">
        <v>2800</v>
      </c>
      <c r="BC21" s="43"/>
      <c r="BD21" s="43"/>
    </row>
    <row r="22" spans="1:56" s="5" customFormat="1" x14ac:dyDescent="0.25">
      <c r="A22" s="14"/>
      <c r="B22" s="6" t="s">
        <v>15</v>
      </c>
      <c r="C22" s="6" t="s">
        <v>6</v>
      </c>
      <c r="D22" s="47">
        <v>7000</v>
      </c>
      <c r="E22" s="47">
        <v>6336</v>
      </c>
      <c r="F22" s="47">
        <v>6804</v>
      </c>
      <c r="G22" s="47">
        <v>7892</v>
      </c>
      <c r="H22" s="47">
        <v>7000</v>
      </c>
      <c r="I22" s="47">
        <v>7430</v>
      </c>
      <c r="J22" s="47">
        <v>8200</v>
      </c>
      <c r="K22" s="47">
        <v>9000</v>
      </c>
      <c r="L22" s="47">
        <v>8400</v>
      </c>
      <c r="M22" s="47">
        <v>8300</v>
      </c>
      <c r="N22" s="47">
        <v>8000</v>
      </c>
      <c r="O22" s="47">
        <v>10700</v>
      </c>
      <c r="P22" s="47">
        <v>9500</v>
      </c>
      <c r="Q22" s="47">
        <v>8000</v>
      </c>
      <c r="R22" s="47">
        <v>8300</v>
      </c>
      <c r="S22" s="47">
        <v>11500</v>
      </c>
      <c r="T22" s="47">
        <v>13000</v>
      </c>
      <c r="U22" s="47">
        <v>13500</v>
      </c>
      <c r="V22" s="47">
        <v>13300</v>
      </c>
      <c r="W22" s="47">
        <v>13000</v>
      </c>
      <c r="X22" s="47">
        <v>13000</v>
      </c>
      <c r="Y22" s="47">
        <v>13200</v>
      </c>
      <c r="Z22" s="47">
        <v>13800</v>
      </c>
      <c r="AA22" s="47">
        <v>13300</v>
      </c>
      <c r="AB22" s="47">
        <v>13300</v>
      </c>
      <c r="AC22" s="47">
        <v>12700</v>
      </c>
      <c r="AD22" s="47">
        <v>14000</v>
      </c>
      <c r="AE22" s="47">
        <v>13000</v>
      </c>
      <c r="AF22" s="47">
        <v>16000</v>
      </c>
      <c r="AG22" s="47">
        <v>12500</v>
      </c>
      <c r="AH22" s="47">
        <v>16000</v>
      </c>
      <c r="AI22" s="47">
        <v>16500</v>
      </c>
      <c r="AJ22" s="47">
        <v>15500</v>
      </c>
      <c r="AK22" s="47">
        <v>16500</v>
      </c>
      <c r="AL22" s="47">
        <v>14700</v>
      </c>
      <c r="AM22" s="47">
        <v>15500</v>
      </c>
      <c r="AN22" s="47">
        <v>16000</v>
      </c>
      <c r="AO22" s="47">
        <v>16000</v>
      </c>
      <c r="AP22" s="47">
        <v>18000</v>
      </c>
      <c r="AQ22" s="47">
        <v>16500</v>
      </c>
      <c r="AR22" s="47">
        <v>18000</v>
      </c>
      <c r="AS22" s="47">
        <v>15500</v>
      </c>
      <c r="AT22" s="47">
        <v>16800</v>
      </c>
      <c r="AU22" s="47">
        <v>16800</v>
      </c>
      <c r="AV22" s="47">
        <v>18500</v>
      </c>
      <c r="AW22" s="47">
        <v>18500</v>
      </c>
      <c r="AX22" s="47">
        <v>17500</v>
      </c>
      <c r="AY22" s="47">
        <v>15500</v>
      </c>
      <c r="AZ22" s="47">
        <v>16800</v>
      </c>
      <c r="BA22" s="47">
        <v>18450</v>
      </c>
      <c r="BB22" s="47">
        <f>21800000/1000</f>
        <v>21800</v>
      </c>
      <c r="BC22" s="43">
        <f>201000000/1000</f>
        <v>201000</v>
      </c>
      <c r="BD22" s="43">
        <f>22050000/1000</f>
        <v>22050</v>
      </c>
    </row>
    <row r="23" spans="1:56" x14ac:dyDescent="0.25">
      <c r="A23" s="12"/>
      <c r="B23" s="2"/>
      <c r="C23" s="2" t="s">
        <v>7</v>
      </c>
      <c r="D23" s="44">
        <v>373</v>
      </c>
      <c r="E23" s="44">
        <v>1287</v>
      </c>
      <c r="F23" s="44">
        <v>583</v>
      </c>
      <c r="G23" s="44">
        <v>371</v>
      </c>
      <c r="H23" s="44">
        <v>276</v>
      </c>
      <c r="I23" s="44">
        <v>163</v>
      </c>
      <c r="J23" s="44">
        <v>308</v>
      </c>
      <c r="K23" s="44">
        <v>28</v>
      </c>
      <c r="L23" s="44">
        <v>504</v>
      </c>
      <c r="M23" s="44">
        <v>939</v>
      </c>
      <c r="N23" s="44">
        <v>898</v>
      </c>
      <c r="O23" s="44">
        <v>559</v>
      </c>
      <c r="P23" s="44">
        <v>26</v>
      </c>
      <c r="Q23" s="44">
        <v>519</v>
      </c>
      <c r="R23" s="44">
        <v>1059</v>
      </c>
      <c r="S23" s="44">
        <v>20</v>
      </c>
      <c r="T23" s="44">
        <v>0</v>
      </c>
      <c r="U23" s="44">
        <v>6</v>
      </c>
      <c r="V23" s="44">
        <v>0</v>
      </c>
      <c r="W23" s="44">
        <v>0</v>
      </c>
      <c r="X23" s="44">
        <v>0</v>
      </c>
      <c r="Y23" s="44">
        <v>748</v>
      </c>
      <c r="Z23" s="44">
        <v>49</v>
      </c>
      <c r="AA23" s="44">
        <v>350</v>
      </c>
      <c r="AB23" s="44">
        <v>1048</v>
      </c>
      <c r="AC23" s="44">
        <v>980</v>
      </c>
      <c r="AD23" s="44">
        <v>500</v>
      </c>
      <c r="AE23" s="44">
        <v>160</v>
      </c>
      <c r="AF23" s="44">
        <v>277</v>
      </c>
      <c r="AG23" s="44">
        <v>3698</v>
      </c>
      <c r="AH23" s="44">
        <v>291</v>
      </c>
      <c r="AI23" s="44">
        <v>172</v>
      </c>
      <c r="AJ23" s="44">
        <v>997</v>
      </c>
      <c r="AK23" s="44">
        <v>650</v>
      </c>
      <c r="AL23" s="44">
        <v>500</v>
      </c>
      <c r="AM23" s="44">
        <v>2100</v>
      </c>
      <c r="AN23" s="44">
        <v>2630</v>
      </c>
      <c r="AO23" s="44">
        <v>1775</v>
      </c>
      <c r="AP23" s="44">
        <v>1862</v>
      </c>
      <c r="AQ23" s="44">
        <v>1470</v>
      </c>
      <c r="AR23" s="44">
        <v>424</v>
      </c>
      <c r="AS23" s="44">
        <v>1037</v>
      </c>
      <c r="AT23" s="44">
        <v>1243</v>
      </c>
      <c r="AU23" s="44">
        <v>1089</v>
      </c>
      <c r="AV23" s="44">
        <v>390</v>
      </c>
      <c r="AW23" s="44">
        <v>125</v>
      </c>
      <c r="AX23" s="44">
        <v>1736</v>
      </c>
      <c r="AY23" s="44">
        <v>2160</v>
      </c>
      <c r="AZ23" s="44">
        <v>3468</v>
      </c>
      <c r="BA23" s="44">
        <v>3218</v>
      </c>
      <c r="BB23" s="44">
        <f>4754682/1000</f>
        <v>4754.6819999999998</v>
      </c>
      <c r="BC23" s="42"/>
      <c r="BD23" s="42"/>
    </row>
    <row r="24" spans="1:56" s="5" customFormat="1" x14ac:dyDescent="0.25">
      <c r="A24" s="14"/>
      <c r="B24" s="6"/>
      <c r="C24" s="6" t="s">
        <v>8</v>
      </c>
      <c r="D24" s="47">
        <v>1</v>
      </c>
      <c r="E24" s="47">
        <v>1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2</v>
      </c>
      <c r="M24" s="47">
        <v>0</v>
      </c>
      <c r="N24" s="47">
        <v>0</v>
      </c>
      <c r="O24" s="47">
        <v>17</v>
      </c>
      <c r="P24" s="47">
        <v>560</v>
      </c>
      <c r="Q24" s="47">
        <v>19</v>
      </c>
      <c r="R24" s="47">
        <v>0</v>
      </c>
      <c r="S24" s="47">
        <v>0</v>
      </c>
      <c r="T24" s="47">
        <v>52</v>
      </c>
      <c r="U24" s="47">
        <v>1149</v>
      </c>
      <c r="V24" s="47">
        <v>2023</v>
      </c>
      <c r="W24" s="47">
        <v>440</v>
      </c>
      <c r="X24" s="47">
        <v>530</v>
      </c>
      <c r="Y24" s="47">
        <v>337</v>
      </c>
      <c r="Z24" s="47">
        <v>573</v>
      </c>
      <c r="AA24" s="47">
        <v>600</v>
      </c>
      <c r="AB24" s="47">
        <v>517</v>
      </c>
      <c r="AC24" s="47">
        <v>112</v>
      </c>
      <c r="AD24" s="47">
        <v>52</v>
      </c>
      <c r="AE24" s="47">
        <v>933</v>
      </c>
      <c r="AF24" s="47">
        <v>1643</v>
      </c>
      <c r="AG24" s="47">
        <v>194</v>
      </c>
      <c r="AH24" s="47">
        <v>546</v>
      </c>
      <c r="AI24" s="47">
        <v>6241</v>
      </c>
      <c r="AJ24" s="47">
        <v>2019</v>
      </c>
      <c r="AK24" s="47">
        <v>1065</v>
      </c>
      <c r="AL24" s="47">
        <v>1810</v>
      </c>
      <c r="AM24" s="47">
        <v>1054</v>
      </c>
      <c r="AN24" s="47">
        <v>967</v>
      </c>
      <c r="AO24" s="47">
        <v>1324</v>
      </c>
      <c r="AP24" s="47">
        <v>2626</v>
      </c>
      <c r="AQ24" s="47">
        <v>2163</v>
      </c>
      <c r="AR24" s="47">
        <v>1601</v>
      </c>
      <c r="AS24" s="47">
        <v>753</v>
      </c>
      <c r="AT24" s="47">
        <v>794</v>
      </c>
      <c r="AU24" s="47">
        <v>839</v>
      </c>
      <c r="AV24" s="47">
        <v>2017</v>
      </c>
      <c r="AW24" s="47">
        <v>3214</v>
      </c>
      <c r="AX24" s="47">
        <v>2377</v>
      </c>
      <c r="AY24" s="47">
        <v>1722</v>
      </c>
      <c r="AZ24" s="47">
        <v>2238</v>
      </c>
      <c r="BA24" s="47">
        <v>4374</v>
      </c>
      <c r="BB24" s="47">
        <f>5233/1000</f>
        <v>5.2329999999999997</v>
      </c>
      <c r="BC24" s="43"/>
      <c r="BD24" s="43"/>
    </row>
    <row r="25" spans="1:56" x14ac:dyDescent="0.25">
      <c r="A25" s="12"/>
      <c r="B25" s="2"/>
      <c r="C25" s="2" t="s">
        <v>9</v>
      </c>
      <c r="D25" s="44">
        <v>7010</v>
      </c>
      <c r="E25" s="44">
        <v>7517</v>
      </c>
      <c r="F25" s="44">
        <v>7345</v>
      </c>
      <c r="G25" s="44">
        <v>7494</v>
      </c>
      <c r="H25" s="44">
        <v>7703</v>
      </c>
      <c r="I25" s="44">
        <v>7959</v>
      </c>
      <c r="J25" s="44">
        <v>8210</v>
      </c>
      <c r="K25" s="44">
        <v>8680</v>
      </c>
      <c r="L25" s="44">
        <v>8916</v>
      </c>
      <c r="M25" s="44">
        <v>9351</v>
      </c>
      <c r="N25" s="44">
        <v>9198</v>
      </c>
      <c r="O25" s="44">
        <v>9642</v>
      </c>
      <c r="P25" s="44">
        <v>9666</v>
      </c>
      <c r="Q25" s="44">
        <v>9300</v>
      </c>
      <c r="R25" s="44">
        <v>9459</v>
      </c>
      <c r="S25" s="44">
        <v>10020</v>
      </c>
      <c r="T25" s="44">
        <v>10648</v>
      </c>
      <c r="U25" s="44">
        <v>11457</v>
      </c>
      <c r="V25" s="44">
        <v>11777</v>
      </c>
      <c r="W25" s="44">
        <v>12260</v>
      </c>
      <c r="X25" s="44">
        <v>12870</v>
      </c>
      <c r="Y25" s="44">
        <v>13411</v>
      </c>
      <c r="Z25" s="44">
        <v>13676</v>
      </c>
      <c r="AA25" s="44">
        <v>13750</v>
      </c>
      <c r="AB25" s="44">
        <v>13631</v>
      </c>
      <c r="AC25" s="44">
        <v>13768</v>
      </c>
      <c r="AD25" s="44">
        <v>14048</v>
      </c>
      <c r="AE25" s="44">
        <v>14027</v>
      </c>
      <c r="AF25" s="44">
        <v>14134</v>
      </c>
      <c r="AG25" s="44">
        <v>14196</v>
      </c>
      <c r="AH25" s="44">
        <v>14500</v>
      </c>
      <c r="AI25" s="44">
        <v>14764</v>
      </c>
      <c r="AJ25" s="44">
        <v>15097</v>
      </c>
      <c r="AK25" s="44">
        <v>15086</v>
      </c>
      <c r="AL25" s="44">
        <v>15190</v>
      </c>
      <c r="AM25" s="44">
        <v>16046</v>
      </c>
      <c r="AN25" s="44">
        <v>16363</v>
      </c>
      <c r="AO25" s="44">
        <v>16751</v>
      </c>
      <c r="AP25" s="44">
        <v>16886</v>
      </c>
      <c r="AQ25" s="44">
        <v>16777</v>
      </c>
      <c r="AR25" s="44">
        <v>16700</v>
      </c>
      <c r="AS25" s="44">
        <v>16501</v>
      </c>
      <c r="AT25" s="44">
        <v>16800</v>
      </c>
      <c r="AU25" s="44">
        <v>16800</v>
      </c>
      <c r="AV25" s="44">
        <v>16800</v>
      </c>
      <c r="AW25" s="44">
        <v>16100</v>
      </c>
      <c r="AX25" s="44">
        <v>16650</v>
      </c>
      <c r="AY25" s="44">
        <v>16800</v>
      </c>
      <c r="AZ25" s="44">
        <v>16900</v>
      </c>
      <c r="BA25" s="44">
        <v>17100</v>
      </c>
      <c r="BB25" s="44">
        <f>BB22+BB23-BB24</f>
        <v>26549.449000000001</v>
      </c>
      <c r="BC25" s="42"/>
      <c r="BD25" s="42"/>
    </row>
    <row r="32" spans="1:56" s="5" customFormat="1" x14ac:dyDescent="0.25">
      <c r="A32" s="32"/>
      <c r="B32" s="32"/>
      <c r="C32" s="32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6"/>
      <c r="AD32" s="36"/>
      <c r="AE32" s="33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</row>
    <row r="33" spans="1:54" x14ac:dyDescent="0.25">
      <c r="A33" s="34"/>
      <c r="B33" s="34"/>
      <c r="C33" s="34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</row>
    <row r="34" spans="1:54" s="5" customFormat="1" x14ac:dyDescent="0.25">
      <c r="A34" s="32"/>
      <c r="B34" s="32"/>
      <c r="C34" s="32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</row>
    <row r="35" spans="1:54" x14ac:dyDescent="0.25">
      <c r="A35" s="34"/>
      <c r="B35" s="34"/>
      <c r="C35" s="34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</row>
    <row r="36" spans="1:54" s="5" customFormat="1" x14ac:dyDescent="0.25">
      <c r="A36" s="32"/>
      <c r="B36" s="32"/>
      <c r="C36" s="32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</row>
    <row r="37" spans="1:54" x14ac:dyDescent="0.25">
      <c r="A37" s="34"/>
      <c r="B37" s="34"/>
      <c r="C37" s="34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</row>
    <row r="38" spans="1:54" s="5" customFormat="1" x14ac:dyDescent="0.25">
      <c r="A38" s="32"/>
      <c r="B38" s="32"/>
      <c r="C38" s="32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6"/>
      <c r="AS38" s="33"/>
      <c r="AT38" s="33"/>
      <c r="AU38" s="33"/>
      <c r="AV38" s="33"/>
      <c r="AW38" s="33"/>
      <c r="AX38" s="33"/>
      <c r="AY38" s="33"/>
      <c r="AZ38" s="33"/>
      <c r="BA38" s="33"/>
      <c r="BB38" s="33"/>
    </row>
    <row r="39" spans="1:54" x14ac:dyDescent="0.25">
      <c r="A39" s="34"/>
      <c r="B39" s="34"/>
      <c r="C39" s="34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/>
      <c r="BB39" s="35"/>
    </row>
    <row r="40" spans="1:54" s="5" customFormat="1" x14ac:dyDescent="0.25">
      <c r="A40" s="32"/>
      <c r="B40" s="32"/>
      <c r="C40" s="32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  <c r="AU40" s="33"/>
      <c r="AV40" s="33"/>
      <c r="AW40" s="33"/>
      <c r="AX40" s="33"/>
      <c r="AY40" s="33"/>
      <c r="AZ40" s="33"/>
      <c r="BA40" s="33"/>
      <c r="BB40" s="33"/>
    </row>
    <row r="41" spans="1:54" x14ac:dyDescent="0.25">
      <c r="A41" s="34"/>
      <c r="B41" s="34"/>
      <c r="C41" s="34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/>
      <c r="AK41" s="35"/>
      <c r="AL41" s="35"/>
      <c r="AM41" s="35"/>
      <c r="AN41" s="35"/>
      <c r="AO41" s="35"/>
      <c r="AP41" s="35"/>
      <c r="AQ41" s="35"/>
      <c r="AR41" s="35"/>
      <c r="AS41" s="35"/>
      <c r="AT41" s="35"/>
      <c r="AU41" s="35"/>
      <c r="AV41" s="35"/>
      <c r="AW41" s="35"/>
      <c r="AX41" s="35"/>
      <c r="AY41" s="35"/>
      <c r="AZ41" s="35"/>
      <c r="BA41" s="35"/>
      <c r="BB41" s="35"/>
    </row>
    <row r="42" spans="1:54" s="5" customFormat="1" x14ac:dyDescent="0.25">
      <c r="A42" s="32"/>
      <c r="B42" s="32"/>
      <c r="C42" s="32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6"/>
      <c r="O42" s="36"/>
      <c r="P42" s="36"/>
      <c r="Q42" s="36"/>
      <c r="R42" s="33"/>
      <c r="S42" s="36"/>
      <c r="T42" s="33"/>
      <c r="U42" s="33"/>
      <c r="V42" s="36"/>
      <c r="W42" s="33"/>
      <c r="X42" s="36"/>
      <c r="Y42" s="36"/>
      <c r="Z42" s="33"/>
      <c r="AA42" s="36"/>
      <c r="AB42" s="36"/>
      <c r="AC42" s="36"/>
      <c r="AD42" s="36"/>
      <c r="AE42" s="36"/>
      <c r="AF42" s="36"/>
      <c r="AG42" s="33"/>
      <c r="AH42" s="33"/>
      <c r="AI42" s="36"/>
      <c r="AJ42" s="33"/>
      <c r="AK42" s="33"/>
      <c r="AL42" s="36"/>
      <c r="AM42" s="36"/>
      <c r="AN42" s="36"/>
      <c r="AO42" s="36"/>
      <c r="AP42" s="36"/>
      <c r="AQ42" s="36"/>
      <c r="AR42" s="36"/>
      <c r="AS42" s="36"/>
      <c r="AT42" s="36"/>
      <c r="AU42" s="36"/>
      <c r="AV42" s="36"/>
      <c r="AW42" s="36"/>
      <c r="AX42" s="36"/>
      <c r="AY42" s="36"/>
      <c r="AZ42" s="36"/>
      <c r="BA42" s="36"/>
      <c r="BB42" s="36"/>
    </row>
    <row r="43" spans="1:54" x14ac:dyDescent="0.25">
      <c r="A43" s="34"/>
      <c r="B43" s="34"/>
      <c r="C43" s="34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  <c r="AN43" s="35"/>
      <c r="AO43" s="35"/>
      <c r="AP43" s="35"/>
      <c r="AQ43" s="35"/>
      <c r="AR43" s="35"/>
      <c r="AS43" s="35"/>
      <c r="AT43" s="35"/>
      <c r="AU43" s="35"/>
      <c r="AV43" s="35"/>
      <c r="AW43" s="35"/>
      <c r="AX43" s="35"/>
      <c r="AY43" s="35"/>
      <c r="AZ43" s="35"/>
      <c r="BA43" s="35"/>
      <c r="BB43" s="35"/>
    </row>
    <row r="44" spans="1:54" s="5" customFormat="1" x14ac:dyDescent="0.25">
      <c r="A44" s="32"/>
      <c r="B44" s="32"/>
      <c r="C44" s="32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6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6"/>
      <c r="AB44" s="36"/>
      <c r="AC44" s="36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3"/>
      <c r="AU44" s="33"/>
      <c r="AV44" s="33"/>
      <c r="AW44" s="33"/>
      <c r="AX44" s="33"/>
      <c r="AY44" s="33"/>
      <c r="AZ44" s="36"/>
      <c r="BA44" s="33"/>
      <c r="BB44" s="36"/>
    </row>
    <row r="45" spans="1:54" x14ac:dyDescent="0.25">
      <c r="A45" s="34"/>
      <c r="B45" s="34"/>
      <c r="C45" s="34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7"/>
      <c r="AF45" s="35"/>
      <c r="AG45" s="35"/>
      <c r="AH45" s="35"/>
      <c r="AI45" s="37"/>
      <c r="AJ45" s="35"/>
      <c r="AK45" s="35"/>
      <c r="AL45" s="37"/>
      <c r="AM45" s="37"/>
      <c r="AN45" s="37"/>
      <c r="AO45" s="35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</row>
    <row r="46" spans="1:54" s="5" customFormat="1" x14ac:dyDescent="0.25">
      <c r="A46" s="34"/>
      <c r="B46" s="34"/>
      <c r="C46" s="34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</row>
    <row r="47" spans="1:54" x14ac:dyDescent="0.25">
      <c r="A47" s="34"/>
      <c r="B47" s="32"/>
      <c r="C47" s="32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3"/>
      <c r="AV47" s="33"/>
      <c r="AW47" s="33"/>
      <c r="AX47" s="33"/>
      <c r="AY47" s="33"/>
      <c r="AZ47" s="33"/>
      <c r="BA47" s="33"/>
      <c r="BB47" s="33"/>
    </row>
    <row r="48" spans="1:54" s="5" customFormat="1" x14ac:dyDescent="0.25">
      <c r="A48" s="34"/>
      <c r="B48" s="34"/>
      <c r="C48" s="34"/>
      <c r="D48" s="35"/>
      <c r="E48" s="35"/>
      <c r="F48" s="35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</row>
    <row r="49" spans="1:54" x14ac:dyDescent="0.25">
      <c r="A49" s="34"/>
      <c r="B49" s="32"/>
      <c r="C49" s="32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6"/>
      <c r="AT49" s="36"/>
      <c r="AU49" s="36"/>
      <c r="AV49" s="36"/>
      <c r="AW49" s="36"/>
      <c r="AX49" s="36"/>
      <c r="AY49" s="36"/>
      <c r="AZ49" s="36"/>
      <c r="BA49" s="36"/>
      <c r="BB49" s="36"/>
    </row>
    <row r="50" spans="1:54" x14ac:dyDescent="0.25">
      <c r="A50" s="34"/>
      <c r="B50" s="34"/>
      <c r="C50" s="34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</row>
    <row r="51" spans="1:54" s="5" customFormat="1" x14ac:dyDescent="0.25">
      <c r="A51" s="32"/>
      <c r="B51" s="32"/>
      <c r="C51" s="32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  <c r="AM51" s="33"/>
      <c r="AN51" s="33"/>
      <c r="AO51" s="33"/>
      <c r="AP51" s="33"/>
      <c r="AQ51" s="33"/>
      <c r="AR51" s="33"/>
      <c r="AS51" s="33"/>
      <c r="AT51" s="33"/>
      <c r="AU51" s="33"/>
      <c r="AV51" s="33"/>
      <c r="AW51" s="33"/>
      <c r="AX51" s="33"/>
      <c r="AY51" s="33"/>
      <c r="AZ51" s="33"/>
      <c r="BA51" s="33"/>
      <c r="BB51" s="33"/>
    </row>
    <row r="52" spans="1:54" x14ac:dyDescent="0.25">
      <c r="A52" s="34"/>
      <c r="B52" s="34"/>
      <c r="C52" s="34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  <c r="AP52" s="37"/>
      <c r="AQ52" s="37"/>
      <c r="AR52" s="37"/>
      <c r="AS52" s="37"/>
      <c r="AT52" s="37"/>
      <c r="AU52" s="37"/>
      <c r="AV52" s="37"/>
      <c r="AW52" s="37"/>
      <c r="AX52" s="37"/>
      <c r="AY52" s="37"/>
      <c r="AZ52" s="37"/>
      <c r="BA52" s="37"/>
      <c r="BB52" s="37"/>
    </row>
    <row r="53" spans="1:54" s="5" customFormat="1" x14ac:dyDescent="0.25">
      <c r="A53" s="32"/>
      <c r="B53" s="32"/>
      <c r="C53" s="32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36"/>
      <c r="AN53" s="36"/>
      <c r="AO53" s="36"/>
      <c r="AP53" s="36"/>
      <c r="AQ53" s="36"/>
      <c r="AR53" s="36"/>
      <c r="AS53" s="36"/>
      <c r="AT53" s="36"/>
      <c r="AU53" s="36"/>
      <c r="AV53" s="36"/>
      <c r="AW53" s="36"/>
      <c r="AX53" s="36"/>
      <c r="AY53" s="36"/>
      <c r="AZ53" s="36"/>
      <c r="BA53" s="36"/>
      <c r="BB53" s="36"/>
    </row>
    <row r="54" spans="1:54" x14ac:dyDescent="0.25">
      <c r="A54" s="34"/>
      <c r="B54" s="34"/>
      <c r="C54" s="34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</row>
    <row r="55" spans="1:54" s="5" customFormat="1" x14ac:dyDescent="0.25">
      <c r="A55" s="32"/>
      <c r="B55" s="32"/>
      <c r="C55" s="32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6"/>
      <c r="V55" s="36"/>
      <c r="W55" s="36"/>
      <c r="X55" s="33"/>
      <c r="Y55" s="33"/>
      <c r="Z55" s="33"/>
      <c r="AA55" s="33"/>
      <c r="AB55" s="36"/>
      <c r="AC55" s="36"/>
      <c r="AD55" s="33"/>
      <c r="AE55" s="33"/>
      <c r="AF55" s="33"/>
      <c r="AG55" s="33"/>
      <c r="AH55" s="33"/>
      <c r="AI55" s="33"/>
      <c r="AJ55" s="36"/>
      <c r="AK55" s="36"/>
      <c r="AL55" s="36"/>
      <c r="AM55" s="33"/>
      <c r="AN55" s="33"/>
      <c r="AO55" s="36"/>
      <c r="AP55" s="36"/>
      <c r="AQ55" s="36"/>
      <c r="AR55" s="33"/>
      <c r="AS55" s="33"/>
      <c r="AT55" s="33"/>
      <c r="AU55" s="33"/>
      <c r="AV55" s="33"/>
      <c r="AW55" s="36"/>
      <c r="AX55" s="36"/>
      <c r="AY55" s="33"/>
      <c r="AZ55" s="36"/>
      <c r="BA55" s="33"/>
      <c r="BB55" s="36"/>
    </row>
    <row r="56" spans="1:54" x14ac:dyDescent="0.25">
      <c r="A56" s="34"/>
      <c r="B56" s="34"/>
      <c r="C56" s="34"/>
      <c r="D56" s="35"/>
      <c r="E56" s="35"/>
      <c r="F56" s="35"/>
      <c r="G56" s="35"/>
      <c r="H56" s="35"/>
      <c r="I56" s="35"/>
      <c r="J56" s="35"/>
      <c r="K56" s="37"/>
      <c r="L56" s="35"/>
      <c r="M56" s="37"/>
      <c r="N56" s="35"/>
      <c r="O56" s="35"/>
      <c r="P56" s="35"/>
      <c r="Q56" s="37"/>
      <c r="R56" s="35"/>
      <c r="S56" s="37"/>
      <c r="T56" s="37"/>
      <c r="U56" s="35"/>
      <c r="V56" s="35"/>
      <c r="W56" s="35"/>
      <c r="X56" s="35"/>
      <c r="Y56" s="35"/>
      <c r="Z56" s="35"/>
      <c r="AA56" s="35"/>
      <c r="AB56" s="35"/>
      <c r="AC56" s="35"/>
      <c r="AD56" s="35"/>
      <c r="AE56" s="35"/>
      <c r="AF56" s="35"/>
      <c r="AG56" s="35"/>
      <c r="AH56" s="35"/>
      <c r="AI56" s="35"/>
      <c r="AJ56" s="35"/>
      <c r="AK56" s="35"/>
      <c r="AL56" s="35"/>
      <c r="AM56" s="35"/>
      <c r="AN56" s="35"/>
      <c r="AO56" s="35"/>
      <c r="AP56" s="35"/>
      <c r="AQ56" s="35"/>
      <c r="AR56" s="37"/>
      <c r="AS56" s="37"/>
      <c r="AT56" s="37"/>
      <c r="AU56" s="37"/>
      <c r="AV56" s="35"/>
      <c r="AW56" s="37"/>
      <c r="AX56" s="37"/>
      <c r="AY56" s="37"/>
      <c r="AZ56" s="37"/>
      <c r="BA56" s="37"/>
      <c r="BB56" s="37"/>
    </row>
    <row r="57" spans="1:54" s="5" customFormat="1" x14ac:dyDescent="0.25">
      <c r="A57" s="32"/>
      <c r="B57" s="32"/>
      <c r="C57" s="32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6"/>
      <c r="AQ57" s="36"/>
      <c r="AR57" s="36"/>
      <c r="AS57" s="36"/>
      <c r="AT57" s="36"/>
      <c r="AU57" s="36"/>
      <c r="AV57" s="36"/>
      <c r="AW57" s="36"/>
      <c r="AX57" s="36"/>
      <c r="AY57" s="36"/>
      <c r="AZ57" s="36"/>
      <c r="BA57" s="36"/>
      <c r="BB57" s="36"/>
    </row>
    <row r="58" spans="1:54" x14ac:dyDescent="0.25">
      <c r="A58" s="34"/>
      <c r="B58" s="34"/>
      <c r="C58" s="34"/>
      <c r="D58" s="37"/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/>
      <c r="AS58" s="37"/>
      <c r="AT58" s="37"/>
      <c r="AU58" s="37"/>
      <c r="AV58" s="37"/>
      <c r="AW58" s="37"/>
      <c r="AX58" s="37"/>
      <c r="AY58" s="37"/>
      <c r="AZ58" s="37"/>
      <c r="BA58" s="37"/>
      <c r="BB58" s="37"/>
    </row>
    <row r="59" spans="1:54" s="5" customFormat="1" x14ac:dyDescent="0.25">
      <c r="A59" s="32"/>
      <c r="B59" s="32"/>
      <c r="C59" s="32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  <c r="AG59" s="33"/>
      <c r="AH59" s="33"/>
      <c r="AI59" s="33"/>
      <c r="AJ59" s="36"/>
      <c r="AK59" s="36"/>
      <c r="AL59" s="36"/>
      <c r="AM59" s="36"/>
      <c r="AN59" s="36"/>
      <c r="AO59" s="36"/>
      <c r="AP59" s="36"/>
      <c r="AQ59" s="36"/>
      <c r="AR59" s="33"/>
      <c r="AS59" s="33"/>
      <c r="AT59" s="33"/>
      <c r="AU59" s="33"/>
      <c r="AV59" s="33"/>
      <c r="AW59" s="33"/>
      <c r="AX59" s="33"/>
      <c r="AY59" s="33"/>
      <c r="AZ59" s="33"/>
      <c r="BA59" s="33"/>
      <c r="BB59" s="33"/>
    </row>
    <row r="60" spans="1:54" x14ac:dyDescent="0.25">
      <c r="A60" s="34"/>
      <c r="B60" s="34"/>
      <c r="C60" s="34"/>
      <c r="D60" s="35"/>
      <c r="E60" s="35"/>
      <c r="F60" s="37"/>
      <c r="G60" s="37"/>
      <c r="H60" s="37"/>
      <c r="I60" s="35"/>
      <c r="J60" s="37"/>
      <c r="K60" s="35"/>
      <c r="L60" s="37"/>
      <c r="M60" s="37"/>
      <c r="N60" s="37"/>
      <c r="O60" s="37"/>
      <c r="P60" s="37"/>
      <c r="Q60" s="35"/>
      <c r="R60" s="35"/>
      <c r="S60" s="35"/>
      <c r="T60" s="35"/>
      <c r="U60" s="35"/>
      <c r="V60" s="35"/>
      <c r="W60" s="35"/>
      <c r="X60" s="35"/>
      <c r="Y60" s="35"/>
      <c r="Z60" s="37"/>
      <c r="AA60" s="35"/>
      <c r="AB60" s="35"/>
      <c r="AC60" s="35"/>
      <c r="AD60" s="35"/>
      <c r="AE60" s="35"/>
      <c r="AF60" s="35"/>
      <c r="AG60" s="35"/>
      <c r="AH60" s="35"/>
      <c r="AI60" s="35"/>
      <c r="AJ60" s="35"/>
      <c r="AK60" s="35"/>
      <c r="AL60" s="35"/>
      <c r="AM60" s="35"/>
      <c r="AN60" s="35"/>
      <c r="AO60" s="35"/>
      <c r="AP60" s="35"/>
      <c r="AQ60" s="35"/>
      <c r="AR60" s="35"/>
      <c r="AS60" s="35"/>
      <c r="AT60" s="35"/>
      <c r="AU60" s="35"/>
      <c r="AV60" s="37"/>
      <c r="AW60" s="37"/>
      <c r="AX60" s="37"/>
      <c r="AY60" s="37"/>
      <c r="AZ60" s="37"/>
      <c r="BA60" s="37"/>
      <c r="BB60" s="37"/>
    </row>
    <row r="61" spans="1:54" s="5" customFormat="1" x14ac:dyDescent="0.25">
      <c r="A61" s="32"/>
      <c r="B61" s="32"/>
      <c r="C61" s="32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  <c r="AU61" s="36"/>
      <c r="AV61" s="36"/>
      <c r="AW61" s="36"/>
      <c r="AX61" s="36"/>
      <c r="AY61" s="36"/>
      <c r="AZ61" s="36"/>
      <c r="BA61" s="36"/>
      <c r="BB61" s="36"/>
    </row>
    <row r="62" spans="1:54" x14ac:dyDescent="0.25">
      <c r="A62" s="34"/>
      <c r="B62" s="34"/>
      <c r="C62" s="34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37"/>
      <c r="AE62" s="37"/>
      <c r="AF62" s="37"/>
      <c r="AG62" s="37"/>
      <c r="AH62" s="37"/>
      <c r="AI62" s="37"/>
      <c r="AJ62" s="37"/>
      <c r="AK62" s="37"/>
      <c r="AL62" s="37"/>
      <c r="AM62" s="37"/>
      <c r="AN62" s="37"/>
      <c r="AO62" s="37"/>
      <c r="AP62" s="37"/>
      <c r="AQ62" s="37"/>
      <c r="AR62" s="37"/>
      <c r="AS62" s="37"/>
      <c r="AT62" s="37"/>
      <c r="AU62" s="37"/>
      <c r="AV62" s="37"/>
      <c r="AW62" s="37"/>
      <c r="AX62" s="37"/>
      <c r="AY62" s="37"/>
      <c r="AZ62" s="37"/>
      <c r="BA62" s="37"/>
      <c r="BB62" s="37"/>
    </row>
    <row r="63" spans="1:54" s="5" customFormat="1" x14ac:dyDescent="0.25">
      <c r="A63" s="32"/>
      <c r="B63" s="32"/>
      <c r="C63" s="32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  <c r="AG63" s="33"/>
      <c r="AH63" s="33"/>
      <c r="AI63" s="33"/>
      <c r="AJ63" s="33"/>
      <c r="AK63" s="33"/>
      <c r="AL63" s="36"/>
      <c r="AM63" s="36"/>
      <c r="AN63" s="33"/>
      <c r="AO63" s="36"/>
      <c r="AP63" s="33"/>
      <c r="AQ63" s="33"/>
      <c r="AR63" s="33"/>
      <c r="AS63" s="36"/>
      <c r="AT63" s="36"/>
      <c r="AU63" s="33"/>
      <c r="AV63" s="33"/>
      <c r="AW63" s="33"/>
      <c r="AX63" s="33"/>
      <c r="AY63" s="33"/>
      <c r="AZ63" s="33"/>
      <c r="BA63" s="33"/>
      <c r="BB63" s="33"/>
    </row>
    <row r="64" spans="1:54" x14ac:dyDescent="0.25">
      <c r="A64" s="34"/>
      <c r="B64" s="34"/>
      <c r="C64" s="34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7"/>
      <c r="AF64" s="37"/>
      <c r="AG64" s="37"/>
      <c r="AH64" s="37"/>
      <c r="AI64" s="37"/>
      <c r="AJ64" s="37"/>
      <c r="AK64" s="37"/>
      <c r="AL64" s="37"/>
      <c r="AM64" s="37"/>
      <c r="AN64" s="37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</row>
    <row r="65" spans="1:54" s="5" customFormat="1" x14ac:dyDescent="0.25">
      <c r="A65" s="32"/>
      <c r="B65" s="32"/>
      <c r="C65" s="32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6"/>
      <c r="AE65" s="36"/>
      <c r="AF65" s="36"/>
      <c r="AG65" s="36"/>
      <c r="AH65" s="36"/>
      <c r="AI65" s="36"/>
      <c r="AJ65" s="36"/>
      <c r="AK65" s="36"/>
      <c r="AL65" s="36"/>
      <c r="AM65" s="36"/>
      <c r="AN65" s="36"/>
      <c r="AO65" s="36"/>
      <c r="AP65" s="36"/>
      <c r="AQ65" s="36"/>
      <c r="AR65" s="36"/>
      <c r="AS65" s="36"/>
      <c r="AT65" s="36"/>
      <c r="AU65" s="36"/>
      <c r="AV65" s="36"/>
      <c r="AW65" s="36"/>
      <c r="AX65" s="36"/>
      <c r="AY65" s="36"/>
      <c r="AZ65" s="36"/>
      <c r="BA65" s="36"/>
      <c r="BB65" s="36"/>
    </row>
    <row r="66" spans="1:54" x14ac:dyDescent="0.25">
      <c r="A66" s="34"/>
      <c r="B66" s="34"/>
      <c r="C66" s="34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  <c r="AE66" s="37"/>
      <c r="AF66" s="37"/>
      <c r="AG66" s="37"/>
      <c r="AH66" s="37"/>
      <c r="AI66" s="37"/>
      <c r="AJ66" s="37"/>
      <c r="AK66" s="37"/>
      <c r="AL66" s="37"/>
      <c r="AM66" s="37"/>
      <c r="AN66" s="37"/>
      <c r="AO66" s="37"/>
      <c r="AP66" s="37"/>
      <c r="AQ66" s="37"/>
      <c r="AR66" s="37"/>
      <c r="AS66" s="37"/>
      <c r="AT66" s="37"/>
      <c r="AU66" s="37"/>
      <c r="AV66" s="37"/>
      <c r="AW66" s="37"/>
      <c r="AX66" s="37"/>
      <c r="AY66" s="37"/>
      <c r="AZ66" s="37"/>
      <c r="BA66" s="37"/>
      <c r="BB66" s="37"/>
    </row>
    <row r="67" spans="1:54" s="5" customFormat="1" x14ac:dyDescent="0.25">
      <c r="A67" s="32"/>
      <c r="B67" s="32"/>
      <c r="C67" s="32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6"/>
      <c r="AD67" s="33"/>
      <c r="AE67" s="33"/>
      <c r="AF67" s="33"/>
      <c r="AG67" s="33"/>
      <c r="AH67" s="33"/>
      <c r="AI67" s="33"/>
      <c r="AJ67" s="33"/>
      <c r="AK67" s="33"/>
      <c r="AL67" s="33"/>
      <c r="AM67" s="33"/>
      <c r="AN67" s="33"/>
      <c r="AO67" s="36"/>
      <c r="AP67" s="33"/>
      <c r="AQ67" s="33"/>
      <c r="AR67" s="33"/>
      <c r="AS67" s="33"/>
      <c r="AT67" s="36"/>
      <c r="AU67" s="33"/>
      <c r="AV67" s="33"/>
      <c r="AW67" s="33"/>
      <c r="AX67" s="33"/>
      <c r="AY67" s="33"/>
      <c r="AZ67" s="33"/>
      <c r="BA67" s="33"/>
      <c r="BB67" s="33"/>
    </row>
    <row r="68" spans="1:54" x14ac:dyDescent="0.25">
      <c r="A68" s="34"/>
      <c r="B68" s="34"/>
      <c r="C68" s="34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  <c r="AS68" s="35"/>
      <c r="AT68" s="35"/>
      <c r="AU68" s="35"/>
      <c r="AV68" s="35"/>
      <c r="AW68" s="35"/>
      <c r="AX68" s="35"/>
      <c r="AY68" s="35"/>
      <c r="AZ68" s="35"/>
      <c r="BA68" s="35"/>
      <c r="BB68" s="35"/>
    </row>
    <row r="69" spans="1:54" s="5" customFormat="1" x14ac:dyDescent="0.25">
      <c r="A69" s="32"/>
      <c r="B69" s="32"/>
      <c r="C69" s="32"/>
      <c r="D69" s="36"/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6"/>
      <c r="AO69" s="36"/>
      <c r="AP69" s="36"/>
      <c r="AQ69" s="36"/>
      <c r="AR69" s="36"/>
      <c r="AS69" s="36"/>
      <c r="AT69" s="36"/>
      <c r="AU69" s="36"/>
      <c r="AV69" s="36"/>
      <c r="AW69" s="36"/>
      <c r="AX69" s="36"/>
      <c r="AY69" s="36"/>
      <c r="AZ69" s="36"/>
      <c r="BA69" s="36"/>
      <c r="BB69" s="36"/>
    </row>
    <row r="70" spans="1:54" x14ac:dyDescent="0.25">
      <c r="A70" s="34"/>
      <c r="B70" s="34"/>
      <c r="C70" s="34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5"/>
      <c r="AE70" s="35"/>
      <c r="AF70" s="35"/>
      <c r="AG70" s="35"/>
      <c r="AH70" s="35"/>
      <c r="AI70" s="35"/>
      <c r="AJ70" s="35"/>
      <c r="AK70" s="35"/>
      <c r="AL70" s="35"/>
      <c r="AM70" s="35"/>
      <c r="AN70" s="35"/>
      <c r="AO70" s="35"/>
      <c r="AP70" s="35"/>
      <c r="AQ70" s="35"/>
      <c r="AR70" s="35"/>
      <c r="AS70" s="35"/>
      <c r="AT70" s="35"/>
      <c r="AU70" s="37"/>
      <c r="AV70" s="37"/>
      <c r="AW70" s="37"/>
      <c r="AX70" s="37"/>
      <c r="AY70" s="37"/>
      <c r="AZ70" s="37"/>
      <c r="BA70" s="37"/>
      <c r="BB70" s="37"/>
    </row>
    <row r="71" spans="1:54" s="5" customFormat="1" x14ac:dyDescent="0.25">
      <c r="A71" s="32"/>
      <c r="B71" s="32"/>
      <c r="C71" s="32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  <c r="AG71" s="33"/>
      <c r="AH71" s="33"/>
      <c r="AI71" s="33"/>
      <c r="AJ71" s="33"/>
      <c r="AK71" s="33"/>
      <c r="AL71" s="33"/>
      <c r="AM71" s="33"/>
      <c r="AN71" s="33"/>
      <c r="AO71" s="33"/>
      <c r="AP71" s="33"/>
      <c r="AQ71" s="33"/>
      <c r="AR71" s="33"/>
      <c r="AS71" s="33"/>
      <c r="AT71" s="33"/>
      <c r="AU71" s="33"/>
      <c r="AV71" s="33"/>
      <c r="AW71" s="33"/>
      <c r="AX71" s="33"/>
      <c r="AY71" s="33"/>
      <c r="AZ71" s="33"/>
      <c r="BA71" s="33"/>
      <c r="BB71" s="33"/>
    </row>
    <row r="72" spans="1:54" x14ac:dyDescent="0.25">
      <c r="A72" s="34"/>
      <c r="B72" s="34"/>
      <c r="C72" s="34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35"/>
      <c r="AE72" s="35"/>
      <c r="AF72" s="35"/>
      <c r="AG72" s="35"/>
      <c r="AH72" s="35"/>
      <c r="AI72" s="35"/>
      <c r="AJ72" s="35"/>
      <c r="AK72" s="35"/>
      <c r="AL72" s="35"/>
      <c r="AM72" s="35"/>
      <c r="AN72" s="35"/>
      <c r="AO72" s="35"/>
      <c r="AP72" s="35"/>
      <c r="AQ72" s="35"/>
      <c r="AR72" s="35"/>
      <c r="AS72" s="35"/>
      <c r="AT72" s="35"/>
      <c r="AU72" s="35"/>
      <c r="AV72" s="35"/>
      <c r="AW72" s="35"/>
      <c r="AX72" s="35"/>
      <c r="AY72" s="35"/>
      <c r="AZ72" s="35"/>
      <c r="BA72" s="35"/>
      <c r="BB72" s="35"/>
    </row>
    <row r="73" spans="1:54" s="5" customFormat="1" x14ac:dyDescent="0.25">
      <c r="A73" s="32"/>
      <c r="B73" s="32"/>
      <c r="C73" s="32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  <c r="AN73" s="33"/>
      <c r="AO73" s="33"/>
      <c r="AP73" s="33"/>
      <c r="AQ73" s="36"/>
      <c r="AR73" s="33"/>
      <c r="AS73" s="33"/>
      <c r="AT73" s="33"/>
      <c r="AU73" s="36"/>
      <c r="AV73" s="36"/>
      <c r="AW73" s="36"/>
      <c r="AX73" s="36"/>
      <c r="AY73" s="36"/>
      <c r="AZ73" s="36"/>
      <c r="BA73" s="36"/>
      <c r="BB73" s="36"/>
    </row>
    <row r="74" spans="1:54" s="5" customFormat="1" x14ac:dyDescent="0.25">
      <c r="A74" s="34"/>
      <c r="B74" s="34"/>
      <c r="C74" s="34"/>
      <c r="D74" s="37"/>
      <c r="E74" s="37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  <c r="AE74" s="37"/>
      <c r="AF74" s="37"/>
      <c r="AG74" s="37"/>
      <c r="AH74" s="37"/>
      <c r="AI74" s="37"/>
      <c r="AJ74" s="37"/>
      <c r="AK74" s="37"/>
      <c r="AL74" s="37"/>
      <c r="AM74" s="37"/>
      <c r="AN74" s="37"/>
      <c r="AO74" s="37"/>
      <c r="AP74" s="37"/>
      <c r="AQ74" s="37"/>
      <c r="AR74" s="37"/>
      <c r="AS74" s="37"/>
      <c r="AT74" s="37"/>
      <c r="AU74" s="37"/>
      <c r="AV74" s="37"/>
      <c r="AW74" s="37"/>
      <c r="AX74" s="37"/>
      <c r="AY74" s="37"/>
      <c r="AZ74" s="37"/>
      <c r="BA74" s="37"/>
      <c r="BB74" s="37"/>
    </row>
    <row r="75" spans="1:54" x14ac:dyDescent="0.25">
      <c r="A75" s="34"/>
      <c r="B75" s="32"/>
      <c r="C75" s="32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3"/>
      <c r="AY75" s="33"/>
      <c r="AZ75" s="33"/>
      <c r="BA75" s="33"/>
      <c r="BB75" s="33"/>
    </row>
    <row r="76" spans="1:54" s="5" customFormat="1" x14ac:dyDescent="0.25">
      <c r="A76" s="34"/>
      <c r="B76" s="34"/>
      <c r="C76" s="34"/>
      <c r="D76" s="35"/>
      <c r="E76" s="35"/>
      <c r="F76" s="35"/>
      <c r="G76" s="35"/>
      <c r="H76" s="35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</row>
    <row r="77" spans="1:54" x14ac:dyDescent="0.25">
      <c r="A77" s="34"/>
      <c r="B77" s="32"/>
      <c r="C77" s="32"/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36"/>
      <c r="T77" s="36"/>
      <c r="U77" s="36"/>
      <c r="V77" s="36"/>
      <c r="W77" s="36"/>
      <c r="X77" s="36"/>
      <c r="Y77" s="36"/>
      <c r="Z77" s="36"/>
      <c r="AA77" s="36"/>
      <c r="AB77" s="36"/>
      <c r="AC77" s="36"/>
      <c r="AD77" s="36"/>
      <c r="AE77" s="36"/>
      <c r="AF77" s="36"/>
      <c r="AG77" s="36"/>
      <c r="AH77" s="36"/>
      <c r="AI77" s="36"/>
      <c r="AJ77" s="36"/>
      <c r="AK77" s="36"/>
      <c r="AL77" s="36"/>
      <c r="AM77" s="36"/>
      <c r="AN77" s="36"/>
      <c r="AO77" s="36"/>
      <c r="AP77" s="36"/>
      <c r="AQ77" s="36"/>
      <c r="AR77" s="36"/>
      <c r="AS77" s="36"/>
      <c r="AT77" s="36"/>
      <c r="AU77" s="36"/>
      <c r="AV77" s="36"/>
      <c r="AW77" s="36"/>
      <c r="AX77" s="36"/>
      <c r="AY77" s="36"/>
      <c r="AZ77" s="36"/>
      <c r="BA77" s="36"/>
      <c r="BB77" s="36"/>
    </row>
    <row r="78" spans="1:54" s="5" customFormat="1" x14ac:dyDescent="0.25">
      <c r="A78" s="32"/>
      <c r="B78" s="32"/>
      <c r="C78" s="32"/>
      <c r="D78" s="33"/>
      <c r="E78" s="33"/>
      <c r="F78" s="33"/>
      <c r="G78" s="33"/>
      <c r="H78" s="33"/>
      <c r="I78" s="33"/>
      <c r="J78" s="33"/>
      <c r="K78" s="33"/>
      <c r="L78" s="33"/>
      <c r="M78" s="36"/>
      <c r="N78" s="36"/>
      <c r="O78" s="36"/>
      <c r="P78" s="33"/>
      <c r="Q78" s="36"/>
      <c r="R78" s="36"/>
      <c r="S78" s="36"/>
      <c r="T78" s="36"/>
      <c r="U78" s="36"/>
      <c r="V78" s="36"/>
      <c r="W78" s="36"/>
      <c r="X78" s="36"/>
      <c r="Y78" s="36"/>
      <c r="Z78" s="36"/>
      <c r="AA78" s="36"/>
      <c r="AB78" s="36"/>
      <c r="AC78" s="36"/>
      <c r="AD78" s="36"/>
      <c r="AE78" s="36"/>
      <c r="AF78" s="36"/>
      <c r="AG78" s="36"/>
      <c r="AH78" s="36"/>
      <c r="AI78" s="36"/>
      <c r="AJ78" s="36"/>
      <c r="AK78" s="36"/>
      <c r="AL78" s="36"/>
      <c r="AM78" s="36"/>
      <c r="AN78" s="36"/>
      <c r="AO78" s="36"/>
      <c r="AP78" s="36"/>
      <c r="AQ78" s="36"/>
      <c r="AR78" s="36"/>
      <c r="AS78" s="36"/>
      <c r="AT78" s="36"/>
      <c r="AU78" s="36"/>
      <c r="AV78" s="36"/>
      <c r="AW78" s="36"/>
      <c r="AX78" s="36"/>
      <c r="AY78" s="36"/>
      <c r="AZ78" s="36"/>
      <c r="BA78" s="36"/>
      <c r="BB78" s="36"/>
    </row>
    <row r="79" spans="1:54" x14ac:dyDescent="0.25">
      <c r="A79" s="34"/>
      <c r="B79" s="34"/>
      <c r="C79" s="34"/>
      <c r="D79" s="37"/>
      <c r="E79" s="37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  <c r="Z79" s="37"/>
      <c r="AA79" s="37"/>
      <c r="AB79" s="37"/>
      <c r="AC79" s="37"/>
      <c r="AD79" s="37"/>
      <c r="AE79" s="37"/>
      <c r="AF79" s="37"/>
      <c r="AG79" s="37"/>
      <c r="AH79" s="37"/>
      <c r="AI79" s="37"/>
      <c r="AJ79" s="37"/>
      <c r="AK79" s="37"/>
      <c r="AL79" s="37"/>
      <c r="AM79" s="37"/>
      <c r="AN79" s="37"/>
      <c r="AO79" s="37"/>
      <c r="AP79" s="37"/>
      <c r="AQ79" s="37"/>
      <c r="AR79" s="37"/>
      <c r="AS79" s="37"/>
      <c r="AT79" s="37"/>
      <c r="AU79" s="37"/>
      <c r="AV79" s="37"/>
      <c r="AW79" s="37"/>
      <c r="AX79" s="37"/>
      <c r="AY79" s="37"/>
      <c r="AZ79" s="37"/>
      <c r="BA79" s="37"/>
      <c r="BB79" s="37"/>
    </row>
    <row r="80" spans="1:54" s="5" customFormat="1" x14ac:dyDescent="0.25">
      <c r="A80" s="32"/>
      <c r="B80" s="32"/>
      <c r="C80" s="32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36"/>
      <c r="AV80" s="33"/>
      <c r="AW80" s="33"/>
      <c r="AX80" s="33"/>
      <c r="AY80" s="33"/>
      <c r="AZ80" s="33"/>
      <c r="BA80" s="36"/>
      <c r="BB80" s="36"/>
    </row>
    <row r="81" spans="1:54" x14ac:dyDescent="0.25">
      <c r="A81" s="34"/>
      <c r="B81" s="34"/>
      <c r="C81" s="34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</row>
    <row r="82" spans="1:54" s="5" customFormat="1" x14ac:dyDescent="0.25">
      <c r="A82" s="32"/>
      <c r="B82" s="32"/>
      <c r="C82" s="32"/>
      <c r="D82" s="33"/>
      <c r="E82" s="33"/>
      <c r="F82" s="33"/>
      <c r="G82" s="33"/>
      <c r="H82" s="36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6"/>
      <c r="W82" s="36"/>
      <c r="X82" s="36"/>
      <c r="Y82" s="36"/>
      <c r="Z82" s="36"/>
      <c r="AA82" s="36"/>
      <c r="AB82" s="36"/>
      <c r="AC82" s="36"/>
      <c r="AD82" s="36"/>
      <c r="AE82" s="36"/>
      <c r="AF82" s="36"/>
      <c r="AG82" s="36"/>
      <c r="AH82" s="36"/>
      <c r="AI82" s="36"/>
      <c r="AJ82" s="36"/>
      <c r="AK82" s="36"/>
      <c r="AL82" s="36"/>
      <c r="AM82" s="36"/>
      <c r="AN82" s="36"/>
      <c r="AO82" s="36"/>
      <c r="AP82" s="36"/>
      <c r="AQ82" s="36"/>
      <c r="AR82" s="36"/>
      <c r="AS82" s="36"/>
      <c r="AT82" s="36"/>
      <c r="AU82" s="36"/>
      <c r="AV82" s="36"/>
      <c r="AW82" s="36"/>
      <c r="AX82" s="36"/>
      <c r="AY82" s="36"/>
      <c r="AZ82" s="36"/>
      <c r="BA82" s="36"/>
      <c r="BB82" s="36"/>
    </row>
    <row r="83" spans="1:54" x14ac:dyDescent="0.25">
      <c r="A83" s="34"/>
      <c r="B83" s="34"/>
      <c r="C83" s="34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7"/>
      <c r="R83" s="37"/>
      <c r="S83" s="35"/>
      <c r="T83" s="35"/>
      <c r="U83" s="35"/>
      <c r="V83" s="35"/>
      <c r="W83" s="35"/>
      <c r="X83" s="37"/>
      <c r="Y83" s="35"/>
      <c r="Z83" s="35"/>
      <c r="AA83" s="35"/>
      <c r="AB83" s="35"/>
      <c r="AC83" s="35"/>
      <c r="AD83" s="35"/>
      <c r="AE83" s="35"/>
      <c r="AF83" s="35"/>
      <c r="AG83" s="35"/>
      <c r="AH83" s="35"/>
      <c r="AI83" s="35"/>
      <c r="AJ83" s="37"/>
      <c r="AK83" s="35"/>
      <c r="AL83" s="37"/>
      <c r="AM83" s="35"/>
      <c r="AN83" s="35"/>
      <c r="AO83" s="37"/>
      <c r="AP83" s="35"/>
      <c r="AQ83" s="37"/>
      <c r="AR83" s="37"/>
      <c r="AS83" s="37"/>
      <c r="AT83" s="37"/>
      <c r="AU83" s="37"/>
      <c r="AV83" s="37"/>
      <c r="AW83" s="37"/>
      <c r="AX83" s="37"/>
      <c r="AY83" s="37"/>
      <c r="AZ83" s="37"/>
      <c r="BA83" s="37"/>
      <c r="BB83" s="37"/>
    </row>
    <row r="84" spans="1:54" s="5" customFormat="1" x14ac:dyDescent="0.25">
      <c r="A84" s="32"/>
      <c r="B84" s="32"/>
      <c r="C84" s="32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36"/>
      <c r="Y84" s="36"/>
      <c r="Z84" s="33"/>
      <c r="AA84" s="33"/>
      <c r="AB84" s="33"/>
      <c r="AC84" s="33"/>
      <c r="AD84" s="33"/>
      <c r="AE84" s="33"/>
      <c r="AF84" s="33"/>
      <c r="AG84" s="33"/>
      <c r="AH84" s="33"/>
      <c r="AI84" s="33"/>
      <c r="AJ84" s="33"/>
      <c r="AK84" s="33"/>
      <c r="AL84" s="33"/>
      <c r="AM84" s="33"/>
      <c r="AN84" s="33"/>
      <c r="AO84" s="33"/>
      <c r="AP84" s="33"/>
      <c r="AQ84" s="33"/>
      <c r="AR84" s="33"/>
      <c r="AS84" s="33"/>
      <c r="AT84" s="33"/>
      <c r="AU84" s="33"/>
      <c r="AV84" s="33"/>
      <c r="AW84" s="33"/>
      <c r="AX84" s="33"/>
      <c r="AY84" s="33"/>
      <c r="AZ84" s="33"/>
      <c r="BA84" s="33"/>
      <c r="BB84" s="36"/>
    </row>
    <row r="85" spans="1:54" x14ac:dyDescent="0.25">
      <c r="A85" s="34"/>
      <c r="B85" s="34"/>
      <c r="C85" s="34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</row>
    <row r="86" spans="1:54" s="5" customFormat="1" x14ac:dyDescent="0.25">
      <c r="A86" s="32"/>
      <c r="B86" s="32"/>
      <c r="C86" s="32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3"/>
      <c r="AY86" s="33"/>
      <c r="AZ86" s="33"/>
      <c r="BA86" s="33"/>
      <c r="BB86" s="33"/>
    </row>
    <row r="87" spans="1:54" x14ac:dyDescent="0.25">
      <c r="A87" s="34"/>
      <c r="B87" s="34"/>
      <c r="C87" s="34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35"/>
      <c r="U87" s="35"/>
      <c r="V87" s="35"/>
      <c r="W87" s="35"/>
      <c r="X87" s="35"/>
      <c r="Y87" s="35"/>
      <c r="Z87" s="35"/>
      <c r="AA87" s="35"/>
      <c r="AB87" s="35"/>
      <c r="AC87" s="35"/>
      <c r="AD87" s="35"/>
      <c r="AE87" s="35"/>
      <c r="AF87" s="35"/>
      <c r="AG87" s="35"/>
      <c r="AH87" s="35"/>
      <c r="AI87" s="35"/>
      <c r="AJ87" s="35"/>
      <c r="AK87" s="35"/>
      <c r="AL87" s="35"/>
      <c r="AM87" s="35"/>
      <c r="AN87" s="35"/>
      <c r="AO87" s="35"/>
      <c r="AP87" s="35"/>
      <c r="AQ87" s="35"/>
      <c r="AR87" s="35"/>
      <c r="AS87" s="35"/>
      <c r="AT87" s="35"/>
      <c r="AU87" s="35"/>
      <c r="AV87" s="35"/>
      <c r="AW87" s="35"/>
      <c r="AX87" s="35"/>
      <c r="AY87" s="35"/>
      <c r="AZ87" s="35"/>
      <c r="BA87" s="35"/>
      <c r="BB87" s="35"/>
    </row>
    <row r="88" spans="1:54" s="5" customFormat="1" x14ac:dyDescent="0.25">
      <c r="A88" s="32"/>
      <c r="B88" s="32"/>
      <c r="C88" s="32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  <c r="AL88" s="33"/>
      <c r="AM88" s="33"/>
      <c r="AN88" s="33"/>
      <c r="AO88" s="33"/>
      <c r="AP88" s="33"/>
      <c r="AQ88" s="33"/>
      <c r="AR88" s="33"/>
      <c r="AS88" s="33"/>
      <c r="AT88" s="33"/>
      <c r="AU88" s="33"/>
      <c r="AV88" s="33"/>
      <c r="AW88" s="33"/>
      <c r="AX88" s="33"/>
      <c r="AY88" s="33"/>
      <c r="AZ88" s="33"/>
      <c r="BA88" s="33"/>
      <c r="BB88" s="33"/>
    </row>
    <row r="89" spans="1:54" x14ac:dyDescent="0.25">
      <c r="A89" s="34"/>
      <c r="B89" s="34"/>
      <c r="C89" s="34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  <c r="AB89" s="35"/>
      <c r="AC89" s="37"/>
      <c r="AD89" s="35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7"/>
      <c r="AY89" s="37"/>
      <c r="AZ89" s="37"/>
      <c r="BA89" s="37"/>
      <c r="BB89" s="37"/>
    </row>
    <row r="90" spans="1:54" s="5" customFormat="1" x14ac:dyDescent="0.25">
      <c r="A90" s="32"/>
      <c r="B90" s="32"/>
      <c r="C90" s="32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3"/>
      <c r="AY90" s="33"/>
      <c r="AZ90" s="33"/>
      <c r="BA90" s="33"/>
      <c r="BB90" s="33"/>
    </row>
    <row r="91" spans="1:54" x14ac:dyDescent="0.25">
      <c r="A91" s="34"/>
      <c r="B91" s="34"/>
      <c r="C91" s="34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  <c r="AB91" s="35"/>
      <c r="AC91" s="35"/>
      <c r="AD91" s="35"/>
      <c r="AE91" s="35"/>
      <c r="AF91" s="35"/>
      <c r="AG91" s="35"/>
      <c r="AH91" s="35"/>
      <c r="AI91" s="35"/>
      <c r="AJ91" s="35"/>
      <c r="AK91" s="35"/>
      <c r="AL91" s="35"/>
      <c r="AM91" s="35"/>
      <c r="AN91" s="35"/>
      <c r="AO91" s="35"/>
      <c r="AP91" s="35"/>
      <c r="AQ91" s="35"/>
      <c r="AR91" s="35"/>
      <c r="AS91" s="35"/>
      <c r="AT91" s="35"/>
      <c r="AU91" s="35"/>
      <c r="AV91" s="37"/>
      <c r="AW91" s="37"/>
      <c r="AX91" s="37"/>
      <c r="AY91" s="37"/>
      <c r="AZ91" s="37"/>
      <c r="BA91" s="37"/>
      <c r="BB91" s="37"/>
    </row>
    <row r="92" spans="1:54" s="5" customFormat="1" x14ac:dyDescent="0.25">
      <c r="A92" s="32"/>
      <c r="B92" s="32"/>
      <c r="C92" s="32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6"/>
      <c r="AA92" s="33"/>
      <c r="AB92" s="33"/>
      <c r="AC92" s="33"/>
      <c r="AD92" s="36"/>
      <c r="AE92" s="36"/>
      <c r="AF92" s="36"/>
      <c r="AG92" s="36"/>
      <c r="AH92" s="36"/>
      <c r="AI92" s="36"/>
      <c r="AJ92" s="36"/>
      <c r="AK92" s="36"/>
      <c r="AL92" s="36"/>
      <c r="AM92" s="36"/>
      <c r="AN92" s="36"/>
      <c r="AO92" s="36"/>
      <c r="AP92" s="36"/>
      <c r="AQ92" s="36"/>
      <c r="AR92" s="36"/>
      <c r="AS92" s="36"/>
      <c r="AT92" s="36"/>
      <c r="AU92" s="36"/>
      <c r="AV92" s="36"/>
      <c r="AW92" s="36"/>
      <c r="AX92" s="36"/>
      <c r="AY92" s="36"/>
      <c r="AZ92" s="36"/>
      <c r="BA92" s="36"/>
      <c r="BB92" s="36"/>
    </row>
    <row r="93" spans="1:54" x14ac:dyDescent="0.25">
      <c r="A93" s="34"/>
      <c r="B93" s="34"/>
      <c r="C93" s="34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35"/>
      <c r="AI93" s="35"/>
      <c r="AJ93" s="35"/>
      <c r="AK93" s="35"/>
      <c r="AL93" s="35"/>
      <c r="AM93" s="35"/>
      <c r="AN93" s="35"/>
      <c r="AO93" s="35"/>
      <c r="AP93" s="35"/>
      <c r="AQ93" s="35"/>
      <c r="AR93" s="35"/>
      <c r="AS93" s="35"/>
      <c r="AT93" s="35"/>
      <c r="AU93" s="35"/>
      <c r="AV93" s="35"/>
      <c r="AW93" s="35"/>
      <c r="AX93" s="35"/>
      <c r="AY93" s="35"/>
      <c r="AZ93" s="35"/>
      <c r="BA93" s="35"/>
      <c r="BB93" s="35"/>
    </row>
    <row r="94" spans="1:54" s="5" customFormat="1" x14ac:dyDescent="0.25">
      <c r="A94" s="32"/>
      <c r="B94" s="32"/>
      <c r="C94" s="32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3"/>
      <c r="AQ94" s="33"/>
      <c r="AR94" s="33"/>
      <c r="AS94" s="33"/>
      <c r="AT94" s="33"/>
      <c r="AU94" s="33"/>
      <c r="AV94" s="33"/>
      <c r="AW94" s="33"/>
      <c r="AX94" s="33"/>
      <c r="AY94" s="33"/>
      <c r="AZ94" s="33"/>
      <c r="BA94" s="33"/>
      <c r="BB94" s="33"/>
    </row>
    <row r="95" spans="1:54" s="5" customFormat="1" x14ac:dyDescent="0.25">
      <c r="A95" s="34"/>
      <c r="B95" s="34"/>
      <c r="C95" s="34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  <c r="BB95" s="35"/>
    </row>
    <row r="96" spans="1:54" x14ac:dyDescent="0.25">
      <c r="A96" s="34"/>
      <c r="B96" s="32"/>
      <c r="C96" s="32"/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6"/>
      <c r="T96" s="36"/>
      <c r="U96" s="36"/>
      <c r="V96" s="36"/>
      <c r="W96" s="33"/>
      <c r="X96" s="33"/>
      <c r="Y96" s="33"/>
      <c r="Z96" s="36"/>
      <c r="AA96" s="33"/>
      <c r="AB96" s="36"/>
      <c r="AC96" s="36"/>
      <c r="AD96" s="36"/>
      <c r="AE96" s="33"/>
      <c r="AF96" s="33"/>
      <c r="AG96" s="33"/>
      <c r="AH96" s="36"/>
      <c r="AI96" s="33"/>
      <c r="AJ96" s="36"/>
      <c r="AK96" s="36"/>
      <c r="AL96" s="36"/>
      <c r="AM96" s="36"/>
      <c r="AN96" s="36"/>
      <c r="AO96" s="36"/>
      <c r="AP96" s="36"/>
      <c r="AQ96" s="36"/>
      <c r="AR96" s="36"/>
      <c r="AS96" s="36"/>
      <c r="AT96" s="36"/>
      <c r="AU96" s="36"/>
      <c r="AV96" s="36"/>
      <c r="AW96" s="36"/>
      <c r="AX96" s="36"/>
      <c r="AY96" s="36"/>
      <c r="AZ96" s="36"/>
      <c r="BA96" s="36"/>
      <c r="BB96" s="36"/>
    </row>
    <row r="97" spans="1:54" s="5" customFormat="1" x14ac:dyDescent="0.25">
      <c r="A97" s="34"/>
      <c r="B97" s="34"/>
      <c r="C97" s="34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AU97" s="35"/>
      <c r="AV97" s="35"/>
      <c r="AW97" s="35"/>
      <c r="AX97" s="35"/>
      <c r="AY97" s="35"/>
      <c r="AZ97" s="35"/>
      <c r="BA97" s="35"/>
      <c r="BB97" s="35"/>
    </row>
    <row r="98" spans="1:54" x14ac:dyDescent="0.25">
      <c r="A98" s="34"/>
      <c r="B98" s="32"/>
      <c r="C98" s="32"/>
      <c r="D98" s="33"/>
      <c r="E98" s="33"/>
      <c r="F98" s="33"/>
      <c r="G98" s="33"/>
      <c r="H98" s="33"/>
      <c r="I98" s="33"/>
      <c r="J98" s="36"/>
      <c r="K98" s="33"/>
      <c r="L98" s="36"/>
      <c r="M98" s="36"/>
      <c r="N98" s="36"/>
      <c r="O98" s="36"/>
      <c r="P98" s="36"/>
      <c r="Q98" s="36"/>
      <c r="R98" s="33"/>
      <c r="S98" s="36"/>
      <c r="T98" s="36"/>
      <c r="U98" s="36"/>
      <c r="V98" s="36"/>
      <c r="W98" s="36"/>
      <c r="X98" s="36"/>
      <c r="Y98" s="33"/>
      <c r="Z98" s="36"/>
      <c r="AA98" s="36"/>
      <c r="AB98" s="36"/>
      <c r="AC98" s="36"/>
      <c r="AD98" s="36"/>
      <c r="AE98" s="36"/>
      <c r="AF98" s="33"/>
      <c r="AG98" s="33"/>
      <c r="AH98" s="36"/>
      <c r="AI98" s="36"/>
      <c r="AJ98" s="36"/>
      <c r="AK98" s="36"/>
      <c r="AL98" s="36"/>
      <c r="AM98" s="36"/>
      <c r="AN98" s="36"/>
      <c r="AO98" s="36"/>
      <c r="AP98" s="36"/>
      <c r="AQ98" s="36"/>
      <c r="AR98" s="36"/>
      <c r="AS98" s="36"/>
      <c r="AT98" s="36"/>
      <c r="AU98" s="36"/>
      <c r="AV98" s="36"/>
      <c r="AW98" s="36"/>
      <c r="AX98" s="36"/>
      <c r="AY98" s="36"/>
      <c r="AZ98" s="36"/>
      <c r="BA98" s="36"/>
      <c r="BB98" s="36"/>
    </row>
    <row r="99" spans="1:54" s="5" customFormat="1" x14ac:dyDescent="0.25">
      <c r="A99" s="32"/>
      <c r="B99" s="32"/>
      <c r="C99" s="32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  <c r="AE99" s="36"/>
      <c r="AF99" s="36"/>
      <c r="AG99" s="36"/>
      <c r="AH99" s="36"/>
      <c r="AI99" s="36"/>
      <c r="AJ99" s="36"/>
      <c r="AK99" s="36"/>
      <c r="AL99" s="36"/>
      <c r="AM99" s="36"/>
      <c r="AN99" s="36"/>
      <c r="AO99" s="36"/>
      <c r="AP99" s="36"/>
      <c r="AQ99" s="36"/>
      <c r="AR99" s="36"/>
      <c r="AS99" s="36"/>
      <c r="AT99" s="36"/>
      <c r="AU99" s="36"/>
      <c r="AV99" s="36"/>
      <c r="AW99" s="36"/>
      <c r="AX99" s="36"/>
      <c r="AY99" s="36"/>
      <c r="AZ99" s="36"/>
      <c r="BA99" s="36"/>
      <c r="BB99" s="36"/>
    </row>
    <row r="100" spans="1:54" x14ac:dyDescent="0.25">
      <c r="A100" s="34"/>
      <c r="B100" s="34"/>
      <c r="C100" s="34"/>
      <c r="D100" s="35"/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R100" s="35"/>
      <c r="S100" s="35"/>
      <c r="T100" s="35"/>
      <c r="U100" s="35"/>
      <c r="V100" s="35"/>
      <c r="W100" s="35"/>
      <c r="X100" s="35"/>
      <c r="Y100" s="35"/>
      <c r="Z100" s="35"/>
      <c r="AA100" s="35"/>
      <c r="AB100" s="35"/>
      <c r="AC100" s="35"/>
      <c r="AD100" s="35"/>
      <c r="AE100" s="35"/>
      <c r="AF100" s="35"/>
      <c r="AG100" s="35"/>
      <c r="AH100" s="35"/>
      <c r="AI100" s="35"/>
      <c r="AJ100" s="35"/>
      <c r="AK100" s="35"/>
      <c r="AL100" s="35"/>
      <c r="AM100" s="35"/>
      <c r="AN100" s="35"/>
      <c r="AO100" s="35"/>
      <c r="AP100" s="35"/>
      <c r="AQ100" s="35"/>
      <c r="AR100" s="35"/>
      <c r="AS100" s="35"/>
      <c r="AT100" s="35"/>
      <c r="AU100" s="35"/>
      <c r="AV100" s="35"/>
      <c r="AW100" s="35"/>
      <c r="AX100" s="35"/>
      <c r="AY100" s="35"/>
      <c r="AZ100" s="35"/>
      <c r="BA100" s="35"/>
      <c r="BB100" s="35"/>
    </row>
    <row r="101" spans="1:54" s="5" customFormat="1" x14ac:dyDescent="0.25">
      <c r="A101" s="32"/>
      <c r="B101" s="32"/>
      <c r="C101" s="32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  <c r="AA101" s="36"/>
      <c r="AB101" s="36"/>
      <c r="AC101" s="36"/>
      <c r="AD101" s="36"/>
      <c r="AE101" s="36"/>
      <c r="AF101" s="36"/>
      <c r="AG101" s="36"/>
      <c r="AH101" s="36"/>
      <c r="AI101" s="36"/>
      <c r="AJ101" s="36"/>
      <c r="AK101" s="36"/>
      <c r="AL101" s="36"/>
      <c r="AM101" s="36"/>
      <c r="AN101" s="36"/>
      <c r="AO101" s="36"/>
      <c r="AP101" s="36"/>
      <c r="AQ101" s="36"/>
      <c r="AR101" s="36"/>
      <c r="AS101" s="36"/>
      <c r="AT101" s="36"/>
      <c r="AU101" s="36"/>
      <c r="AV101" s="36"/>
      <c r="AW101" s="36"/>
      <c r="AX101" s="36"/>
      <c r="AY101" s="36"/>
      <c r="AZ101" s="36"/>
      <c r="BA101" s="36"/>
      <c r="BB101" s="36"/>
    </row>
    <row r="102" spans="1:54" x14ac:dyDescent="0.25">
      <c r="A102" s="34"/>
      <c r="B102" s="34"/>
      <c r="C102" s="34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  <c r="AD102" s="37"/>
      <c r="AE102" s="37"/>
      <c r="AF102" s="37"/>
      <c r="AG102" s="37"/>
      <c r="AH102" s="37"/>
      <c r="AI102" s="37"/>
      <c r="AJ102" s="37"/>
      <c r="AK102" s="37"/>
      <c r="AL102" s="37"/>
      <c r="AM102" s="37"/>
      <c r="AN102" s="37"/>
      <c r="AO102" s="37"/>
      <c r="AP102" s="37"/>
      <c r="AQ102" s="37"/>
      <c r="AR102" s="37"/>
      <c r="AS102" s="37"/>
      <c r="AT102" s="37"/>
      <c r="AU102" s="37"/>
      <c r="AV102" s="37"/>
      <c r="AW102" s="37"/>
      <c r="AX102" s="37"/>
      <c r="AY102" s="37"/>
      <c r="AZ102" s="37"/>
      <c r="BA102" s="37"/>
      <c r="BB102" s="37"/>
    </row>
    <row r="103" spans="1:54" s="5" customFormat="1" x14ac:dyDescent="0.25">
      <c r="A103" s="32"/>
      <c r="B103" s="32"/>
      <c r="C103" s="32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  <c r="AJ103" s="36"/>
      <c r="AK103" s="36"/>
      <c r="AL103" s="36"/>
      <c r="AM103" s="36"/>
      <c r="AN103" s="36"/>
      <c r="AO103" s="36"/>
      <c r="AP103" s="36"/>
      <c r="AQ103" s="36"/>
      <c r="AR103" s="36"/>
      <c r="AS103" s="36"/>
      <c r="AT103" s="36"/>
      <c r="AU103" s="36"/>
      <c r="AV103" s="36"/>
      <c r="AW103" s="36"/>
      <c r="AX103" s="36"/>
      <c r="AY103" s="36"/>
      <c r="AZ103" s="36"/>
      <c r="BA103" s="36"/>
      <c r="BB103" s="36"/>
    </row>
    <row r="104" spans="1:54" x14ac:dyDescent="0.25">
      <c r="A104" s="34"/>
      <c r="B104" s="34"/>
      <c r="C104" s="34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7"/>
      <c r="R104" s="35"/>
      <c r="S104" s="35"/>
      <c r="T104" s="35"/>
      <c r="U104" s="35"/>
      <c r="V104" s="37"/>
      <c r="W104" s="37"/>
      <c r="X104" s="35"/>
      <c r="Y104" s="37"/>
      <c r="Z104" s="37"/>
      <c r="AA104" s="35"/>
      <c r="AB104" s="35"/>
      <c r="AC104" s="35"/>
      <c r="AD104" s="37"/>
      <c r="AE104" s="35"/>
      <c r="AF104" s="35"/>
      <c r="AG104" s="35"/>
      <c r="AH104" s="35"/>
      <c r="AI104" s="35"/>
      <c r="AJ104" s="35"/>
      <c r="AK104" s="35"/>
      <c r="AL104" s="37"/>
      <c r="AM104" s="37"/>
      <c r="AN104" s="35"/>
      <c r="AO104" s="35"/>
      <c r="AP104" s="35"/>
      <c r="AQ104" s="35"/>
      <c r="AR104" s="35"/>
      <c r="AS104" s="35"/>
      <c r="AT104" s="35"/>
      <c r="AU104" s="35"/>
      <c r="AV104" s="35"/>
      <c r="AW104" s="35"/>
      <c r="AX104" s="35"/>
      <c r="AY104" s="35"/>
      <c r="AZ104" s="35"/>
      <c r="BA104" s="37"/>
      <c r="BB104" s="37"/>
    </row>
    <row r="105" spans="1:54" s="5" customFormat="1" x14ac:dyDescent="0.25">
      <c r="A105" s="32"/>
      <c r="B105" s="32"/>
      <c r="C105" s="32"/>
      <c r="D105" s="33"/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  <c r="AA105" s="33"/>
      <c r="AB105" s="36"/>
      <c r="AC105" s="36"/>
      <c r="AD105" s="36"/>
      <c r="AE105" s="36"/>
      <c r="AF105" s="36"/>
      <c r="AG105" s="36"/>
      <c r="AH105" s="36"/>
      <c r="AI105" s="36"/>
      <c r="AJ105" s="36"/>
      <c r="AK105" s="36"/>
      <c r="AL105" s="36"/>
      <c r="AM105" s="33"/>
      <c r="AN105" s="36"/>
      <c r="AO105" s="36"/>
      <c r="AP105" s="36"/>
      <c r="AQ105" s="36"/>
      <c r="AR105" s="36"/>
      <c r="AS105" s="36"/>
      <c r="AT105" s="36"/>
      <c r="AU105" s="36"/>
      <c r="AV105" s="36"/>
      <c r="AW105" s="36"/>
      <c r="AX105" s="36"/>
      <c r="AY105" s="33"/>
      <c r="AZ105" s="33"/>
      <c r="BA105" s="33"/>
      <c r="BB105" s="33"/>
    </row>
    <row r="106" spans="1:54" x14ac:dyDescent="0.25">
      <c r="A106" s="34"/>
      <c r="B106" s="34"/>
      <c r="C106" s="34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  <c r="AD106" s="37"/>
      <c r="AE106" s="37"/>
      <c r="AF106" s="37"/>
      <c r="AG106" s="37"/>
      <c r="AH106" s="37"/>
      <c r="AI106" s="37"/>
      <c r="AJ106" s="37"/>
      <c r="AK106" s="37"/>
      <c r="AL106" s="37"/>
      <c r="AM106" s="37"/>
      <c r="AN106" s="37"/>
      <c r="AO106" s="37"/>
      <c r="AP106" s="37"/>
      <c r="AQ106" s="37"/>
      <c r="AR106" s="37"/>
      <c r="AS106" s="37"/>
      <c r="AT106" s="37"/>
      <c r="AU106" s="37"/>
      <c r="AV106" s="37"/>
      <c r="AW106" s="37"/>
      <c r="AX106" s="37"/>
      <c r="AY106" s="37"/>
      <c r="AZ106" s="37"/>
      <c r="BA106" s="37"/>
      <c r="BB106" s="37"/>
    </row>
    <row r="107" spans="1:54" s="5" customFormat="1" x14ac:dyDescent="0.25">
      <c r="A107" s="32"/>
      <c r="B107" s="32"/>
      <c r="C107" s="32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6"/>
      <c r="W107" s="36"/>
      <c r="X107" s="36"/>
      <c r="Y107" s="36"/>
      <c r="Z107" s="36"/>
      <c r="AA107" s="36"/>
      <c r="AB107" s="36"/>
      <c r="AC107" s="36"/>
      <c r="AD107" s="36"/>
      <c r="AE107" s="36"/>
      <c r="AF107" s="36"/>
      <c r="AG107" s="36"/>
      <c r="AH107" s="36"/>
      <c r="AI107" s="36"/>
      <c r="AJ107" s="36"/>
      <c r="AK107" s="36"/>
      <c r="AL107" s="36"/>
      <c r="AM107" s="36"/>
      <c r="AN107" s="36"/>
      <c r="AO107" s="36"/>
      <c r="AP107" s="36"/>
      <c r="AQ107" s="36"/>
      <c r="AR107" s="36"/>
      <c r="AS107" s="36"/>
      <c r="AT107" s="36"/>
      <c r="AU107" s="36"/>
      <c r="AV107" s="36"/>
      <c r="AW107" s="36"/>
      <c r="AX107" s="36"/>
      <c r="AY107" s="36"/>
      <c r="AZ107" s="36"/>
      <c r="BA107" s="36"/>
      <c r="BB107" s="36"/>
    </row>
    <row r="108" spans="1:54" x14ac:dyDescent="0.25">
      <c r="A108" s="34"/>
      <c r="B108" s="34"/>
      <c r="C108" s="34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7"/>
      <c r="Q108" s="37"/>
      <c r="R108" s="35"/>
      <c r="S108" s="35"/>
      <c r="T108" s="35"/>
      <c r="U108" s="37"/>
      <c r="V108" s="37"/>
      <c r="W108" s="37"/>
      <c r="X108" s="37"/>
      <c r="Y108" s="37"/>
      <c r="Z108" s="37"/>
      <c r="AA108" s="35"/>
      <c r="AB108" s="35"/>
      <c r="AC108" s="35"/>
      <c r="AD108" s="35"/>
      <c r="AE108" s="35"/>
      <c r="AF108" s="37"/>
      <c r="AG108" s="37"/>
      <c r="AH108" s="37"/>
      <c r="AI108" s="37"/>
      <c r="AJ108" s="35"/>
      <c r="AK108" s="35"/>
      <c r="AL108" s="37"/>
      <c r="AM108" s="37"/>
      <c r="AN108" s="37"/>
      <c r="AO108" s="37"/>
      <c r="AP108" s="35"/>
      <c r="AQ108" s="35"/>
      <c r="AR108" s="35"/>
      <c r="AS108" s="35"/>
      <c r="AT108" s="37"/>
      <c r="AU108" s="37"/>
      <c r="AV108" s="37"/>
      <c r="AW108" s="37"/>
      <c r="AX108" s="37"/>
      <c r="AY108" s="37"/>
      <c r="AZ108" s="37"/>
      <c r="BA108" s="37"/>
      <c r="BB108" s="37"/>
    </row>
    <row r="109" spans="1:54" s="5" customFormat="1" x14ac:dyDescent="0.25">
      <c r="A109" s="32"/>
      <c r="B109" s="32"/>
      <c r="C109" s="32"/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6"/>
      <c r="AD109" s="36"/>
      <c r="AE109" s="36"/>
      <c r="AF109" s="36"/>
      <c r="AG109" s="33"/>
      <c r="AH109" s="33"/>
      <c r="AI109" s="33"/>
      <c r="AJ109" s="33"/>
      <c r="AK109" s="33"/>
      <c r="AL109" s="33"/>
      <c r="AM109" s="33"/>
      <c r="AN109" s="33"/>
      <c r="AO109" s="33"/>
      <c r="AP109" s="33"/>
      <c r="AQ109" s="36"/>
      <c r="AR109" s="33"/>
      <c r="AS109" s="33"/>
      <c r="AT109" s="33"/>
      <c r="AU109" s="33"/>
      <c r="AV109" s="33"/>
      <c r="AW109" s="33"/>
      <c r="AX109" s="33"/>
      <c r="AY109" s="33"/>
      <c r="AZ109" s="33"/>
      <c r="BA109" s="33"/>
      <c r="BB109" s="33"/>
    </row>
    <row r="110" spans="1:54" x14ac:dyDescent="0.25">
      <c r="A110" s="34"/>
      <c r="B110" s="34"/>
      <c r="C110" s="34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  <c r="AD110" s="37"/>
      <c r="AE110" s="37"/>
      <c r="AF110" s="37"/>
      <c r="AG110" s="37"/>
      <c r="AH110" s="37"/>
      <c r="AI110" s="37"/>
      <c r="AJ110" s="37"/>
      <c r="AK110" s="37"/>
      <c r="AL110" s="37"/>
      <c r="AM110" s="37"/>
      <c r="AN110" s="37"/>
      <c r="AO110" s="37"/>
      <c r="AP110" s="37"/>
      <c r="AQ110" s="37"/>
      <c r="AR110" s="37"/>
      <c r="AS110" s="37"/>
      <c r="AT110" s="37"/>
      <c r="AU110" s="37"/>
      <c r="AV110" s="37"/>
      <c r="AW110" s="37"/>
      <c r="AX110" s="37"/>
      <c r="AY110" s="37"/>
      <c r="AZ110" s="37"/>
      <c r="BA110" s="37"/>
      <c r="BB110" s="37"/>
    </row>
    <row r="111" spans="1:54" s="5" customFormat="1" x14ac:dyDescent="0.25">
      <c r="A111" s="32"/>
      <c r="B111" s="32"/>
      <c r="C111" s="32"/>
      <c r="D111" s="33"/>
      <c r="E111" s="33"/>
      <c r="F111" s="33"/>
      <c r="G111" s="33"/>
      <c r="H111" s="36"/>
      <c r="I111" s="36"/>
      <c r="J111" s="36"/>
      <c r="K111" s="36"/>
      <c r="L111" s="36"/>
      <c r="M111" s="36"/>
      <c r="N111" s="36"/>
      <c r="O111" s="36"/>
      <c r="P111" s="36"/>
      <c r="Q111" s="36"/>
      <c r="R111" s="36"/>
      <c r="S111" s="36"/>
      <c r="T111" s="36"/>
      <c r="U111" s="36"/>
      <c r="V111" s="36"/>
      <c r="W111" s="36"/>
      <c r="X111" s="36"/>
      <c r="Y111" s="36"/>
      <c r="Z111" s="36"/>
      <c r="AA111" s="36"/>
      <c r="AB111" s="36"/>
      <c r="AC111" s="36"/>
      <c r="AD111" s="36"/>
      <c r="AE111" s="36"/>
      <c r="AF111" s="36"/>
      <c r="AG111" s="36"/>
      <c r="AH111" s="36"/>
      <c r="AI111" s="36"/>
      <c r="AJ111" s="36"/>
      <c r="AK111" s="36"/>
      <c r="AL111" s="36"/>
      <c r="AM111" s="36"/>
      <c r="AN111" s="36"/>
      <c r="AO111" s="36"/>
      <c r="AP111" s="36"/>
      <c r="AQ111" s="36"/>
      <c r="AR111" s="36"/>
      <c r="AS111" s="36"/>
      <c r="AT111" s="36"/>
      <c r="AU111" s="36"/>
      <c r="AV111" s="36"/>
      <c r="AW111" s="36"/>
      <c r="AX111" s="36"/>
      <c r="AY111" s="36"/>
      <c r="AZ111" s="36"/>
      <c r="BA111" s="36"/>
      <c r="BB111" s="36"/>
    </row>
    <row r="112" spans="1:54" x14ac:dyDescent="0.25">
      <c r="A112" s="34"/>
      <c r="B112" s="34"/>
      <c r="C112" s="34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35"/>
      <c r="AE112" s="35"/>
      <c r="AF112" s="35"/>
      <c r="AG112" s="35"/>
      <c r="AH112" s="35"/>
      <c r="AI112" s="35"/>
      <c r="AJ112" s="35"/>
      <c r="AK112" s="35"/>
      <c r="AL112" s="35"/>
      <c r="AM112" s="35"/>
      <c r="AN112" s="37"/>
      <c r="AO112" s="37"/>
      <c r="AP112" s="37"/>
      <c r="AQ112" s="37"/>
      <c r="AR112" s="37"/>
      <c r="AS112" s="37"/>
      <c r="AT112" s="37"/>
      <c r="AU112" s="37"/>
      <c r="AV112" s="37"/>
      <c r="AW112" s="37"/>
      <c r="AX112" s="37"/>
      <c r="AY112" s="37"/>
      <c r="AZ112" s="37"/>
      <c r="BA112" s="37"/>
      <c r="BB112" s="37"/>
    </row>
    <row r="113" spans="1:54" s="5" customFormat="1" x14ac:dyDescent="0.25">
      <c r="A113" s="32"/>
      <c r="B113" s="32"/>
      <c r="C113" s="32"/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  <c r="AA113" s="33"/>
      <c r="AB113" s="36"/>
      <c r="AC113" s="36"/>
      <c r="AD113" s="36"/>
      <c r="AE113" s="36"/>
      <c r="AF113" s="36"/>
      <c r="AG113" s="36"/>
      <c r="AH113" s="36"/>
      <c r="AI113" s="36"/>
      <c r="AJ113" s="33"/>
      <c r="AK113" s="36"/>
      <c r="AL113" s="33"/>
      <c r="AM113" s="33"/>
      <c r="AN113" s="33"/>
      <c r="AO113" s="33"/>
      <c r="AP113" s="33"/>
      <c r="AQ113" s="33"/>
      <c r="AR113" s="33"/>
      <c r="AS113" s="33"/>
      <c r="AT113" s="33"/>
      <c r="AU113" s="33"/>
      <c r="AV113" s="33"/>
      <c r="AW113" s="33"/>
      <c r="AX113" s="33"/>
      <c r="AY113" s="33"/>
      <c r="AZ113" s="33"/>
      <c r="BA113" s="33"/>
      <c r="BB113" s="33"/>
    </row>
    <row r="114" spans="1:54" x14ac:dyDescent="0.25">
      <c r="A114" s="34"/>
      <c r="B114" s="34"/>
      <c r="C114" s="34"/>
      <c r="D114" s="35"/>
      <c r="E114" s="35"/>
      <c r="F114" s="35"/>
      <c r="G114" s="35"/>
      <c r="H114" s="37"/>
      <c r="I114" s="37"/>
      <c r="J114" s="37"/>
      <c r="K114" s="37"/>
      <c r="L114" s="37"/>
      <c r="M114" s="37"/>
      <c r="N114" s="37"/>
      <c r="O114" s="37"/>
      <c r="P114" s="37"/>
      <c r="Q114" s="37"/>
      <c r="R114" s="37"/>
      <c r="S114" s="37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  <c r="AD114" s="37"/>
      <c r="AE114" s="37"/>
      <c r="AF114" s="37"/>
      <c r="AG114" s="37"/>
      <c r="AH114" s="37"/>
      <c r="AI114" s="37"/>
      <c r="AJ114" s="37"/>
      <c r="AK114" s="37"/>
      <c r="AL114" s="37"/>
      <c r="AM114" s="37"/>
      <c r="AN114" s="37"/>
      <c r="AO114" s="37"/>
      <c r="AP114" s="37"/>
      <c r="AQ114" s="37"/>
      <c r="AR114" s="37"/>
      <c r="AS114" s="37"/>
      <c r="AT114" s="37"/>
      <c r="AU114" s="37"/>
      <c r="AV114" s="37"/>
      <c r="AW114" s="37"/>
      <c r="AX114" s="37"/>
      <c r="AY114" s="37"/>
      <c r="AZ114" s="37"/>
      <c r="BA114" s="37"/>
      <c r="BB114" s="37"/>
    </row>
    <row r="115" spans="1:54" s="5" customFormat="1" x14ac:dyDescent="0.25">
      <c r="A115" s="32"/>
      <c r="B115" s="32"/>
      <c r="C115" s="32"/>
      <c r="D115" s="36"/>
      <c r="E115" s="36"/>
      <c r="F115" s="36"/>
      <c r="G115" s="36"/>
      <c r="H115" s="36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36"/>
      <c r="AA115" s="36"/>
      <c r="AB115" s="36"/>
      <c r="AC115" s="36"/>
      <c r="AD115" s="36"/>
      <c r="AE115" s="36"/>
      <c r="AF115" s="36"/>
      <c r="AG115" s="36"/>
      <c r="AH115" s="36"/>
      <c r="AI115" s="36"/>
      <c r="AJ115" s="36"/>
      <c r="AK115" s="36"/>
      <c r="AL115" s="36"/>
      <c r="AM115" s="36"/>
      <c r="AN115" s="36"/>
      <c r="AO115" s="36"/>
      <c r="AP115" s="36"/>
      <c r="AQ115" s="36"/>
      <c r="AR115" s="36"/>
      <c r="AS115" s="36"/>
      <c r="AT115" s="36"/>
      <c r="AU115" s="36"/>
      <c r="AV115" s="36"/>
      <c r="AW115" s="36"/>
      <c r="AX115" s="36"/>
      <c r="AY115" s="36"/>
      <c r="AZ115" s="36"/>
      <c r="BA115" s="36"/>
      <c r="BB115" s="36"/>
    </row>
    <row r="116" spans="1:54" x14ac:dyDescent="0.25">
      <c r="A116" s="34"/>
      <c r="B116" s="34"/>
      <c r="C116" s="34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35"/>
      <c r="AE116" s="35"/>
      <c r="AF116" s="37"/>
      <c r="AG116" s="35"/>
      <c r="AH116" s="35"/>
      <c r="AI116" s="35"/>
      <c r="AJ116" s="35"/>
      <c r="AK116" s="35"/>
      <c r="AL116" s="37"/>
      <c r="AM116" s="35"/>
      <c r="AN116" s="35"/>
      <c r="AO116" s="35"/>
      <c r="AP116" s="35"/>
      <c r="AQ116" s="35"/>
      <c r="AR116" s="35"/>
      <c r="AS116" s="35"/>
      <c r="AT116" s="35"/>
      <c r="AU116" s="37"/>
      <c r="AV116" s="35"/>
      <c r="AW116" s="35"/>
      <c r="AX116" s="35"/>
      <c r="AY116" s="35"/>
      <c r="AZ116" s="35"/>
      <c r="BA116" s="35"/>
      <c r="BB116" s="35"/>
    </row>
    <row r="117" spans="1:54" s="5" customFormat="1" x14ac:dyDescent="0.25">
      <c r="A117" s="32"/>
      <c r="B117" s="32"/>
      <c r="C117" s="32"/>
      <c r="D117" s="33"/>
      <c r="E117" s="33"/>
      <c r="F117" s="33"/>
      <c r="G117" s="33"/>
      <c r="H117" s="33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3"/>
      <c r="T117" s="36"/>
      <c r="U117" s="36"/>
      <c r="V117" s="36"/>
      <c r="W117" s="36"/>
      <c r="X117" s="33"/>
      <c r="Y117" s="33"/>
      <c r="Z117" s="33"/>
      <c r="AA117" s="36"/>
      <c r="AB117" s="36"/>
      <c r="AC117" s="33"/>
      <c r="AD117" s="36"/>
      <c r="AE117" s="33"/>
      <c r="AF117" s="33"/>
      <c r="AG117" s="33"/>
      <c r="AH117" s="33"/>
      <c r="AI117" s="33"/>
      <c r="AJ117" s="36"/>
      <c r="AK117" s="36"/>
      <c r="AL117" s="33"/>
      <c r="AM117" s="33"/>
      <c r="AN117" s="33"/>
      <c r="AO117" s="36"/>
      <c r="AP117" s="36"/>
      <c r="AQ117" s="36"/>
      <c r="AR117" s="36"/>
      <c r="AS117" s="36"/>
      <c r="AT117" s="36"/>
      <c r="AU117" s="33"/>
      <c r="AV117" s="33"/>
      <c r="AW117" s="36"/>
      <c r="AX117" s="36"/>
      <c r="AY117" s="33"/>
      <c r="AZ117" s="33"/>
      <c r="BA117" s="33"/>
      <c r="BB117" s="33"/>
    </row>
    <row r="118" spans="1:54" x14ac:dyDescent="0.25">
      <c r="A118" s="34"/>
      <c r="B118" s="34"/>
      <c r="C118" s="34"/>
      <c r="D118" s="37"/>
      <c r="E118" s="37"/>
      <c r="F118" s="37"/>
      <c r="G118" s="37"/>
      <c r="H118" s="37"/>
      <c r="I118" s="37"/>
      <c r="J118" s="37"/>
      <c r="K118" s="37"/>
      <c r="L118" s="37"/>
      <c r="M118" s="37"/>
      <c r="N118" s="37"/>
      <c r="O118" s="37"/>
      <c r="P118" s="37"/>
      <c r="Q118" s="37"/>
      <c r="R118" s="37"/>
      <c r="S118" s="37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  <c r="AD118" s="37"/>
      <c r="AE118" s="37"/>
      <c r="AF118" s="37"/>
      <c r="AG118" s="37"/>
      <c r="AH118" s="37"/>
      <c r="AI118" s="37"/>
      <c r="AJ118" s="37"/>
      <c r="AK118" s="37"/>
      <c r="AL118" s="37"/>
      <c r="AM118" s="37"/>
      <c r="AN118" s="37"/>
      <c r="AO118" s="37"/>
      <c r="AP118" s="37"/>
      <c r="AQ118" s="37"/>
      <c r="AR118" s="37"/>
      <c r="AS118" s="37"/>
      <c r="AT118" s="37"/>
      <c r="AU118" s="37"/>
      <c r="AV118" s="37"/>
      <c r="AW118" s="37"/>
      <c r="AX118" s="37"/>
      <c r="AY118" s="37"/>
      <c r="AZ118" s="37"/>
      <c r="BA118" s="37"/>
      <c r="BB118" s="37"/>
    </row>
    <row r="119" spans="1:54" s="5" customFormat="1" x14ac:dyDescent="0.25">
      <c r="A119" s="32"/>
      <c r="B119" s="32"/>
      <c r="C119" s="32"/>
      <c r="D119" s="36"/>
      <c r="E119" s="36"/>
      <c r="F119" s="36"/>
      <c r="G119" s="36"/>
      <c r="H119" s="36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6"/>
      <c r="T119" s="36"/>
      <c r="U119" s="36"/>
      <c r="V119" s="36"/>
      <c r="W119" s="36"/>
      <c r="X119" s="36"/>
      <c r="Y119" s="36"/>
      <c r="Z119" s="36"/>
      <c r="AA119" s="36"/>
      <c r="AB119" s="36"/>
      <c r="AC119" s="36"/>
      <c r="AD119" s="36"/>
      <c r="AE119" s="36"/>
      <c r="AF119" s="36"/>
      <c r="AG119" s="36"/>
      <c r="AH119" s="36"/>
      <c r="AI119" s="36"/>
      <c r="AJ119" s="36"/>
      <c r="AK119" s="36"/>
      <c r="AL119" s="36"/>
      <c r="AM119" s="36"/>
      <c r="AN119" s="36"/>
      <c r="AO119" s="36"/>
      <c r="AP119" s="36"/>
      <c r="AQ119" s="36"/>
      <c r="AR119" s="36"/>
      <c r="AS119" s="36"/>
      <c r="AT119" s="36"/>
      <c r="AU119" s="36"/>
      <c r="AV119" s="36"/>
      <c r="AW119" s="36"/>
      <c r="AX119" s="36"/>
      <c r="AY119" s="36"/>
      <c r="AZ119" s="36"/>
      <c r="BA119" s="36"/>
      <c r="BB119" s="36"/>
    </row>
    <row r="120" spans="1:54" s="5" customFormat="1" x14ac:dyDescent="0.25">
      <c r="A120" s="32"/>
      <c r="B120" s="32"/>
      <c r="C120" s="32"/>
      <c r="D120" s="33"/>
      <c r="E120" s="33"/>
      <c r="F120" s="36"/>
      <c r="G120" s="36"/>
      <c r="H120" s="36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6"/>
      <c r="W120" s="36"/>
      <c r="X120" s="36"/>
      <c r="Y120" s="36"/>
      <c r="Z120" s="36"/>
      <c r="AA120" s="36"/>
      <c r="AB120" s="36"/>
      <c r="AC120" s="36"/>
      <c r="AD120" s="36"/>
      <c r="AE120" s="36"/>
      <c r="AF120" s="36"/>
      <c r="AG120" s="36"/>
      <c r="AH120" s="36"/>
      <c r="AI120" s="36"/>
      <c r="AJ120" s="36"/>
      <c r="AK120" s="36"/>
      <c r="AL120" s="36"/>
      <c r="AM120" s="36"/>
      <c r="AN120" s="36"/>
      <c r="AO120" s="36"/>
      <c r="AP120" s="36"/>
      <c r="AQ120" s="36"/>
      <c r="AR120" s="36"/>
      <c r="AS120" s="36"/>
      <c r="AT120" s="36"/>
      <c r="AU120" s="36"/>
      <c r="AV120" s="36"/>
      <c r="AW120" s="36"/>
      <c r="AX120" s="36"/>
      <c r="AY120" s="36"/>
      <c r="AZ120" s="36"/>
      <c r="BA120" s="36"/>
      <c r="BB120" s="36"/>
    </row>
    <row r="121" spans="1:54" x14ac:dyDescent="0.25">
      <c r="A121" s="34"/>
      <c r="B121" s="34"/>
      <c r="C121" s="34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  <c r="AA121" s="35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  <c r="AM121" s="35"/>
      <c r="AN121" s="35"/>
      <c r="AO121" s="35"/>
      <c r="AP121" s="35"/>
      <c r="AQ121" s="35"/>
      <c r="AR121" s="35"/>
      <c r="AS121" s="35"/>
      <c r="AT121" s="35"/>
      <c r="AU121" s="35"/>
      <c r="AV121" s="35"/>
      <c r="AW121" s="35"/>
      <c r="AX121" s="35"/>
      <c r="AY121" s="35"/>
      <c r="AZ121" s="35"/>
      <c r="BA121" s="35"/>
      <c r="BB121" s="35"/>
    </row>
    <row r="122" spans="1:54" s="5" customFormat="1" x14ac:dyDescent="0.25">
      <c r="A122" s="32"/>
      <c r="B122" s="32"/>
      <c r="C122" s="32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  <c r="AM122" s="33"/>
      <c r="AN122" s="33"/>
      <c r="AO122" s="33"/>
      <c r="AP122" s="33"/>
      <c r="AQ122" s="33"/>
      <c r="AR122" s="33"/>
      <c r="AS122" s="33"/>
      <c r="AT122" s="33"/>
      <c r="AU122" s="33"/>
      <c r="AV122" s="36"/>
      <c r="AW122" s="33"/>
      <c r="AX122" s="36"/>
      <c r="AY122" s="33"/>
      <c r="AZ122" s="33"/>
      <c r="BA122" s="33"/>
      <c r="BB122" s="33"/>
    </row>
    <row r="123" spans="1:54" x14ac:dyDescent="0.25">
      <c r="A123" s="34"/>
      <c r="B123" s="34"/>
      <c r="C123" s="34"/>
      <c r="D123" s="35"/>
      <c r="E123" s="35"/>
      <c r="F123" s="35"/>
      <c r="G123" s="35"/>
      <c r="H123" s="37"/>
      <c r="I123" s="35"/>
      <c r="J123" s="35"/>
      <c r="K123" s="35"/>
      <c r="L123" s="35"/>
      <c r="M123" s="37"/>
      <c r="N123" s="37"/>
      <c r="O123" s="37"/>
      <c r="P123" s="37"/>
      <c r="Q123" s="37"/>
      <c r="R123" s="37"/>
      <c r="S123" s="37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  <c r="AD123" s="37"/>
      <c r="AE123" s="37"/>
      <c r="AF123" s="37"/>
      <c r="AG123" s="37"/>
      <c r="AH123" s="37"/>
      <c r="AI123" s="37"/>
      <c r="AJ123" s="37"/>
      <c r="AK123" s="37"/>
      <c r="AL123" s="37"/>
      <c r="AM123" s="37"/>
      <c r="AN123" s="37"/>
      <c r="AO123" s="37"/>
      <c r="AP123" s="37"/>
      <c r="AQ123" s="37"/>
      <c r="AR123" s="37"/>
      <c r="AS123" s="37"/>
      <c r="AT123" s="37"/>
      <c r="AU123" s="37"/>
      <c r="AV123" s="37"/>
      <c r="AW123" s="37"/>
      <c r="AX123" s="37"/>
      <c r="AY123" s="37"/>
      <c r="AZ123" s="37"/>
      <c r="BA123" s="37"/>
      <c r="BB123" s="37"/>
    </row>
    <row r="124" spans="1:54" s="5" customFormat="1" x14ac:dyDescent="0.25">
      <c r="A124" s="32"/>
      <c r="B124" s="32"/>
      <c r="C124" s="32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  <c r="AM124" s="33"/>
      <c r="AN124" s="33"/>
      <c r="AO124" s="33"/>
      <c r="AP124" s="33"/>
      <c r="AQ124" s="33"/>
      <c r="AR124" s="33"/>
      <c r="AS124" s="33"/>
      <c r="AT124" s="33"/>
      <c r="AU124" s="33"/>
      <c r="AV124" s="33"/>
      <c r="AW124" s="33"/>
      <c r="AX124" s="33"/>
      <c r="AY124" s="33"/>
      <c r="AZ124" s="33"/>
      <c r="BA124" s="33"/>
      <c r="BB124" s="33"/>
    </row>
    <row r="125" spans="1:54" x14ac:dyDescent="0.25">
      <c r="A125" s="34"/>
      <c r="B125" s="34"/>
      <c r="C125" s="34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  <c r="AA125" s="35"/>
      <c r="AB125" s="35"/>
      <c r="AC125" s="35"/>
      <c r="AD125" s="35"/>
      <c r="AE125" s="35"/>
      <c r="AF125" s="35"/>
      <c r="AG125" s="35"/>
      <c r="AH125" s="35"/>
      <c r="AI125" s="35"/>
      <c r="AJ125" s="35"/>
      <c r="AK125" s="35"/>
      <c r="AL125" s="35"/>
      <c r="AM125" s="35"/>
      <c r="AN125" s="35"/>
      <c r="AO125" s="35"/>
      <c r="AP125" s="35"/>
      <c r="AQ125" s="35"/>
      <c r="AR125" s="35"/>
      <c r="AS125" s="35"/>
      <c r="AT125" s="35"/>
      <c r="AU125" s="35"/>
      <c r="AV125" s="35"/>
      <c r="AW125" s="35"/>
      <c r="AX125" s="35"/>
      <c r="AY125" s="35"/>
      <c r="AZ125" s="35"/>
      <c r="BA125" s="35"/>
      <c r="BB125" s="35"/>
    </row>
    <row r="126" spans="1:54" s="5" customFormat="1" x14ac:dyDescent="0.25">
      <c r="A126" s="32"/>
      <c r="B126" s="32"/>
      <c r="C126" s="32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  <c r="AF126" s="33"/>
      <c r="AG126" s="33"/>
      <c r="AH126" s="33"/>
      <c r="AI126" s="33"/>
      <c r="AJ126" s="33"/>
      <c r="AK126" s="33"/>
      <c r="AL126" s="33"/>
      <c r="AM126" s="33"/>
      <c r="AN126" s="33"/>
      <c r="AO126" s="33"/>
      <c r="AP126" s="33"/>
      <c r="AQ126" s="33"/>
      <c r="AR126" s="33"/>
      <c r="AS126" s="33"/>
      <c r="AT126" s="33"/>
      <c r="AU126" s="33"/>
      <c r="AV126" s="33"/>
      <c r="AW126" s="33"/>
      <c r="AX126" s="33"/>
      <c r="AY126" s="33"/>
      <c r="AZ126" s="33"/>
      <c r="BA126" s="33"/>
      <c r="BB126" s="33"/>
    </row>
    <row r="127" spans="1:54" x14ac:dyDescent="0.25">
      <c r="A127" s="34"/>
      <c r="B127" s="34"/>
      <c r="C127" s="34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35"/>
      <c r="AE127" s="35"/>
      <c r="AF127" s="35"/>
      <c r="AG127" s="35"/>
      <c r="AH127" s="35"/>
      <c r="AI127" s="35"/>
      <c r="AJ127" s="35"/>
      <c r="AK127" s="35"/>
      <c r="AL127" s="35"/>
      <c r="AM127" s="35"/>
      <c r="AN127" s="35"/>
      <c r="AO127" s="35"/>
      <c r="AP127" s="35"/>
      <c r="AQ127" s="35"/>
      <c r="AR127" s="35"/>
      <c r="AS127" s="35"/>
      <c r="AT127" s="35"/>
      <c r="AU127" s="35"/>
      <c r="AV127" s="35"/>
      <c r="AW127" s="35"/>
      <c r="AX127" s="35"/>
      <c r="AY127" s="35"/>
      <c r="AZ127" s="35"/>
      <c r="BA127" s="35"/>
      <c r="BB127" s="35"/>
    </row>
    <row r="128" spans="1:54" s="5" customFormat="1" x14ac:dyDescent="0.25">
      <c r="A128" s="34"/>
      <c r="B128" s="34"/>
      <c r="C128" s="34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35"/>
      <c r="AE128" s="35"/>
      <c r="AF128" s="35"/>
      <c r="AG128" s="35"/>
      <c r="AH128" s="35"/>
      <c r="AI128" s="35"/>
      <c r="AJ128" s="37"/>
      <c r="AK128" s="37"/>
      <c r="AL128" s="37"/>
      <c r="AM128" s="37"/>
      <c r="AN128" s="37"/>
      <c r="AO128" s="37"/>
      <c r="AP128" s="37"/>
      <c r="AQ128" s="37"/>
      <c r="AR128" s="37"/>
      <c r="AS128" s="37"/>
      <c r="AT128" s="37"/>
      <c r="AU128" s="37"/>
      <c r="AV128" s="37"/>
      <c r="AW128" s="37"/>
      <c r="AX128" s="37"/>
      <c r="AY128" s="37"/>
      <c r="AZ128" s="37"/>
      <c r="BA128" s="37"/>
      <c r="BB128" s="37"/>
    </row>
    <row r="129" spans="1:54" x14ac:dyDescent="0.25">
      <c r="A129" s="34"/>
      <c r="B129" s="32"/>
      <c r="C129" s="32"/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  <c r="AF129" s="33"/>
      <c r="AG129" s="33"/>
      <c r="AH129" s="33"/>
      <c r="AI129" s="33"/>
      <c r="AJ129" s="33"/>
      <c r="AK129" s="33"/>
      <c r="AL129" s="33"/>
      <c r="AM129" s="33"/>
      <c r="AN129" s="36"/>
      <c r="AO129" s="33"/>
      <c r="AP129" s="33"/>
      <c r="AQ129" s="33"/>
      <c r="AR129" s="33"/>
      <c r="AS129" s="36"/>
      <c r="AT129" s="36"/>
      <c r="AU129" s="33"/>
      <c r="AV129" s="33"/>
      <c r="AW129" s="36"/>
      <c r="AX129" s="33"/>
      <c r="AY129" s="36"/>
      <c r="AZ129" s="36"/>
      <c r="BA129" s="33"/>
      <c r="BB129" s="36"/>
    </row>
    <row r="130" spans="1:54" s="5" customFormat="1" x14ac:dyDescent="0.25">
      <c r="A130" s="34"/>
      <c r="B130" s="34"/>
      <c r="C130" s="34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35"/>
      <c r="AE130" s="35"/>
      <c r="AF130" s="35"/>
      <c r="AG130" s="35"/>
      <c r="AH130" s="35"/>
      <c r="AI130" s="35"/>
      <c r="AJ130" s="35"/>
      <c r="AK130" s="35"/>
      <c r="AL130" s="35"/>
      <c r="AM130" s="35"/>
      <c r="AN130" s="35"/>
      <c r="AO130" s="35"/>
      <c r="AP130" s="35"/>
      <c r="AQ130" s="35"/>
      <c r="AR130" s="35"/>
      <c r="AS130" s="35"/>
      <c r="AT130" s="35"/>
      <c r="AU130" s="35"/>
      <c r="AV130" s="35"/>
      <c r="AW130" s="35"/>
      <c r="AX130" s="35"/>
      <c r="AY130" s="35"/>
      <c r="AZ130" s="35"/>
      <c r="BA130" s="35"/>
      <c r="BB130" s="35"/>
    </row>
    <row r="131" spans="1:54" x14ac:dyDescent="0.25">
      <c r="A131" s="34"/>
      <c r="B131" s="32"/>
      <c r="C131" s="32"/>
      <c r="D131" s="33"/>
      <c r="E131" s="33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6"/>
      <c r="W131" s="36"/>
      <c r="X131" s="36"/>
      <c r="Y131" s="36"/>
      <c r="Z131" s="36"/>
      <c r="AA131" s="36"/>
      <c r="AB131" s="36"/>
      <c r="AC131" s="36"/>
      <c r="AD131" s="36"/>
      <c r="AE131" s="36"/>
      <c r="AF131" s="36"/>
      <c r="AG131" s="36"/>
      <c r="AH131" s="36"/>
      <c r="AI131" s="36"/>
      <c r="AJ131" s="36"/>
      <c r="AK131" s="36"/>
      <c r="AL131" s="36"/>
      <c r="AM131" s="36"/>
      <c r="AN131" s="36"/>
      <c r="AO131" s="36"/>
      <c r="AP131" s="36"/>
      <c r="AQ131" s="36"/>
      <c r="AR131" s="36"/>
      <c r="AS131" s="36"/>
      <c r="AT131" s="36"/>
      <c r="AU131" s="36"/>
      <c r="AV131" s="36"/>
      <c r="AW131" s="36"/>
      <c r="AX131" s="36"/>
      <c r="AY131" s="36"/>
      <c r="AZ131" s="36"/>
      <c r="BA131" s="36"/>
      <c r="BB131" s="36"/>
    </row>
    <row r="132" spans="1:54" x14ac:dyDescent="0.25">
      <c r="A132" s="34"/>
      <c r="B132" s="34"/>
      <c r="C132" s="34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  <c r="O132" s="37"/>
      <c r="P132" s="37"/>
      <c r="Q132" s="37"/>
      <c r="R132" s="37"/>
      <c r="S132" s="37"/>
      <c r="T132" s="37"/>
      <c r="U132" s="37"/>
      <c r="V132" s="37"/>
      <c r="W132" s="37"/>
      <c r="X132" s="37"/>
      <c r="Y132" s="37"/>
      <c r="Z132" s="37"/>
      <c r="AA132" s="37"/>
      <c r="AB132" s="37"/>
      <c r="AC132" s="37"/>
      <c r="AD132" s="37"/>
      <c r="AE132" s="37"/>
      <c r="AF132" s="37"/>
      <c r="AG132" s="37"/>
      <c r="AH132" s="37"/>
      <c r="AI132" s="37"/>
      <c r="AJ132" s="37"/>
      <c r="AK132" s="37"/>
      <c r="AL132" s="37"/>
      <c r="AM132" s="37"/>
      <c r="AN132" s="37"/>
      <c r="AO132" s="37"/>
      <c r="AP132" s="37"/>
      <c r="AQ132" s="37"/>
      <c r="AR132" s="37"/>
      <c r="AS132" s="37"/>
      <c r="AT132" s="37"/>
      <c r="AU132" s="37"/>
      <c r="AV132" s="37"/>
      <c r="AW132" s="37"/>
      <c r="AX132" s="37"/>
      <c r="AY132" s="37"/>
      <c r="AZ132" s="37"/>
      <c r="BA132" s="37"/>
      <c r="BB132" s="37"/>
    </row>
    <row r="133" spans="1:54" s="5" customFormat="1" x14ac:dyDescent="0.25">
      <c r="A133" s="32"/>
      <c r="B133" s="32"/>
      <c r="C133" s="32"/>
      <c r="D133" s="33"/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6"/>
      <c r="W133" s="36"/>
      <c r="X133" s="36"/>
      <c r="Y133" s="36"/>
      <c r="Z133" s="36"/>
      <c r="AA133" s="36"/>
      <c r="AB133" s="36"/>
      <c r="AC133" s="36"/>
      <c r="AD133" s="36"/>
      <c r="AE133" s="36"/>
      <c r="AF133" s="36"/>
      <c r="AG133" s="36"/>
      <c r="AH133" s="36"/>
      <c r="AI133" s="36"/>
      <c r="AJ133" s="36"/>
      <c r="AK133" s="36"/>
      <c r="AL133" s="36"/>
      <c r="AM133" s="36"/>
      <c r="AN133" s="36"/>
      <c r="AO133" s="36"/>
      <c r="AP133" s="36"/>
      <c r="AQ133" s="36"/>
      <c r="AR133" s="36"/>
      <c r="AS133" s="36"/>
      <c r="AT133" s="36"/>
      <c r="AU133" s="36"/>
      <c r="AV133" s="36"/>
      <c r="AW133" s="36"/>
      <c r="AX133" s="36"/>
      <c r="AY133" s="36"/>
      <c r="AZ133" s="36"/>
      <c r="BA133" s="36"/>
      <c r="BB133" s="36"/>
    </row>
    <row r="134" spans="1:54" x14ac:dyDescent="0.25">
      <c r="A134" s="34"/>
      <c r="B134" s="34"/>
      <c r="C134" s="34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35"/>
      <c r="AE134" s="35"/>
      <c r="AF134" s="35"/>
      <c r="AG134" s="35"/>
      <c r="AH134" s="35"/>
      <c r="AI134" s="35"/>
      <c r="AJ134" s="35"/>
      <c r="AK134" s="35"/>
      <c r="AL134" s="35"/>
      <c r="AM134" s="35"/>
      <c r="AN134" s="35"/>
      <c r="AO134" s="35"/>
      <c r="AP134" s="35"/>
      <c r="AQ134" s="35"/>
      <c r="AR134" s="35"/>
      <c r="AS134" s="35"/>
      <c r="AT134" s="35"/>
      <c r="AU134" s="35"/>
      <c r="AV134" s="35"/>
      <c r="AW134" s="35"/>
      <c r="AX134" s="35"/>
      <c r="AY134" s="35"/>
      <c r="AZ134" s="35"/>
      <c r="BA134" s="35"/>
      <c r="BB134" s="35"/>
    </row>
    <row r="135" spans="1:54" s="5" customFormat="1" x14ac:dyDescent="0.25">
      <c r="A135" s="32"/>
      <c r="B135" s="32"/>
      <c r="C135" s="32"/>
      <c r="D135" s="36"/>
      <c r="E135" s="36"/>
      <c r="F135" s="36"/>
      <c r="G135" s="36"/>
      <c r="H135" s="36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6"/>
      <c r="W135" s="36"/>
      <c r="X135" s="36"/>
      <c r="Y135" s="36"/>
      <c r="Z135" s="36"/>
      <c r="AA135" s="36"/>
      <c r="AB135" s="36"/>
      <c r="AC135" s="36"/>
      <c r="AD135" s="36"/>
      <c r="AE135" s="36"/>
      <c r="AF135" s="36"/>
      <c r="AG135" s="36"/>
      <c r="AH135" s="36"/>
      <c r="AI135" s="36"/>
      <c r="AJ135" s="36"/>
      <c r="AK135" s="36"/>
      <c r="AL135" s="36"/>
      <c r="AM135" s="36"/>
      <c r="AN135" s="36"/>
      <c r="AO135" s="36"/>
      <c r="AP135" s="36"/>
      <c r="AQ135" s="36"/>
      <c r="AR135" s="36"/>
      <c r="AS135" s="36"/>
      <c r="AT135" s="36"/>
      <c r="AU135" s="36"/>
      <c r="AV135" s="36"/>
      <c r="AW135" s="36"/>
      <c r="AX135" s="36"/>
      <c r="AY135" s="36"/>
      <c r="AZ135" s="36"/>
      <c r="BA135" s="36"/>
      <c r="BB135" s="36"/>
    </row>
    <row r="136" spans="1:54" x14ac:dyDescent="0.25">
      <c r="A136" s="34"/>
      <c r="B136" s="34"/>
      <c r="C136" s="34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35"/>
      <c r="AE136" s="35"/>
      <c r="AF136" s="35"/>
      <c r="AG136" s="35"/>
      <c r="AH136" s="35"/>
      <c r="AI136" s="35"/>
      <c r="AJ136" s="35"/>
      <c r="AK136" s="35"/>
      <c r="AL136" s="35"/>
      <c r="AM136" s="35"/>
      <c r="AN136" s="35"/>
      <c r="AO136" s="35"/>
      <c r="AP136" s="35"/>
      <c r="AQ136" s="37"/>
      <c r="AR136" s="37"/>
      <c r="AS136" s="37"/>
      <c r="AT136" s="37"/>
      <c r="AU136" s="37"/>
      <c r="AV136" s="37"/>
      <c r="AW136" s="37"/>
      <c r="AX136" s="37"/>
      <c r="AY136" s="37"/>
      <c r="AZ136" s="37"/>
      <c r="BA136" s="37"/>
      <c r="BB136" s="37"/>
    </row>
    <row r="137" spans="1:54" s="5" customFormat="1" x14ac:dyDescent="0.25">
      <c r="A137" s="32"/>
      <c r="B137" s="32"/>
      <c r="C137" s="32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F137" s="33"/>
      <c r="AG137" s="33"/>
      <c r="AH137" s="33"/>
      <c r="AI137" s="33"/>
      <c r="AJ137" s="33"/>
      <c r="AK137" s="33"/>
      <c r="AL137" s="33"/>
      <c r="AM137" s="33"/>
      <c r="AN137" s="33"/>
      <c r="AO137" s="33"/>
      <c r="AP137" s="33"/>
      <c r="AQ137" s="36"/>
      <c r="AR137" s="36"/>
      <c r="AS137" s="36"/>
      <c r="AT137" s="36"/>
      <c r="AU137" s="36"/>
      <c r="AV137" s="36"/>
      <c r="AW137" s="36"/>
      <c r="AX137" s="36"/>
      <c r="AY137" s="36"/>
      <c r="AZ137" s="36"/>
      <c r="BA137" s="36"/>
      <c r="BB137" s="36"/>
    </row>
    <row r="138" spans="1:54" x14ac:dyDescent="0.25">
      <c r="A138" s="34"/>
      <c r="B138" s="34"/>
      <c r="C138" s="34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35"/>
      <c r="AE138" s="35"/>
      <c r="AF138" s="35"/>
      <c r="AG138" s="35"/>
      <c r="AH138" s="35"/>
      <c r="AI138" s="35"/>
      <c r="AJ138" s="35"/>
      <c r="AK138" s="35"/>
      <c r="AL138" s="35"/>
      <c r="AM138" s="35"/>
      <c r="AN138" s="35"/>
      <c r="AO138" s="35"/>
      <c r="AP138" s="35"/>
      <c r="AQ138" s="37"/>
      <c r="AR138" s="35"/>
      <c r="AS138" s="37"/>
      <c r="AT138" s="35"/>
      <c r="AU138" s="35"/>
      <c r="AV138" s="35"/>
      <c r="AW138" s="35"/>
      <c r="AX138" s="35"/>
      <c r="AY138" s="35"/>
      <c r="AZ138" s="37"/>
      <c r="BA138" s="37"/>
      <c r="BB138" s="37"/>
    </row>
    <row r="139" spans="1:54" s="5" customFormat="1" x14ac:dyDescent="0.25">
      <c r="A139" s="32"/>
      <c r="B139" s="32"/>
      <c r="C139" s="32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F139" s="33"/>
      <c r="AG139" s="33"/>
      <c r="AH139" s="33"/>
      <c r="AI139" s="33"/>
      <c r="AJ139" s="33"/>
      <c r="AK139" s="33"/>
      <c r="AL139" s="33"/>
      <c r="AM139" s="33"/>
      <c r="AN139" s="33"/>
      <c r="AO139" s="33"/>
      <c r="AP139" s="33"/>
      <c r="AQ139" s="36"/>
      <c r="AR139" s="36"/>
      <c r="AS139" s="36"/>
      <c r="AT139" s="36"/>
      <c r="AU139" s="36"/>
      <c r="AV139" s="36"/>
      <c r="AW139" s="36"/>
      <c r="AX139" s="36"/>
      <c r="AY139" s="36"/>
      <c r="AZ139" s="36"/>
      <c r="BA139" s="36"/>
      <c r="BB139" s="36"/>
    </row>
    <row r="140" spans="1:54" x14ac:dyDescent="0.25">
      <c r="A140" s="34"/>
      <c r="B140" s="34"/>
      <c r="C140" s="34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  <c r="AE140" s="35"/>
      <c r="AF140" s="35"/>
      <c r="AG140" s="35"/>
      <c r="AH140" s="35"/>
      <c r="AI140" s="35"/>
      <c r="AJ140" s="35"/>
      <c r="AK140" s="35"/>
      <c r="AL140" s="35"/>
      <c r="AM140" s="35"/>
      <c r="AN140" s="35"/>
      <c r="AO140" s="35"/>
      <c r="AP140" s="35"/>
      <c r="AQ140" s="37"/>
      <c r="AR140" s="37"/>
      <c r="AS140" s="37"/>
      <c r="AT140" s="35"/>
      <c r="AU140" s="35"/>
      <c r="AV140" s="37"/>
      <c r="AW140" s="37"/>
      <c r="AX140" s="37"/>
      <c r="AY140" s="35"/>
      <c r="AZ140" s="35"/>
      <c r="BA140" s="35"/>
      <c r="BB140" s="37"/>
    </row>
    <row r="141" spans="1:54" s="5" customFormat="1" x14ac:dyDescent="0.25">
      <c r="A141" s="32"/>
      <c r="B141" s="32"/>
      <c r="C141" s="32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  <c r="AD141" s="33"/>
      <c r="AE141" s="33"/>
      <c r="AF141" s="33"/>
      <c r="AG141" s="33"/>
      <c r="AH141" s="33"/>
      <c r="AI141" s="33"/>
      <c r="AJ141" s="33"/>
      <c r="AK141" s="33"/>
      <c r="AL141" s="33"/>
      <c r="AM141" s="33"/>
      <c r="AN141" s="33"/>
      <c r="AO141" s="33"/>
      <c r="AP141" s="33"/>
      <c r="AQ141" s="36"/>
      <c r="AR141" s="36"/>
      <c r="AS141" s="36"/>
      <c r="AT141" s="36"/>
      <c r="AU141" s="36"/>
      <c r="AV141" s="36"/>
      <c r="AW141" s="36"/>
      <c r="AX141" s="36"/>
      <c r="AY141" s="36"/>
      <c r="AZ141" s="36"/>
      <c r="BA141" s="36"/>
      <c r="BB141" s="36"/>
    </row>
    <row r="142" spans="1:54" x14ac:dyDescent="0.25">
      <c r="A142" s="34"/>
      <c r="B142" s="34"/>
      <c r="C142" s="34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</row>
    <row r="143" spans="1:54" s="5" customFormat="1" x14ac:dyDescent="0.25">
      <c r="A143" s="32"/>
      <c r="B143" s="32"/>
      <c r="C143" s="32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F143" s="33"/>
      <c r="AG143" s="33"/>
      <c r="AH143" s="33"/>
      <c r="AI143" s="33"/>
      <c r="AJ143" s="33"/>
      <c r="AK143" s="33"/>
      <c r="AL143" s="33"/>
      <c r="AM143" s="33"/>
      <c r="AN143" s="33"/>
      <c r="AO143" s="33"/>
      <c r="AP143" s="33"/>
      <c r="AQ143" s="36"/>
      <c r="AR143" s="36"/>
      <c r="AS143" s="36"/>
      <c r="AT143" s="36"/>
      <c r="AU143" s="36"/>
      <c r="AV143" s="36"/>
      <c r="AW143" s="36"/>
      <c r="AX143" s="36"/>
      <c r="AY143" s="36"/>
      <c r="AZ143" s="36"/>
      <c r="BA143" s="36"/>
      <c r="BB143" s="36"/>
    </row>
    <row r="144" spans="1:54" x14ac:dyDescent="0.25">
      <c r="A144" s="34"/>
      <c r="B144" s="34"/>
      <c r="C144" s="34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  <c r="AM144" s="35"/>
      <c r="AN144" s="35"/>
      <c r="AO144" s="35"/>
      <c r="AP144" s="35"/>
      <c r="AQ144" s="37"/>
      <c r="AR144" s="37"/>
      <c r="AS144" s="37"/>
      <c r="AT144" s="37"/>
      <c r="AU144" s="37"/>
      <c r="AV144" s="37"/>
      <c r="AW144" s="37"/>
      <c r="AX144" s="37"/>
      <c r="AY144" s="37"/>
      <c r="AZ144" s="37"/>
      <c r="BA144" s="37"/>
      <c r="BB144" s="37"/>
    </row>
    <row r="145" spans="1:54" s="5" customFormat="1" x14ac:dyDescent="0.25">
      <c r="A145" s="32"/>
      <c r="B145" s="32"/>
      <c r="C145" s="32"/>
      <c r="D145" s="33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  <c r="AM145" s="33"/>
      <c r="AN145" s="33"/>
      <c r="AO145" s="33"/>
      <c r="AP145" s="33"/>
      <c r="AQ145" s="36"/>
      <c r="AR145" s="36"/>
      <c r="AS145" s="36"/>
      <c r="AT145" s="36"/>
      <c r="AU145" s="36"/>
      <c r="AV145" s="36"/>
      <c r="AW145" s="36"/>
      <c r="AX145" s="36"/>
      <c r="AY145" s="36"/>
      <c r="AZ145" s="36"/>
      <c r="BA145" s="36"/>
      <c r="BB145" s="36"/>
    </row>
    <row r="146" spans="1:54" x14ac:dyDescent="0.25">
      <c r="A146" s="34"/>
      <c r="B146" s="34"/>
      <c r="C146" s="34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</row>
    <row r="147" spans="1:54" s="5" customFormat="1" x14ac:dyDescent="0.25">
      <c r="A147" s="32"/>
      <c r="B147" s="32"/>
      <c r="C147" s="32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  <c r="AM147" s="33"/>
      <c r="AN147" s="33"/>
      <c r="AO147" s="33"/>
      <c r="AP147" s="33"/>
      <c r="AQ147" s="36"/>
      <c r="AR147" s="36"/>
      <c r="AS147" s="36"/>
      <c r="AT147" s="36"/>
      <c r="AU147" s="36"/>
      <c r="AV147" s="36"/>
      <c r="AW147" s="36"/>
      <c r="AX147" s="36"/>
      <c r="AY147" s="36"/>
      <c r="AZ147" s="36"/>
      <c r="BA147" s="36"/>
      <c r="BB147" s="36"/>
    </row>
    <row r="148" spans="1:54" x14ac:dyDescent="0.25">
      <c r="A148" s="34"/>
      <c r="B148" s="34"/>
      <c r="C148" s="34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</row>
    <row r="149" spans="1:54" s="5" customFormat="1" x14ac:dyDescent="0.25">
      <c r="A149" s="32"/>
      <c r="B149" s="32"/>
      <c r="C149" s="32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6"/>
      <c r="AV149" s="33"/>
      <c r="AW149" s="33"/>
      <c r="AX149" s="33"/>
      <c r="AY149" s="36"/>
      <c r="AZ149" s="33"/>
      <c r="BA149" s="33"/>
      <c r="BB149" s="33"/>
    </row>
    <row r="150" spans="1:54" x14ac:dyDescent="0.25">
      <c r="A150" s="34"/>
      <c r="B150" s="34"/>
      <c r="C150" s="34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</row>
    <row r="151" spans="1:54" s="5" customFormat="1" x14ac:dyDescent="0.25">
      <c r="A151" s="32"/>
      <c r="B151" s="32"/>
      <c r="C151" s="32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6"/>
      <c r="AV151" s="33"/>
      <c r="AW151" s="33"/>
      <c r="AX151" s="36"/>
      <c r="AY151" s="36"/>
      <c r="AZ151" s="33"/>
      <c r="BA151" s="33"/>
      <c r="BB151" s="36"/>
    </row>
    <row r="152" spans="1:54" x14ac:dyDescent="0.25">
      <c r="A152" s="34"/>
      <c r="B152" s="34"/>
      <c r="C152" s="34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7"/>
      <c r="AY152" s="37"/>
      <c r="AZ152" s="37"/>
      <c r="BA152" s="37"/>
      <c r="BB152" s="37"/>
    </row>
    <row r="153" spans="1:54" s="5" customFormat="1" x14ac:dyDescent="0.25">
      <c r="A153" s="34"/>
      <c r="B153" s="32"/>
      <c r="C153" s="32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36"/>
      <c r="AY153" s="36"/>
      <c r="AZ153" s="36"/>
      <c r="BA153" s="36"/>
      <c r="BB153" s="36"/>
    </row>
    <row r="154" spans="1:54" x14ac:dyDescent="0.25">
      <c r="A154" s="34"/>
      <c r="B154" s="34"/>
      <c r="C154" s="34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  <c r="AM154" s="35"/>
      <c r="AN154" s="35"/>
      <c r="AO154" s="35"/>
      <c r="AP154" s="35"/>
      <c r="AQ154" s="35"/>
      <c r="AR154" s="35"/>
      <c r="AS154" s="35"/>
      <c r="AT154" s="35"/>
      <c r="AU154" s="35"/>
      <c r="AV154" s="35"/>
      <c r="AW154" s="35"/>
      <c r="AX154" s="37"/>
      <c r="AY154" s="37"/>
      <c r="AZ154" s="37"/>
      <c r="BA154" s="37"/>
      <c r="BB154" s="37"/>
    </row>
    <row r="155" spans="1:54" s="5" customFormat="1" x14ac:dyDescent="0.25">
      <c r="A155" s="34"/>
      <c r="B155" s="32"/>
      <c r="C155" s="32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  <c r="AM155" s="33"/>
      <c r="AN155" s="33"/>
      <c r="AO155" s="33"/>
      <c r="AP155" s="33"/>
      <c r="AQ155" s="33"/>
      <c r="AR155" s="33"/>
      <c r="AS155" s="33"/>
      <c r="AT155" s="33"/>
      <c r="AU155" s="33"/>
      <c r="AV155" s="33"/>
      <c r="AW155" s="33"/>
      <c r="AX155" s="36"/>
      <c r="AY155" s="36"/>
      <c r="AZ155" s="36"/>
      <c r="BA155" s="36"/>
      <c r="BB155" s="36"/>
    </row>
    <row r="156" spans="1:54" s="5" customFormat="1" x14ac:dyDescent="0.25">
      <c r="A156" s="32"/>
      <c r="B156" s="32"/>
      <c r="C156" s="32"/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  <c r="AM156" s="33"/>
      <c r="AN156" s="33"/>
      <c r="AO156" s="33"/>
      <c r="AP156" s="33"/>
      <c r="AQ156" s="36"/>
      <c r="AR156" s="36"/>
      <c r="AS156" s="36"/>
      <c r="AT156" s="36"/>
      <c r="AU156" s="36"/>
      <c r="AV156" s="36"/>
      <c r="AW156" s="36"/>
      <c r="AX156" s="36"/>
      <c r="AY156" s="36"/>
      <c r="AZ156" s="36"/>
      <c r="BA156" s="36"/>
      <c r="BB156" s="36"/>
    </row>
    <row r="157" spans="1:54" x14ac:dyDescent="0.25">
      <c r="A157" s="34"/>
      <c r="B157" s="34"/>
      <c r="C157" s="34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  <c r="AM157" s="35"/>
      <c r="AN157" s="35"/>
      <c r="AO157" s="35"/>
      <c r="AP157" s="35"/>
      <c r="AQ157" s="37"/>
      <c r="AR157" s="37"/>
      <c r="AS157" s="37"/>
      <c r="AT157" s="37"/>
      <c r="AU157" s="37"/>
      <c r="AV157" s="37"/>
      <c r="AW157" s="37"/>
      <c r="AX157" s="37"/>
      <c r="AY157" s="37"/>
      <c r="AZ157" s="37"/>
      <c r="BA157" s="37"/>
      <c r="BB157" s="37"/>
    </row>
    <row r="158" spans="1:54" s="5" customFormat="1" x14ac:dyDescent="0.25">
      <c r="A158" s="32"/>
      <c r="B158" s="32"/>
      <c r="C158" s="32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F158" s="33"/>
      <c r="AG158" s="33"/>
      <c r="AH158" s="33"/>
      <c r="AI158" s="33"/>
      <c r="AJ158" s="33"/>
      <c r="AK158" s="33"/>
      <c r="AL158" s="33"/>
      <c r="AM158" s="33"/>
      <c r="AN158" s="33"/>
      <c r="AO158" s="33"/>
      <c r="AP158" s="33"/>
      <c r="AQ158" s="36"/>
      <c r="AR158" s="36"/>
      <c r="AS158" s="36"/>
      <c r="AT158" s="36"/>
      <c r="AU158" s="36"/>
      <c r="AV158" s="36"/>
      <c r="AW158" s="36"/>
      <c r="AX158" s="36"/>
      <c r="AY158" s="36"/>
      <c r="AZ158" s="36"/>
      <c r="BA158" s="36"/>
      <c r="BB158" s="36"/>
    </row>
    <row r="159" spans="1:54" x14ac:dyDescent="0.25">
      <c r="A159" s="34"/>
      <c r="B159" s="34"/>
      <c r="C159" s="34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  <c r="AM159" s="35"/>
      <c r="AN159" s="35"/>
      <c r="AO159" s="35"/>
      <c r="AP159" s="35"/>
      <c r="AQ159" s="37"/>
      <c r="AR159" s="37"/>
      <c r="AS159" s="37"/>
      <c r="AT159" s="37"/>
      <c r="AU159" s="37"/>
      <c r="AV159" s="37"/>
      <c r="AW159" s="37"/>
      <c r="AX159" s="37"/>
      <c r="AY159" s="37"/>
      <c r="AZ159" s="37"/>
      <c r="BA159" s="37"/>
      <c r="BB159" s="37"/>
    </row>
    <row r="160" spans="1:54" s="5" customFormat="1" x14ac:dyDescent="0.25">
      <c r="A160" s="32"/>
      <c r="B160" s="32"/>
      <c r="C160" s="32"/>
      <c r="D160" s="36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  <c r="W160" s="36"/>
      <c r="X160" s="36"/>
      <c r="Y160" s="36"/>
      <c r="Z160" s="36"/>
      <c r="AA160" s="36"/>
      <c r="AB160" s="36"/>
      <c r="AC160" s="36"/>
      <c r="AD160" s="36"/>
      <c r="AE160" s="36"/>
      <c r="AF160" s="36"/>
      <c r="AG160" s="36"/>
      <c r="AH160" s="36"/>
      <c r="AI160" s="36"/>
      <c r="AJ160" s="36"/>
      <c r="AK160" s="36"/>
      <c r="AL160" s="36"/>
      <c r="AM160" s="36"/>
      <c r="AN160" s="36"/>
      <c r="AO160" s="36"/>
      <c r="AP160" s="36"/>
      <c r="AQ160" s="36"/>
      <c r="AR160" s="36"/>
      <c r="AS160" s="36"/>
      <c r="AT160" s="36"/>
      <c r="AU160" s="36"/>
      <c r="AV160" s="36"/>
      <c r="AW160" s="36"/>
      <c r="AX160" s="36"/>
      <c r="AY160" s="36"/>
      <c r="AZ160" s="36"/>
      <c r="BA160" s="36"/>
      <c r="BB160" s="36"/>
    </row>
    <row r="161" spans="1:54" x14ac:dyDescent="0.25">
      <c r="A161" s="34"/>
      <c r="B161" s="34"/>
      <c r="C161" s="34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  <c r="AM161" s="35"/>
      <c r="AN161" s="35"/>
      <c r="AO161" s="35"/>
      <c r="AP161" s="35"/>
      <c r="AQ161" s="35"/>
      <c r="AR161" s="35"/>
      <c r="AS161" s="35"/>
      <c r="AT161" s="35"/>
      <c r="AU161" s="35"/>
      <c r="AV161" s="35"/>
      <c r="AW161" s="35"/>
      <c r="AX161" s="35"/>
      <c r="AY161" s="35"/>
      <c r="AZ161" s="35"/>
      <c r="BA161" s="35"/>
      <c r="BB161" s="35"/>
    </row>
    <row r="162" spans="1:54" s="5" customFormat="1" x14ac:dyDescent="0.25">
      <c r="A162" s="32"/>
      <c r="B162" s="32"/>
      <c r="C162" s="32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  <c r="AM162" s="33"/>
      <c r="AN162" s="33"/>
      <c r="AO162" s="33"/>
      <c r="AP162" s="33"/>
      <c r="AQ162" s="33"/>
      <c r="AR162" s="33"/>
      <c r="AS162" s="33"/>
      <c r="AT162" s="33"/>
      <c r="AU162" s="36"/>
      <c r="AV162" s="33"/>
      <c r="AW162" s="33"/>
      <c r="AX162" s="36"/>
      <c r="AY162" s="36"/>
      <c r="AZ162" s="36"/>
      <c r="BA162" s="36"/>
      <c r="BB162" s="36"/>
    </row>
    <row r="163" spans="1:54" x14ac:dyDescent="0.25">
      <c r="A163" s="34"/>
      <c r="B163" s="34"/>
      <c r="C163" s="34"/>
      <c r="D163" s="37"/>
      <c r="E163" s="37"/>
      <c r="F163" s="37"/>
      <c r="G163" s="37"/>
      <c r="H163" s="37"/>
      <c r="I163" s="37"/>
      <c r="J163" s="37"/>
      <c r="K163" s="37"/>
      <c r="L163" s="37"/>
      <c r="M163" s="37"/>
      <c r="N163" s="37"/>
      <c r="O163" s="37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  <c r="AA163" s="37"/>
      <c r="AB163" s="37"/>
      <c r="AC163" s="37"/>
      <c r="AD163" s="37"/>
      <c r="AE163" s="37"/>
      <c r="AF163" s="37"/>
      <c r="AG163" s="37"/>
      <c r="AH163" s="37"/>
      <c r="AI163" s="37"/>
      <c r="AJ163" s="37"/>
      <c r="AK163" s="37"/>
      <c r="AL163" s="37"/>
      <c r="AM163" s="37"/>
      <c r="AN163" s="37"/>
      <c r="AO163" s="37"/>
      <c r="AP163" s="37"/>
      <c r="AQ163" s="37"/>
      <c r="AR163" s="37"/>
      <c r="AS163" s="37"/>
      <c r="AT163" s="37"/>
      <c r="AU163" s="37"/>
      <c r="AV163" s="37"/>
      <c r="AW163" s="37"/>
      <c r="AX163" s="37"/>
      <c r="AY163" s="37"/>
      <c r="AZ163" s="37"/>
      <c r="BA163" s="37"/>
      <c r="BB163" s="37"/>
    </row>
    <row r="164" spans="1:54" s="5" customFormat="1" x14ac:dyDescent="0.25">
      <c r="A164" s="32"/>
      <c r="B164" s="32"/>
      <c r="C164" s="32"/>
      <c r="D164" s="36"/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  <c r="AA164" s="36"/>
      <c r="AB164" s="36"/>
      <c r="AC164" s="36"/>
      <c r="AD164" s="36"/>
      <c r="AE164" s="36"/>
      <c r="AF164" s="36"/>
      <c r="AG164" s="36"/>
      <c r="AH164" s="36"/>
      <c r="AI164" s="36"/>
      <c r="AJ164" s="36"/>
      <c r="AK164" s="36"/>
      <c r="AL164" s="36"/>
      <c r="AM164" s="36"/>
      <c r="AN164" s="36"/>
      <c r="AO164" s="36"/>
      <c r="AP164" s="36"/>
      <c r="AQ164" s="36"/>
      <c r="AR164" s="36"/>
      <c r="AS164" s="36"/>
      <c r="AT164" s="36"/>
      <c r="AU164" s="36"/>
      <c r="AV164" s="36"/>
      <c r="AW164" s="36"/>
      <c r="AX164" s="36"/>
      <c r="AY164" s="36"/>
      <c r="AZ164" s="36"/>
      <c r="BA164" s="36"/>
      <c r="BB164" s="36"/>
    </row>
    <row r="165" spans="1:54" x14ac:dyDescent="0.25">
      <c r="A165" s="34"/>
      <c r="B165" s="34"/>
      <c r="C165" s="34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  <c r="AM165" s="35"/>
      <c r="AN165" s="35"/>
      <c r="AO165" s="35"/>
      <c r="AP165" s="35"/>
      <c r="AQ165" s="37"/>
      <c r="AR165" s="37"/>
      <c r="AS165" s="37"/>
      <c r="AT165" s="37"/>
      <c r="AU165" s="35"/>
      <c r="AV165" s="37"/>
      <c r="AW165" s="35"/>
      <c r="AX165" s="35"/>
      <c r="AY165" s="35"/>
      <c r="AZ165" s="35"/>
      <c r="BA165" s="35"/>
      <c r="BB165" s="35"/>
    </row>
  </sheetData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61"/>
  <sheetViews>
    <sheetView zoomScaleNormal="100" workbookViewId="0">
      <pane xSplit="6" ySplit="15" topLeftCell="V19" activePane="bottomRight" state="frozen"/>
      <selection pane="topRight" activeCell="G1" sqref="G1"/>
      <selection pane="bottomLeft" activeCell="A16" sqref="A16"/>
      <selection pane="bottomRight" activeCell="AA6" sqref="AA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46" width="11.28515625" customWidth="1"/>
    <col min="47" max="47" width="11.28515625" hidden="1" customWidth="1"/>
    <col min="48" max="48" width="18" hidden="1" customWidth="1"/>
    <col min="49" max="53" width="9.140625" hidden="1" customWidth="1"/>
    <col min="54" max="54" width="0" hidden="1" customWidth="1"/>
    <col min="55" max="55" width="11.28515625" hidden="1" customWidth="1"/>
  </cols>
  <sheetData>
    <row r="1" spans="1:29" s="1" customFormat="1" ht="10.5" x14ac:dyDescent="0.15">
      <c r="A1" s="9" t="s">
        <v>0</v>
      </c>
      <c r="B1" s="10" t="s">
        <v>1</v>
      </c>
      <c r="C1" s="10" t="s">
        <v>2</v>
      </c>
      <c r="D1" s="10">
        <v>1988</v>
      </c>
      <c r="E1" s="10">
        <v>1989</v>
      </c>
      <c r="F1" s="10">
        <v>1990</v>
      </c>
      <c r="G1" s="10">
        <v>1991</v>
      </c>
      <c r="H1" s="10">
        <v>1992</v>
      </c>
      <c r="I1" s="10">
        <v>1993</v>
      </c>
      <c r="J1" s="10">
        <v>1994</v>
      </c>
      <c r="K1" s="10">
        <v>1995</v>
      </c>
      <c r="L1" s="10">
        <v>1996</v>
      </c>
      <c r="M1" s="10">
        <v>1997</v>
      </c>
      <c r="N1" s="10">
        <v>1998</v>
      </c>
      <c r="O1" s="10">
        <v>1999</v>
      </c>
      <c r="P1" s="10">
        <v>2000</v>
      </c>
      <c r="Q1" s="10">
        <v>2001</v>
      </c>
      <c r="R1" s="10">
        <v>2002</v>
      </c>
      <c r="S1" s="10">
        <v>2003</v>
      </c>
      <c r="T1" s="10">
        <v>2004</v>
      </c>
      <c r="U1" s="10">
        <v>2005</v>
      </c>
      <c r="V1" s="10">
        <v>2006</v>
      </c>
      <c r="W1" s="10">
        <v>2007</v>
      </c>
      <c r="X1" s="10">
        <v>2008</v>
      </c>
      <c r="Y1" s="10">
        <v>2009</v>
      </c>
      <c r="Z1" s="10">
        <v>2010</v>
      </c>
      <c r="AA1" s="10">
        <v>2011</v>
      </c>
      <c r="AB1" s="10">
        <v>2012</v>
      </c>
      <c r="AC1" s="10">
        <v>2013</v>
      </c>
    </row>
    <row r="2" spans="1:29" s="5" customFormat="1" x14ac:dyDescent="0.25">
      <c r="A2" s="14" t="s">
        <v>33</v>
      </c>
      <c r="B2" s="6" t="s">
        <v>5</v>
      </c>
      <c r="C2" s="6" t="s">
        <v>6</v>
      </c>
      <c r="D2" s="47">
        <v>421</v>
      </c>
      <c r="E2" s="47">
        <v>520</v>
      </c>
      <c r="F2" s="47">
        <v>460</v>
      </c>
      <c r="G2" s="47">
        <v>431</v>
      </c>
      <c r="H2" s="47">
        <v>431</v>
      </c>
      <c r="I2" s="47">
        <v>367</v>
      </c>
      <c r="J2" s="47">
        <v>404</v>
      </c>
      <c r="K2" s="47">
        <v>276</v>
      </c>
      <c r="L2" s="47">
        <v>181</v>
      </c>
      <c r="M2" s="47">
        <v>137</v>
      </c>
      <c r="N2" s="47">
        <v>139</v>
      </c>
      <c r="O2" s="47">
        <v>160</v>
      </c>
      <c r="P2" s="47">
        <v>165</v>
      </c>
      <c r="Q2" s="47">
        <v>55</v>
      </c>
      <c r="R2" s="47">
        <v>30</v>
      </c>
      <c r="S2" s="47">
        <v>150</v>
      </c>
      <c r="T2" s="47">
        <v>145</v>
      </c>
      <c r="U2" s="47">
        <v>155</v>
      </c>
      <c r="V2" s="47">
        <v>160</v>
      </c>
      <c r="W2" s="47">
        <v>160</v>
      </c>
      <c r="X2" s="47">
        <v>160</v>
      </c>
      <c r="Y2" s="47">
        <v>160</v>
      </c>
      <c r="Z2" s="47">
        <v>160</v>
      </c>
      <c r="AA2" s="47">
        <f>256289/1000</f>
        <v>256.28899999999999</v>
      </c>
      <c r="AB2" s="43">
        <f>328090/1000</f>
        <v>328.09</v>
      </c>
      <c r="AC2" s="43">
        <f>360112/1000</f>
        <v>360.11200000000002</v>
      </c>
    </row>
    <row r="3" spans="1:29" x14ac:dyDescent="0.25">
      <c r="A3" s="12"/>
      <c r="B3" s="2"/>
      <c r="C3" s="2" t="s">
        <v>7</v>
      </c>
      <c r="D3" s="44">
        <v>850</v>
      </c>
      <c r="E3" s="44">
        <v>670</v>
      </c>
      <c r="F3" s="44">
        <v>950</v>
      </c>
      <c r="G3" s="44">
        <v>890</v>
      </c>
      <c r="H3" s="44">
        <v>490</v>
      </c>
      <c r="I3" s="44">
        <v>200</v>
      </c>
      <c r="J3" s="44">
        <v>43</v>
      </c>
      <c r="K3" s="44">
        <v>0</v>
      </c>
      <c r="L3" s="44">
        <v>0</v>
      </c>
      <c r="M3" s="44">
        <v>0</v>
      </c>
      <c r="N3" s="44">
        <v>0</v>
      </c>
      <c r="O3" s="44">
        <v>0</v>
      </c>
      <c r="P3" s="44">
        <v>0</v>
      </c>
      <c r="Q3" s="44">
        <v>0</v>
      </c>
      <c r="R3" s="44">
        <v>0</v>
      </c>
      <c r="S3" s="44">
        <v>0</v>
      </c>
      <c r="T3" s="44">
        <v>0</v>
      </c>
      <c r="U3" s="44">
        <v>0</v>
      </c>
      <c r="V3" s="44">
        <v>0</v>
      </c>
      <c r="W3" s="44">
        <v>0</v>
      </c>
      <c r="X3" s="44">
        <v>5</v>
      </c>
      <c r="Y3" s="44">
        <v>25</v>
      </c>
      <c r="Z3" s="44">
        <v>10</v>
      </c>
      <c r="AA3" s="44">
        <f>50/1000</f>
        <v>0.05</v>
      </c>
      <c r="AB3" s="42"/>
      <c r="AC3" s="42"/>
    </row>
    <row r="4" spans="1:29" s="5" customFormat="1" x14ac:dyDescent="0.25">
      <c r="A4" s="14"/>
      <c r="B4" s="6"/>
      <c r="C4" s="6" t="s">
        <v>8</v>
      </c>
      <c r="D4" s="47">
        <v>0</v>
      </c>
      <c r="E4" s="47">
        <v>0</v>
      </c>
      <c r="F4" s="47">
        <v>0</v>
      </c>
      <c r="G4" s="47">
        <v>0</v>
      </c>
      <c r="H4" s="47">
        <v>0</v>
      </c>
      <c r="I4" s="47">
        <v>0</v>
      </c>
      <c r="J4" s="47">
        <v>0</v>
      </c>
      <c r="K4" s="47">
        <v>0</v>
      </c>
      <c r="L4" s="47">
        <v>0</v>
      </c>
      <c r="M4" s="47">
        <v>0</v>
      </c>
      <c r="N4" s="47">
        <v>0</v>
      </c>
      <c r="O4" s="47">
        <v>0</v>
      </c>
      <c r="P4" s="47">
        <v>0</v>
      </c>
      <c r="Q4" s="47">
        <v>7</v>
      </c>
      <c r="R4" s="47">
        <v>0</v>
      </c>
      <c r="S4" s="47">
        <v>0</v>
      </c>
      <c r="T4" s="47">
        <v>0</v>
      </c>
      <c r="U4" s="47">
        <v>0</v>
      </c>
      <c r="V4" s="47">
        <v>0</v>
      </c>
      <c r="W4" s="47">
        <v>0</v>
      </c>
      <c r="X4" s="47">
        <v>0</v>
      </c>
      <c r="Y4" s="47">
        <v>0</v>
      </c>
      <c r="Z4" s="47">
        <v>0</v>
      </c>
      <c r="AA4" s="47">
        <v>0</v>
      </c>
      <c r="AB4" s="43"/>
      <c r="AC4" s="43"/>
    </row>
    <row r="5" spans="1:29" x14ac:dyDescent="0.25">
      <c r="A5" s="12"/>
      <c r="B5" s="2"/>
      <c r="C5" s="2" t="s">
        <v>9</v>
      </c>
      <c r="D5" s="44">
        <v>1314</v>
      </c>
      <c r="E5" s="44">
        <v>1157</v>
      </c>
      <c r="F5" s="44">
        <v>1397</v>
      </c>
      <c r="G5" s="44">
        <v>1355</v>
      </c>
      <c r="H5" s="44">
        <v>970</v>
      </c>
      <c r="I5" s="44">
        <v>567</v>
      </c>
      <c r="J5" s="44">
        <v>467</v>
      </c>
      <c r="K5" s="44">
        <v>276</v>
      </c>
      <c r="L5" s="44">
        <v>181</v>
      </c>
      <c r="M5" s="44">
        <v>137</v>
      </c>
      <c r="N5" s="44">
        <v>136</v>
      </c>
      <c r="O5" s="44">
        <v>155</v>
      </c>
      <c r="P5" s="44">
        <v>160</v>
      </c>
      <c r="Q5" s="44">
        <v>56</v>
      </c>
      <c r="R5" s="44">
        <v>30</v>
      </c>
      <c r="S5" s="44">
        <v>120</v>
      </c>
      <c r="T5" s="44">
        <v>150</v>
      </c>
      <c r="U5" s="44">
        <v>150</v>
      </c>
      <c r="V5" s="44">
        <v>175</v>
      </c>
      <c r="W5" s="44">
        <v>175</v>
      </c>
      <c r="X5" s="44">
        <v>150</v>
      </c>
      <c r="Y5" s="44">
        <v>175</v>
      </c>
      <c r="Z5" s="44">
        <v>175</v>
      </c>
      <c r="AA5" s="44">
        <f>AA2+AA3-AA4</f>
        <v>256.339</v>
      </c>
      <c r="AB5" s="42"/>
      <c r="AC5" s="42"/>
    </row>
    <row r="6" spans="1:29" s="5" customFormat="1" x14ac:dyDescent="0.25">
      <c r="A6" s="14"/>
      <c r="B6" s="6" t="s">
        <v>10</v>
      </c>
      <c r="C6" s="6" t="s">
        <v>6</v>
      </c>
      <c r="D6" s="47">
        <v>6912</v>
      </c>
      <c r="E6" s="47">
        <v>7956</v>
      </c>
      <c r="F6" s="47">
        <v>7605</v>
      </c>
      <c r="G6" s="47">
        <v>7317</v>
      </c>
      <c r="H6" s="47">
        <v>6628</v>
      </c>
      <c r="I6" s="47">
        <v>5851</v>
      </c>
      <c r="J6" s="47">
        <v>6067</v>
      </c>
      <c r="K6" s="47">
        <v>5778</v>
      </c>
      <c r="L6" s="47">
        <v>5740</v>
      </c>
      <c r="M6" s="47">
        <v>4813</v>
      </c>
      <c r="N6" s="47">
        <v>5228</v>
      </c>
      <c r="O6" s="47">
        <v>4600</v>
      </c>
      <c r="P6" s="47">
        <v>5180</v>
      </c>
      <c r="Q6" s="47">
        <v>4400</v>
      </c>
      <c r="R6" s="47">
        <v>4900</v>
      </c>
      <c r="S6" s="47">
        <v>4600</v>
      </c>
      <c r="T6" s="47">
        <v>4100</v>
      </c>
      <c r="U6" s="47">
        <v>5200</v>
      </c>
      <c r="V6" s="47">
        <v>5550</v>
      </c>
      <c r="W6" s="47">
        <v>5350</v>
      </c>
      <c r="X6" s="47">
        <v>5350</v>
      </c>
      <c r="Y6" s="47">
        <v>4600</v>
      </c>
      <c r="Z6" s="47">
        <v>3900</v>
      </c>
      <c r="AA6" s="47">
        <f>1135000/1000</f>
        <v>1135</v>
      </c>
      <c r="AB6" s="43">
        <f>11260000/1000</f>
        <v>11260</v>
      </c>
      <c r="AC6" s="43">
        <f>1094000/1000</f>
        <v>1094</v>
      </c>
    </row>
    <row r="7" spans="1:29" x14ac:dyDescent="0.25">
      <c r="A7" s="12"/>
      <c r="B7" s="2"/>
      <c r="C7" s="2" t="s">
        <v>7</v>
      </c>
      <c r="D7" s="44">
        <v>13</v>
      </c>
      <c r="E7" s="44">
        <v>13</v>
      </c>
      <c r="F7" s="44">
        <v>12</v>
      </c>
      <c r="G7" s="44">
        <v>11</v>
      </c>
      <c r="H7" s="44">
        <v>10</v>
      </c>
      <c r="I7" s="44">
        <v>0</v>
      </c>
      <c r="J7" s="44">
        <v>5</v>
      </c>
      <c r="K7" s="44">
        <v>5</v>
      </c>
      <c r="L7" s="44">
        <v>5</v>
      </c>
      <c r="M7" s="44">
        <v>5</v>
      </c>
      <c r="N7" s="44">
        <v>5</v>
      </c>
      <c r="O7" s="44">
        <v>5</v>
      </c>
      <c r="P7" s="44">
        <v>5</v>
      </c>
      <c r="Q7" s="44">
        <v>5</v>
      </c>
      <c r="R7" s="44">
        <v>0</v>
      </c>
      <c r="S7" s="44">
        <v>0</v>
      </c>
      <c r="T7" s="44">
        <v>5</v>
      </c>
      <c r="U7" s="44">
        <v>0</v>
      </c>
      <c r="V7" s="44">
        <v>0</v>
      </c>
      <c r="W7" s="44">
        <v>0</v>
      </c>
      <c r="X7" s="44">
        <v>0</v>
      </c>
      <c r="Y7" s="44">
        <v>0</v>
      </c>
      <c r="Z7" s="44">
        <v>0</v>
      </c>
      <c r="AA7" s="44">
        <f>116/1000</f>
        <v>0.11600000000000001</v>
      </c>
      <c r="AB7" s="42"/>
      <c r="AC7" s="42"/>
    </row>
    <row r="8" spans="1:29" s="5" customFormat="1" x14ac:dyDescent="0.25">
      <c r="A8" s="14"/>
      <c r="B8" s="6"/>
      <c r="C8" s="6" t="s">
        <v>8</v>
      </c>
      <c r="D8" s="47">
        <v>6284</v>
      </c>
      <c r="E8" s="47">
        <v>7006</v>
      </c>
      <c r="F8" s="47">
        <v>6810</v>
      </c>
      <c r="G8" s="47">
        <v>5393</v>
      </c>
      <c r="H8" s="47">
        <v>5200</v>
      </c>
      <c r="I8" s="47">
        <v>5500</v>
      </c>
      <c r="J8" s="47">
        <v>5800</v>
      </c>
      <c r="K8" s="47">
        <v>5006</v>
      </c>
      <c r="L8" s="47">
        <v>4524</v>
      </c>
      <c r="M8" s="47">
        <v>4550</v>
      </c>
      <c r="N8" s="47">
        <v>4570</v>
      </c>
      <c r="O8" s="47">
        <v>3812</v>
      </c>
      <c r="P8" s="47">
        <v>4200</v>
      </c>
      <c r="Q8" s="47">
        <v>3450</v>
      </c>
      <c r="R8" s="47">
        <v>3500</v>
      </c>
      <c r="S8" s="47">
        <v>3400</v>
      </c>
      <c r="T8" s="47">
        <v>3100</v>
      </c>
      <c r="U8" s="47">
        <v>3950</v>
      </c>
      <c r="V8" s="47">
        <v>4800</v>
      </c>
      <c r="W8" s="47">
        <v>4500</v>
      </c>
      <c r="X8" s="47">
        <v>4200</v>
      </c>
      <c r="Y8" s="47">
        <v>3000</v>
      </c>
      <c r="Z8" s="47">
        <v>3800</v>
      </c>
      <c r="AA8" s="47">
        <f>240495/1000</f>
        <v>240.495</v>
      </c>
      <c r="AB8" s="43"/>
      <c r="AC8" s="43"/>
    </row>
    <row r="9" spans="1:29" x14ac:dyDescent="0.25">
      <c r="A9" s="12"/>
      <c r="B9" s="2"/>
      <c r="C9" s="2" t="s">
        <v>9</v>
      </c>
      <c r="D9" s="44">
        <v>796</v>
      </c>
      <c r="E9" s="44">
        <v>787</v>
      </c>
      <c r="F9" s="44">
        <v>820</v>
      </c>
      <c r="G9" s="44">
        <v>840</v>
      </c>
      <c r="H9" s="44">
        <v>860</v>
      </c>
      <c r="I9" s="44">
        <v>950</v>
      </c>
      <c r="J9" s="44">
        <v>800</v>
      </c>
      <c r="K9" s="44">
        <v>827</v>
      </c>
      <c r="L9" s="44">
        <v>873</v>
      </c>
      <c r="M9" s="44">
        <v>750</v>
      </c>
      <c r="N9" s="44">
        <v>850</v>
      </c>
      <c r="O9" s="44">
        <v>825</v>
      </c>
      <c r="P9" s="44">
        <v>850</v>
      </c>
      <c r="Q9" s="44">
        <v>1025</v>
      </c>
      <c r="R9" s="44">
        <v>1150</v>
      </c>
      <c r="S9" s="44">
        <v>1100</v>
      </c>
      <c r="T9" s="44">
        <v>1100</v>
      </c>
      <c r="U9" s="44">
        <v>875</v>
      </c>
      <c r="V9" s="44">
        <v>800</v>
      </c>
      <c r="W9" s="44">
        <v>900</v>
      </c>
      <c r="X9" s="44">
        <v>1000</v>
      </c>
      <c r="Y9" s="44">
        <v>1000</v>
      </c>
      <c r="Z9" s="44">
        <v>1100</v>
      </c>
      <c r="AA9" s="44">
        <f>AA6+AA7-AA8</f>
        <v>894.62099999999998</v>
      </c>
      <c r="AB9" s="42"/>
      <c r="AC9" s="42"/>
    </row>
    <row r="10" spans="1:29" s="5" customFormat="1" x14ac:dyDescent="0.25">
      <c r="A10" s="14"/>
      <c r="B10" s="6" t="s">
        <v>11</v>
      </c>
      <c r="C10" s="6" t="s">
        <v>7</v>
      </c>
      <c r="D10" s="47">
        <v>0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100</v>
      </c>
      <c r="M10" s="47">
        <v>100</v>
      </c>
      <c r="N10" s="47">
        <v>175</v>
      </c>
      <c r="O10" s="47">
        <v>120</v>
      </c>
      <c r="P10" s="47">
        <v>33</v>
      </c>
      <c r="Q10" s="47">
        <v>54</v>
      </c>
      <c r="R10" s="47">
        <v>65</v>
      </c>
      <c r="S10" s="47">
        <v>70</v>
      </c>
      <c r="T10" s="47">
        <v>1</v>
      </c>
      <c r="U10" s="47">
        <v>10</v>
      </c>
      <c r="V10" s="47">
        <v>1</v>
      </c>
      <c r="W10" s="47">
        <v>5</v>
      </c>
      <c r="X10" s="47">
        <v>5</v>
      </c>
      <c r="Y10" s="47">
        <v>5</v>
      </c>
      <c r="Z10" s="47">
        <v>5</v>
      </c>
      <c r="AA10" s="47">
        <f>3766/1000</f>
        <v>3.766</v>
      </c>
      <c r="AB10" s="43"/>
      <c r="AC10" s="43"/>
    </row>
    <row r="11" spans="1:29" x14ac:dyDescent="0.25">
      <c r="A11" s="12"/>
      <c r="B11" s="2"/>
      <c r="C11" s="2" t="s">
        <v>9</v>
      </c>
      <c r="D11" s="44">
        <v>0</v>
      </c>
      <c r="E11" s="44">
        <v>0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4">
        <v>100</v>
      </c>
      <c r="M11" s="44">
        <v>100</v>
      </c>
      <c r="N11" s="44">
        <v>175</v>
      </c>
      <c r="O11" s="44">
        <v>120</v>
      </c>
      <c r="P11" s="44">
        <v>33</v>
      </c>
      <c r="Q11" s="44">
        <v>54</v>
      </c>
      <c r="R11" s="44">
        <v>65</v>
      </c>
      <c r="S11" s="44">
        <v>70</v>
      </c>
      <c r="T11" s="44">
        <v>1</v>
      </c>
      <c r="U11" s="44">
        <v>5</v>
      </c>
      <c r="V11" s="44">
        <v>6</v>
      </c>
      <c r="W11" s="44">
        <v>5</v>
      </c>
      <c r="X11" s="44">
        <v>5</v>
      </c>
      <c r="Y11" s="44">
        <v>5</v>
      </c>
      <c r="Z11" s="44">
        <v>5</v>
      </c>
      <c r="AA11" s="44">
        <f>AA10</f>
        <v>3.766</v>
      </c>
      <c r="AB11" s="42"/>
      <c r="AC11" s="42"/>
    </row>
    <row r="12" spans="1:29" s="5" customFormat="1" x14ac:dyDescent="0.25">
      <c r="A12" s="14"/>
      <c r="B12" s="6" t="s">
        <v>12</v>
      </c>
      <c r="C12" s="6" t="s">
        <v>6</v>
      </c>
      <c r="D12" s="47">
        <v>329</v>
      </c>
      <c r="E12" s="47">
        <v>378</v>
      </c>
      <c r="F12" s="47">
        <v>315</v>
      </c>
      <c r="G12" s="47">
        <v>351</v>
      </c>
      <c r="H12" s="47">
        <v>327</v>
      </c>
      <c r="I12" s="47">
        <v>338</v>
      </c>
      <c r="J12" s="47">
        <v>268</v>
      </c>
      <c r="K12" s="47">
        <v>281</v>
      </c>
      <c r="L12" s="47">
        <v>191</v>
      </c>
      <c r="M12" s="47">
        <v>284</v>
      </c>
      <c r="N12" s="47">
        <v>225</v>
      </c>
      <c r="O12" s="47">
        <v>206</v>
      </c>
      <c r="P12" s="47">
        <v>248</v>
      </c>
      <c r="Q12" s="47">
        <v>99</v>
      </c>
      <c r="R12" s="47">
        <v>44</v>
      </c>
      <c r="S12" s="47">
        <v>114</v>
      </c>
      <c r="T12" s="47">
        <v>217</v>
      </c>
      <c r="U12" s="47">
        <v>118</v>
      </c>
      <c r="V12" s="47">
        <v>108</v>
      </c>
      <c r="W12" s="47">
        <v>143</v>
      </c>
      <c r="X12" s="47">
        <v>130</v>
      </c>
      <c r="Y12" s="47">
        <v>58</v>
      </c>
      <c r="Z12" s="47">
        <v>75</v>
      </c>
      <c r="AA12" s="47">
        <f>119758/1000</f>
        <v>119.758</v>
      </c>
      <c r="AB12" s="43">
        <f>325718/1000</f>
        <v>325.71800000000002</v>
      </c>
      <c r="AC12" s="43">
        <f>340219/1000</f>
        <v>340.21899999999999</v>
      </c>
    </row>
    <row r="13" spans="1:29" x14ac:dyDescent="0.25">
      <c r="A13" s="12"/>
      <c r="B13" s="2"/>
      <c r="C13" s="2" t="s">
        <v>7</v>
      </c>
      <c r="D13" s="44">
        <v>25</v>
      </c>
      <c r="E13" s="44">
        <v>50</v>
      </c>
      <c r="F13" s="44">
        <v>25</v>
      </c>
      <c r="G13" s="44">
        <v>25</v>
      </c>
      <c r="H13" s="44">
        <v>10</v>
      </c>
      <c r="I13" s="44">
        <v>0</v>
      </c>
      <c r="J13" s="44">
        <v>0</v>
      </c>
      <c r="K13" s="44">
        <v>0</v>
      </c>
      <c r="L13" s="44">
        <v>29</v>
      </c>
      <c r="M13" s="44">
        <v>2</v>
      </c>
      <c r="N13" s="44">
        <v>0</v>
      </c>
      <c r="O13" s="44">
        <v>40</v>
      </c>
      <c r="P13" s="44">
        <v>30</v>
      </c>
      <c r="Q13" s="44">
        <v>142</v>
      </c>
      <c r="R13" s="44">
        <v>65</v>
      </c>
      <c r="S13" s="44">
        <v>25</v>
      </c>
      <c r="T13" s="44">
        <v>25</v>
      </c>
      <c r="U13" s="44">
        <v>25</v>
      </c>
      <c r="V13" s="44">
        <v>25</v>
      </c>
      <c r="W13" s="44">
        <v>1</v>
      </c>
      <c r="X13" s="44">
        <v>9</v>
      </c>
      <c r="Y13" s="44">
        <v>16</v>
      </c>
      <c r="Z13" s="44">
        <v>1</v>
      </c>
      <c r="AA13" s="44">
        <f>1453/1000</f>
        <v>1.4530000000000001</v>
      </c>
      <c r="AB13" s="42"/>
      <c r="AC13" s="42"/>
    </row>
    <row r="14" spans="1:29" s="5" customFormat="1" x14ac:dyDescent="0.25">
      <c r="A14" s="14"/>
      <c r="B14" s="6"/>
      <c r="C14" s="6" t="s">
        <v>8</v>
      </c>
      <c r="D14" s="47">
        <v>0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24</v>
      </c>
      <c r="L14" s="47">
        <v>0</v>
      </c>
      <c r="M14" s="47">
        <v>0</v>
      </c>
      <c r="N14" s="47">
        <v>0</v>
      </c>
      <c r="O14" s="47">
        <v>0</v>
      </c>
      <c r="P14" s="47">
        <v>0</v>
      </c>
      <c r="Q14" s="47">
        <v>0</v>
      </c>
      <c r="R14" s="47">
        <v>0</v>
      </c>
      <c r="S14" s="47">
        <v>0</v>
      </c>
      <c r="T14" s="47">
        <v>0</v>
      </c>
      <c r="U14" s="47">
        <v>0</v>
      </c>
      <c r="V14" s="47">
        <v>0</v>
      </c>
      <c r="W14" s="47">
        <v>0</v>
      </c>
      <c r="X14" s="47">
        <v>0</v>
      </c>
      <c r="Y14" s="47">
        <v>0</v>
      </c>
      <c r="Z14" s="47">
        <v>0</v>
      </c>
      <c r="AA14" s="47">
        <f>0</f>
        <v>0</v>
      </c>
      <c r="AB14" s="43"/>
      <c r="AC14" s="43"/>
    </row>
    <row r="15" spans="1:29" x14ac:dyDescent="0.25">
      <c r="A15" s="12"/>
      <c r="B15" s="2"/>
      <c r="C15" s="2" t="s">
        <v>9</v>
      </c>
      <c r="D15" s="44">
        <v>354</v>
      </c>
      <c r="E15" s="44">
        <v>428</v>
      </c>
      <c r="F15" s="44">
        <v>340</v>
      </c>
      <c r="G15" s="44">
        <v>376</v>
      </c>
      <c r="H15" s="44">
        <v>337</v>
      </c>
      <c r="I15" s="44">
        <v>338</v>
      </c>
      <c r="J15" s="44">
        <v>268</v>
      </c>
      <c r="K15" s="44">
        <v>257</v>
      </c>
      <c r="L15" s="44">
        <v>220</v>
      </c>
      <c r="M15" s="44">
        <v>286</v>
      </c>
      <c r="N15" s="44">
        <v>225</v>
      </c>
      <c r="O15" s="44">
        <v>246</v>
      </c>
      <c r="P15" s="44">
        <v>278</v>
      </c>
      <c r="Q15" s="44">
        <v>241</v>
      </c>
      <c r="R15" s="44">
        <v>101</v>
      </c>
      <c r="S15" s="44">
        <v>137</v>
      </c>
      <c r="T15" s="44">
        <v>237</v>
      </c>
      <c r="U15" s="44">
        <v>148</v>
      </c>
      <c r="V15" s="44">
        <v>133</v>
      </c>
      <c r="W15" s="44">
        <v>144</v>
      </c>
      <c r="X15" s="44">
        <v>139</v>
      </c>
      <c r="Y15" s="44">
        <v>74</v>
      </c>
      <c r="Z15" s="44">
        <v>76</v>
      </c>
      <c r="AA15" s="44">
        <f>AA12+AA13-AA14</f>
        <v>121.211</v>
      </c>
      <c r="AB15" s="42"/>
      <c r="AC15" s="42"/>
    </row>
    <row r="16" spans="1:29" s="5" customFormat="1" x14ac:dyDescent="0.25">
      <c r="A16" s="14"/>
      <c r="B16" s="6" t="s">
        <v>14</v>
      </c>
      <c r="C16" s="6" t="s">
        <v>42</v>
      </c>
      <c r="D16" s="47">
        <v>0</v>
      </c>
      <c r="E16" s="47">
        <v>0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2</v>
      </c>
      <c r="N16" s="47">
        <v>0</v>
      </c>
      <c r="O16" s="47">
        <v>8</v>
      </c>
      <c r="P16" s="47">
        <v>23</v>
      </c>
      <c r="Q16" s="47">
        <v>11</v>
      </c>
      <c r="R16" s="47">
        <v>11</v>
      </c>
      <c r="S16" s="47">
        <v>11</v>
      </c>
      <c r="T16" s="47">
        <v>11</v>
      </c>
      <c r="U16" s="47">
        <v>11</v>
      </c>
      <c r="V16" s="47">
        <v>11</v>
      </c>
      <c r="W16" s="47">
        <v>11</v>
      </c>
      <c r="X16" s="47">
        <v>11</v>
      </c>
      <c r="Y16" s="47">
        <v>11</v>
      </c>
      <c r="Z16" s="47">
        <v>11</v>
      </c>
      <c r="AA16" s="48">
        <v>11</v>
      </c>
      <c r="AB16" s="43"/>
      <c r="AC16" s="43"/>
    </row>
    <row r="17" spans="1:54" x14ac:dyDescent="0.25">
      <c r="A17" s="14"/>
      <c r="B17" s="2"/>
      <c r="C17" s="2" t="s">
        <v>45</v>
      </c>
      <c r="D17" s="44">
        <v>0</v>
      </c>
      <c r="E17" s="44">
        <v>0</v>
      </c>
      <c r="F17" s="44">
        <v>539</v>
      </c>
      <c r="G17" s="44">
        <v>523</v>
      </c>
      <c r="H17" s="44">
        <v>481</v>
      </c>
      <c r="I17" s="44">
        <v>500</v>
      </c>
      <c r="J17" s="44">
        <v>450</v>
      </c>
      <c r="K17" s="44">
        <v>430</v>
      </c>
      <c r="L17" s="44">
        <v>410</v>
      </c>
      <c r="M17" s="44">
        <v>443</v>
      </c>
      <c r="N17" s="44">
        <v>440</v>
      </c>
      <c r="O17" s="44">
        <v>440</v>
      </c>
      <c r="P17" s="44">
        <v>434</v>
      </c>
      <c r="Q17" s="44">
        <v>387</v>
      </c>
      <c r="R17" s="44">
        <v>380</v>
      </c>
      <c r="S17" s="44">
        <v>405</v>
      </c>
      <c r="T17" s="44">
        <v>460</v>
      </c>
      <c r="U17" s="44">
        <v>500</v>
      </c>
      <c r="V17" s="44">
        <v>505</v>
      </c>
      <c r="W17" s="44">
        <v>515</v>
      </c>
      <c r="X17" s="44">
        <v>515</v>
      </c>
      <c r="Y17" s="44">
        <v>515</v>
      </c>
      <c r="Z17" s="44">
        <v>520</v>
      </c>
      <c r="AA17" s="45">
        <v>520</v>
      </c>
      <c r="AB17" s="42"/>
      <c r="AC17" s="42"/>
    </row>
    <row r="18" spans="1:54" s="5" customFormat="1" ht="30" x14ac:dyDescent="0.25">
      <c r="A18" s="14"/>
      <c r="B18" s="6"/>
      <c r="C18" s="6" t="s">
        <v>43</v>
      </c>
      <c r="D18" s="47">
        <v>0</v>
      </c>
      <c r="E18" s="47">
        <v>0</v>
      </c>
      <c r="F18" s="47">
        <v>544</v>
      </c>
      <c r="G18" s="47">
        <v>541</v>
      </c>
      <c r="H18" s="47">
        <v>500</v>
      </c>
      <c r="I18" s="47">
        <v>468</v>
      </c>
      <c r="J18" s="47">
        <v>450</v>
      </c>
      <c r="K18" s="47">
        <v>450</v>
      </c>
      <c r="L18" s="47">
        <v>430</v>
      </c>
      <c r="M18" s="47">
        <v>435</v>
      </c>
      <c r="N18" s="47">
        <v>445</v>
      </c>
      <c r="O18" s="47">
        <v>445</v>
      </c>
      <c r="P18" s="47">
        <v>455</v>
      </c>
      <c r="Q18" s="47">
        <v>395</v>
      </c>
      <c r="R18" s="47">
        <v>400</v>
      </c>
      <c r="S18" s="47">
        <v>405</v>
      </c>
      <c r="T18" s="47">
        <v>420</v>
      </c>
      <c r="U18" s="47">
        <v>490</v>
      </c>
      <c r="V18" s="47">
        <v>510</v>
      </c>
      <c r="W18" s="47">
        <v>518</v>
      </c>
      <c r="X18" s="47">
        <v>515</v>
      </c>
      <c r="Y18" s="47">
        <v>515</v>
      </c>
      <c r="Z18" s="47">
        <v>515</v>
      </c>
      <c r="AA18" s="48">
        <v>515</v>
      </c>
      <c r="AB18" s="43"/>
      <c r="AC18" s="43"/>
    </row>
    <row r="19" spans="1:54" s="5" customFormat="1" x14ac:dyDescent="0.25">
      <c r="A19" s="14"/>
      <c r="B19" s="6" t="s">
        <v>15</v>
      </c>
      <c r="C19" s="6" t="s">
        <v>6</v>
      </c>
      <c r="D19" s="47">
        <v>495</v>
      </c>
      <c r="E19" s="47">
        <v>563</v>
      </c>
      <c r="F19" s="47">
        <v>342</v>
      </c>
      <c r="G19" s="47">
        <v>553</v>
      </c>
      <c r="H19" s="47">
        <v>610</v>
      </c>
      <c r="I19" s="47">
        <v>950</v>
      </c>
      <c r="J19" s="47">
        <v>800</v>
      </c>
      <c r="K19" s="47">
        <v>1350</v>
      </c>
      <c r="L19" s="47">
        <v>2350</v>
      </c>
      <c r="M19" s="47">
        <v>2700</v>
      </c>
      <c r="N19" s="47">
        <v>3100</v>
      </c>
      <c r="O19" s="47">
        <v>3600</v>
      </c>
      <c r="P19" s="47">
        <v>3700</v>
      </c>
      <c r="Q19" s="47">
        <v>3600</v>
      </c>
      <c r="R19" s="47">
        <v>3400</v>
      </c>
      <c r="S19" s="47">
        <v>5000</v>
      </c>
      <c r="T19" s="47">
        <v>5400</v>
      </c>
      <c r="U19" s="47">
        <v>5250</v>
      </c>
      <c r="V19" s="47">
        <v>5800</v>
      </c>
      <c r="W19" s="47">
        <v>5850</v>
      </c>
      <c r="X19" s="47">
        <v>6200</v>
      </c>
      <c r="Y19" s="47">
        <v>6000</v>
      </c>
      <c r="Z19" s="47">
        <v>6200</v>
      </c>
      <c r="AA19" s="47">
        <f>6526955/1000</f>
        <v>6526.9549999999999</v>
      </c>
      <c r="AB19" s="43">
        <f>6612238/1000</f>
        <v>6612.2380000000003</v>
      </c>
      <c r="AC19" s="43">
        <f>6841977/1000</f>
        <v>6841.9769999999999</v>
      </c>
    </row>
    <row r="20" spans="1:54" x14ac:dyDescent="0.25">
      <c r="A20" s="12"/>
      <c r="B20" s="2"/>
      <c r="C20" s="2" t="s">
        <v>7</v>
      </c>
      <c r="D20" s="44">
        <v>3575</v>
      </c>
      <c r="E20" s="44">
        <v>3200</v>
      </c>
      <c r="F20" s="44">
        <v>3250</v>
      </c>
      <c r="G20" s="44">
        <v>3325</v>
      </c>
      <c r="H20" s="44">
        <v>3100</v>
      </c>
      <c r="I20" s="44">
        <v>3200</v>
      </c>
      <c r="J20" s="44">
        <v>3500</v>
      </c>
      <c r="K20" s="44">
        <v>2000</v>
      </c>
      <c r="L20" s="44">
        <v>1321</v>
      </c>
      <c r="M20" s="44">
        <v>1036</v>
      </c>
      <c r="N20" s="44">
        <v>732</v>
      </c>
      <c r="O20" s="44">
        <v>380</v>
      </c>
      <c r="P20" s="44">
        <v>550</v>
      </c>
      <c r="Q20" s="44">
        <v>550</v>
      </c>
      <c r="R20" s="44">
        <v>481</v>
      </c>
      <c r="S20" s="44">
        <v>254</v>
      </c>
      <c r="T20" s="44">
        <v>199</v>
      </c>
      <c r="U20" s="44">
        <v>445</v>
      </c>
      <c r="V20" s="44">
        <v>623</v>
      </c>
      <c r="W20" s="44">
        <v>1010</v>
      </c>
      <c r="X20" s="44">
        <v>1062</v>
      </c>
      <c r="Y20" s="44">
        <v>1372</v>
      </c>
      <c r="Z20" s="44">
        <v>1677</v>
      </c>
      <c r="AA20" s="44">
        <f>508132/1000</f>
        <v>508.13200000000001</v>
      </c>
      <c r="AB20" s="42"/>
      <c r="AC20" s="42"/>
    </row>
    <row r="21" spans="1:54" s="5" customFormat="1" x14ac:dyDescent="0.25">
      <c r="A21" s="14"/>
      <c r="B21" s="6"/>
      <c r="C21" s="6" t="s">
        <v>8</v>
      </c>
      <c r="D21" s="47">
        <v>0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1</v>
      </c>
      <c r="K21" s="47">
        <v>12</v>
      </c>
      <c r="L21" s="47">
        <v>2</v>
      </c>
      <c r="M21" s="47">
        <v>0</v>
      </c>
      <c r="N21" s="47">
        <v>0</v>
      </c>
      <c r="O21" s="47">
        <v>0</v>
      </c>
      <c r="P21" s="47">
        <v>0</v>
      </c>
      <c r="Q21" s="47">
        <v>0</v>
      </c>
      <c r="R21" s="47">
        <v>0</v>
      </c>
      <c r="S21" s="47">
        <v>0</v>
      </c>
      <c r="T21" s="47">
        <v>450</v>
      </c>
      <c r="U21" s="47">
        <v>100</v>
      </c>
      <c r="V21" s="47">
        <v>100</v>
      </c>
      <c r="W21" s="47">
        <v>200</v>
      </c>
      <c r="X21" s="47">
        <v>200</v>
      </c>
      <c r="Y21" s="47">
        <v>200</v>
      </c>
      <c r="Z21" s="47">
        <v>400</v>
      </c>
      <c r="AA21" s="47">
        <f>134401/1000</f>
        <v>134.40100000000001</v>
      </c>
      <c r="AB21" s="43"/>
      <c r="AC21" s="43"/>
    </row>
    <row r="22" spans="1:54" x14ac:dyDescent="0.25">
      <c r="A22" s="12"/>
      <c r="B22" s="2"/>
      <c r="C22" s="2" t="s">
        <v>9</v>
      </c>
      <c r="D22" s="44">
        <v>3975</v>
      </c>
      <c r="E22" s="44">
        <v>3749</v>
      </c>
      <c r="F22" s="44">
        <v>3639</v>
      </c>
      <c r="G22" s="44">
        <v>3829</v>
      </c>
      <c r="H22" s="44">
        <v>3727</v>
      </c>
      <c r="I22" s="44">
        <v>4057</v>
      </c>
      <c r="J22" s="44">
        <v>4196</v>
      </c>
      <c r="K22" s="44">
        <v>3728</v>
      </c>
      <c r="L22" s="44">
        <v>3769</v>
      </c>
      <c r="M22" s="44">
        <v>3736</v>
      </c>
      <c r="N22" s="44">
        <v>3832</v>
      </c>
      <c r="O22" s="44">
        <v>3980</v>
      </c>
      <c r="P22" s="44">
        <v>4250</v>
      </c>
      <c r="Q22" s="44">
        <v>4150</v>
      </c>
      <c r="R22" s="44">
        <v>3831</v>
      </c>
      <c r="S22" s="44">
        <v>4904</v>
      </c>
      <c r="T22" s="44">
        <v>5179</v>
      </c>
      <c r="U22" s="44">
        <v>5700</v>
      </c>
      <c r="V22" s="44">
        <v>6118</v>
      </c>
      <c r="W22" s="44">
        <v>6500</v>
      </c>
      <c r="X22" s="44">
        <v>6800</v>
      </c>
      <c r="Y22" s="44">
        <v>7050</v>
      </c>
      <c r="Z22" s="44">
        <v>7350</v>
      </c>
      <c r="AA22" s="44">
        <f>AA19+AA20-AA21</f>
        <v>6900.6859999999997</v>
      </c>
      <c r="AB22" s="42"/>
      <c r="AC22" s="42"/>
    </row>
    <row r="28" spans="1:54" s="5" customFormat="1" x14ac:dyDescent="0.25">
      <c r="A28" s="32"/>
      <c r="B28" s="32"/>
      <c r="C28" s="32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0">
        <v>0</v>
      </c>
      <c r="AV28" s="21" t="e">
        <f t="shared" ref="AV28:AV41" si="0">AO28/AO523</f>
        <v>#DIV/0!</v>
      </c>
      <c r="AW28" s="21" t="e">
        <f t="shared" ref="AW28:AW41" si="1">AP28/AP523</f>
        <v>#DIV/0!</v>
      </c>
      <c r="AX28" s="21" t="e">
        <f t="shared" ref="AX28:AX41" si="2">AQ28/AQ523</f>
        <v>#DIV/0!</v>
      </c>
      <c r="AY28" s="21" t="e">
        <f t="shared" ref="AY28:AY41" si="3">AR28/AR523</f>
        <v>#DIV/0!</v>
      </c>
      <c r="AZ28" s="21" t="e">
        <f t="shared" ref="AZ28:AZ41" si="4">AS28/AS523</f>
        <v>#DIV/0!</v>
      </c>
      <c r="BA28" s="21" t="e">
        <f t="shared" ref="BA28:BA41" si="5">AT28/AT523</f>
        <v>#DIV/0!</v>
      </c>
      <c r="BB28" s="23" t="e">
        <f t="shared" ref="BB28:BB90" si="6">AVERAGE(AZ28,BA28,AY28)</f>
        <v>#DIV/0!</v>
      </c>
    </row>
    <row r="29" spans="1:54" x14ac:dyDescent="0.25">
      <c r="A29" s="34"/>
      <c r="B29" s="34"/>
      <c r="C29" s="34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1">
        <v>0</v>
      </c>
      <c r="AV29" s="20" t="e">
        <f t="shared" si="0"/>
        <v>#DIV/0!</v>
      </c>
      <c r="AW29" s="20" t="e">
        <f t="shared" si="1"/>
        <v>#DIV/0!</v>
      </c>
      <c r="AX29" s="20" t="e">
        <f t="shared" si="2"/>
        <v>#DIV/0!</v>
      </c>
      <c r="AY29" s="20" t="e">
        <f t="shared" si="3"/>
        <v>#DIV/0!</v>
      </c>
      <c r="AZ29" s="20" t="e">
        <f t="shared" si="4"/>
        <v>#DIV/0!</v>
      </c>
      <c r="BA29" s="20" t="e">
        <f t="shared" si="5"/>
        <v>#DIV/0!</v>
      </c>
      <c r="BB29" s="23" t="e">
        <f t="shared" si="6"/>
        <v>#DIV/0!</v>
      </c>
    </row>
    <row r="30" spans="1:54" s="5" customFormat="1" x14ac:dyDescent="0.25">
      <c r="A30" s="32"/>
      <c r="B30" s="32"/>
      <c r="C30" s="32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0">
        <v>0</v>
      </c>
      <c r="AV30" s="21" t="e">
        <f t="shared" si="0"/>
        <v>#DIV/0!</v>
      </c>
      <c r="AW30" s="21" t="e">
        <f t="shared" si="1"/>
        <v>#DIV/0!</v>
      </c>
      <c r="AX30" s="21" t="e">
        <f t="shared" si="2"/>
        <v>#DIV/0!</v>
      </c>
      <c r="AY30" s="21" t="e">
        <f t="shared" si="3"/>
        <v>#DIV/0!</v>
      </c>
      <c r="AZ30" s="21" t="e">
        <f t="shared" si="4"/>
        <v>#DIV/0!</v>
      </c>
      <c r="BA30" s="21" t="e">
        <f t="shared" si="5"/>
        <v>#DIV/0!</v>
      </c>
      <c r="BB30" s="23" t="e">
        <f t="shared" si="6"/>
        <v>#DIV/0!</v>
      </c>
    </row>
    <row r="31" spans="1:54" x14ac:dyDescent="0.25">
      <c r="A31" s="34"/>
      <c r="B31" s="34"/>
      <c r="C31" s="34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1">
        <v>0</v>
      </c>
      <c r="AV31" s="20" t="e">
        <f t="shared" si="0"/>
        <v>#DIV/0!</v>
      </c>
      <c r="AW31" s="20" t="e">
        <f t="shared" si="1"/>
        <v>#DIV/0!</v>
      </c>
      <c r="AX31" s="20" t="e">
        <f t="shared" si="2"/>
        <v>#DIV/0!</v>
      </c>
      <c r="AY31" s="20" t="e">
        <f t="shared" si="3"/>
        <v>#DIV/0!</v>
      </c>
      <c r="AZ31" s="20" t="e">
        <f t="shared" si="4"/>
        <v>#DIV/0!</v>
      </c>
      <c r="BA31" s="20" t="e">
        <f t="shared" si="5"/>
        <v>#DIV/0!</v>
      </c>
      <c r="BB31" s="23" t="e">
        <f t="shared" si="6"/>
        <v>#DIV/0!</v>
      </c>
    </row>
    <row r="32" spans="1:54" s="5" customFormat="1" x14ac:dyDescent="0.25">
      <c r="A32" s="32"/>
      <c r="B32" s="32"/>
      <c r="C32" s="32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0">
        <v>0</v>
      </c>
      <c r="AV32" s="21" t="e">
        <f t="shared" si="0"/>
        <v>#DIV/0!</v>
      </c>
      <c r="AW32" s="21" t="e">
        <f t="shared" si="1"/>
        <v>#DIV/0!</v>
      </c>
      <c r="AX32" s="21" t="e">
        <f t="shared" si="2"/>
        <v>#DIV/0!</v>
      </c>
      <c r="AY32" s="21" t="e">
        <f t="shared" si="3"/>
        <v>#DIV/0!</v>
      </c>
      <c r="AZ32" s="21" t="e">
        <f t="shared" si="4"/>
        <v>#DIV/0!</v>
      </c>
      <c r="BA32" s="21" t="e">
        <f t="shared" si="5"/>
        <v>#DIV/0!</v>
      </c>
      <c r="BB32" s="23" t="e">
        <f t="shared" si="6"/>
        <v>#DIV/0!</v>
      </c>
    </row>
    <row r="33" spans="1:54" x14ac:dyDescent="0.25">
      <c r="A33" s="34"/>
      <c r="B33" s="34"/>
      <c r="C33" s="34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1">
        <v>0</v>
      </c>
      <c r="AV33" s="20" t="e">
        <f t="shared" si="0"/>
        <v>#DIV/0!</v>
      </c>
      <c r="AW33" s="20" t="e">
        <f t="shared" si="1"/>
        <v>#DIV/0!</v>
      </c>
      <c r="AX33" s="20" t="e">
        <f t="shared" si="2"/>
        <v>#DIV/0!</v>
      </c>
      <c r="AY33" s="20" t="e">
        <f t="shared" si="3"/>
        <v>#DIV/0!</v>
      </c>
      <c r="AZ33" s="20" t="e">
        <f t="shared" si="4"/>
        <v>#DIV/0!</v>
      </c>
      <c r="BA33" s="20" t="e">
        <f t="shared" si="5"/>
        <v>#DIV/0!</v>
      </c>
      <c r="BB33" s="23" t="e">
        <f t="shared" si="6"/>
        <v>#DIV/0!</v>
      </c>
    </row>
    <row r="34" spans="1:54" s="5" customFormat="1" x14ac:dyDescent="0.25">
      <c r="A34" s="32"/>
      <c r="B34" s="32"/>
      <c r="C34" s="32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6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0">
        <v>0</v>
      </c>
      <c r="AV34" s="21" t="e">
        <f t="shared" si="0"/>
        <v>#DIV/0!</v>
      </c>
      <c r="AW34" s="21" t="e">
        <f t="shared" si="1"/>
        <v>#DIV/0!</v>
      </c>
      <c r="AX34" s="21" t="e">
        <f t="shared" si="2"/>
        <v>#DIV/0!</v>
      </c>
      <c r="AY34" s="21" t="e">
        <f t="shared" si="3"/>
        <v>#DIV/0!</v>
      </c>
      <c r="AZ34" s="21" t="e">
        <f t="shared" si="4"/>
        <v>#DIV/0!</v>
      </c>
      <c r="BA34" s="21" t="e">
        <f t="shared" si="5"/>
        <v>#DIV/0!</v>
      </c>
      <c r="BB34" s="23" t="e">
        <f t="shared" si="6"/>
        <v>#DIV/0!</v>
      </c>
    </row>
    <row r="35" spans="1:54" x14ac:dyDescent="0.25">
      <c r="A35" s="34"/>
      <c r="B35" s="34"/>
      <c r="C35" s="34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1">
        <v>0</v>
      </c>
      <c r="AV35" s="20" t="e">
        <f t="shared" si="0"/>
        <v>#DIV/0!</v>
      </c>
      <c r="AW35" s="20" t="e">
        <f t="shared" si="1"/>
        <v>#DIV/0!</v>
      </c>
      <c r="AX35" s="20" t="e">
        <f t="shared" si="2"/>
        <v>#DIV/0!</v>
      </c>
      <c r="AY35" s="20" t="e">
        <f t="shared" si="3"/>
        <v>#DIV/0!</v>
      </c>
      <c r="AZ35" s="20" t="e">
        <f t="shared" si="4"/>
        <v>#DIV/0!</v>
      </c>
      <c r="BA35" s="20" t="e">
        <f t="shared" si="5"/>
        <v>#DIV/0!</v>
      </c>
      <c r="BB35" s="23" t="e">
        <f t="shared" si="6"/>
        <v>#DIV/0!</v>
      </c>
    </row>
    <row r="36" spans="1:54" s="5" customFormat="1" x14ac:dyDescent="0.25">
      <c r="A36" s="32"/>
      <c r="B36" s="32"/>
      <c r="C36" s="32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0">
        <v>0</v>
      </c>
      <c r="AV36" s="21" t="e">
        <f t="shared" si="0"/>
        <v>#DIV/0!</v>
      </c>
      <c r="AW36" s="21" t="e">
        <f t="shared" si="1"/>
        <v>#DIV/0!</v>
      </c>
      <c r="AX36" s="21" t="e">
        <f t="shared" si="2"/>
        <v>#DIV/0!</v>
      </c>
      <c r="AY36" s="21" t="e">
        <f t="shared" si="3"/>
        <v>#DIV/0!</v>
      </c>
      <c r="AZ36" s="21" t="e">
        <f t="shared" si="4"/>
        <v>#DIV/0!</v>
      </c>
      <c r="BA36" s="21" t="e">
        <f t="shared" si="5"/>
        <v>#DIV/0!</v>
      </c>
      <c r="BB36" s="23" t="e">
        <f t="shared" si="6"/>
        <v>#DIV/0!</v>
      </c>
    </row>
    <row r="37" spans="1:54" x14ac:dyDescent="0.25">
      <c r="A37" s="34"/>
      <c r="B37" s="34"/>
      <c r="C37" s="34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1">
        <v>0</v>
      </c>
      <c r="AV37" s="20" t="e">
        <f t="shared" si="0"/>
        <v>#DIV/0!</v>
      </c>
      <c r="AW37" s="20" t="e">
        <f t="shared" si="1"/>
        <v>#DIV/0!</v>
      </c>
      <c r="AX37" s="20" t="e">
        <f t="shared" si="2"/>
        <v>#DIV/0!</v>
      </c>
      <c r="AY37" s="20" t="e">
        <f t="shared" si="3"/>
        <v>#DIV/0!</v>
      </c>
      <c r="AZ37" s="20" t="e">
        <f t="shared" si="4"/>
        <v>#DIV/0!</v>
      </c>
      <c r="BA37" s="20" t="e">
        <f t="shared" si="5"/>
        <v>#DIV/0!</v>
      </c>
      <c r="BB37" s="23" t="e">
        <f t="shared" si="6"/>
        <v>#DIV/0!</v>
      </c>
    </row>
    <row r="38" spans="1:54" s="5" customFormat="1" x14ac:dyDescent="0.25">
      <c r="A38" s="32"/>
      <c r="B38" s="32"/>
      <c r="C38" s="32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6"/>
      <c r="O38" s="36"/>
      <c r="P38" s="36"/>
      <c r="Q38" s="36"/>
      <c r="R38" s="33"/>
      <c r="S38" s="36"/>
      <c r="T38" s="33"/>
      <c r="U38" s="33"/>
      <c r="V38" s="36"/>
      <c r="W38" s="33"/>
      <c r="X38" s="36"/>
      <c r="Y38" s="36"/>
      <c r="Z38" s="33"/>
      <c r="AA38" s="36"/>
      <c r="AB38" s="33"/>
      <c r="AC38" s="33"/>
      <c r="AD38" s="36"/>
      <c r="AE38" s="36"/>
      <c r="AF38" s="36"/>
      <c r="AG38" s="36"/>
      <c r="AH38" s="36"/>
      <c r="AI38" s="36"/>
      <c r="AJ38" s="36"/>
      <c r="AK38" s="36"/>
      <c r="AL38" s="36"/>
      <c r="AM38" s="36"/>
      <c r="AN38" s="36"/>
      <c r="AO38" s="36"/>
      <c r="AP38" s="36"/>
      <c r="AQ38" s="36"/>
      <c r="AR38" s="36"/>
      <c r="AS38" s="36"/>
      <c r="AT38" s="36"/>
      <c r="AU38" s="30">
        <v>0</v>
      </c>
      <c r="AV38" s="21" t="e">
        <f t="shared" si="0"/>
        <v>#DIV/0!</v>
      </c>
      <c r="AW38" s="21" t="e">
        <f t="shared" si="1"/>
        <v>#DIV/0!</v>
      </c>
      <c r="AX38" s="21" t="e">
        <f t="shared" si="2"/>
        <v>#DIV/0!</v>
      </c>
      <c r="AY38" s="21" t="e">
        <f t="shared" si="3"/>
        <v>#DIV/0!</v>
      </c>
      <c r="AZ38" s="21" t="e">
        <f t="shared" si="4"/>
        <v>#DIV/0!</v>
      </c>
      <c r="BA38" s="21" t="e">
        <f t="shared" si="5"/>
        <v>#DIV/0!</v>
      </c>
      <c r="BB38" s="23" t="e">
        <f t="shared" si="6"/>
        <v>#DIV/0!</v>
      </c>
    </row>
    <row r="39" spans="1:54" x14ac:dyDescent="0.25">
      <c r="A39" s="34"/>
      <c r="B39" s="34"/>
      <c r="C39" s="34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1">
        <v>0</v>
      </c>
      <c r="AV39" s="20" t="e">
        <f t="shared" si="0"/>
        <v>#DIV/0!</v>
      </c>
      <c r="AW39" s="20" t="e">
        <f t="shared" si="1"/>
        <v>#DIV/0!</v>
      </c>
      <c r="AX39" s="20" t="e">
        <f t="shared" si="2"/>
        <v>#DIV/0!</v>
      </c>
      <c r="AY39" s="20" t="e">
        <f t="shared" si="3"/>
        <v>#DIV/0!</v>
      </c>
      <c r="AZ39" s="20" t="e">
        <f t="shared" si="4"/>
        <v>#DIV/0!</v>
      </c>
      <c r="BA39" s="20" t="e">
        <f t="shared" si="5"/>
        <v>#DIV/0!</v>
      </c>
      <c r="BB39" s="23" t="e">
        <f t="shared" si="6"/>
        <v>#DIV/0!</v>
      </c>
    </row>
    <row r="40" spans="1:54" s="5" customFormat="1" x14ac:dyDescent="0.25">
      <c r="A40" s="32"/>
      <c r="B40" s="32"/>
      <c r="C40" s="32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6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6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6"/>
      <c r="AS40" s="33"/>
      <c r="AT40" s="36"/>
      <c r="AU40" s="30">
        <v>0</v>
      </c>
      <c r="AV40" s="21" t="e">
        <f t="shared" si="0"/>
        <v>#DIV/0!</v>
      </c>
      <c r="AW40" s="21" t="e">
        <f t="shared" si="1"/>
        <v>#DIV/0!</v>
      </c>
      <c r="AX40" s="21" t="e">
        <f t="shared" si="2"/>
        <v>#DIV/0!</v>
      </c>
      <c r="AY40" s="21" t="e">
        <f t="shared" si="3"/>
        <v>#DIV/0!</v>
      </c>
      <c r="AZ40" s="21" t="e">
        <f t="shared" si="4"/>
        <v>#DIV/0!</v>
      </c>
      <c r="BA40" s="21" t="e">
        <f t="shared" si="5"/>
        <v>#DIV/0!</v>
      </c>
      <c r="BB40" s="23" t="e">
        <f t="shared" si="6"/>
        <v>#DIV/0!</v>
      </c>
    </row>
    <row r="41" spans="1:54" x14ac:dyDescent="0.25">
      <c r="A41" s="34"/>
      <c r="B41" s="34"/>
      <c r="C41" s="34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7"/>
      <c r="AE41" s="37"/>
      <c r="AF41" s="37"/>
      <c r="AG41" s="35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1">
        <v>0</v>
      </c>
      <c r="AV41" s="20" t="e">
        <f t="shared" si="0"/>
        <v>#DIV/0!</v>
      </c>
      <c r="AW41" s="20" t="e">
        <f t="shared" si="1"/>
        <v>#DIV/0!</v>
      </c>
      <c r="AX41" s="20" t="e">
        <f t="shared" si="2"/>
        <v>#DIV/0!</v>
      </c>
      <c r="AY41" s="20" t="e">
        <f t="shared" si="3"/>
        <v>#DIV/0!</v>
      </c>
      <c r="AZ41" s="20" t="e">
        <f t="shared" si="4"/>
        <v>#DIV/0!</v>
      </c>
      <c r="BA41" s="20" t="e">
        <f t="shared" si="5"/>
        <v>#DIV/0!</v>
      </c>
      <c r="BB41" s="23" t="e">
        <f t="shared" si="6"/>
        <v>#DIV/0!</v>
      </c>
    </row>
    <row r="42" spans="1:54" s="5" customFormat="1" x14ac:dyDescent="0.25">
      <c r="A42" s="34"/>
      <c r="B42" s="34"/>
      <c r="C42" s="34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21" t="e">
        <f t="shared" ref="AU42:AZ42" si="7">AO42/AP$84</f>
        <v>#DIV/0!</v>
      </c>
      <c r="AV42" s="21" t="e">
        <f t="shared" si="7"/>
        <v>#DIV/0!</v>
      </c>
      <c r="AW42" s="21" t="e">
        <f t="shared" si="7"/>
        <v>#DIV/0!</v>
      </c>
      <c r="AX42" s="21" t="e">
        <f t="shared" si="7"/>
        <v>#DIV/0!</v>
      </c>
      <c r="AY42" s="21" t="e">
        <f t="shared" si="7"/>
        <v>#DIV/0!</v>
      </c>
      <c r="AZ42" s="21" t="e">
        <f t="shared" si="7"/>
        <v>#DIV/0!</v>
      </c>
      <c r="BB42" s="23" t="e">
        <f>AVERAGE(AX42,AY42,AZ42)</f>
        <v>#DIV/0!</v>
      </c>
    </row>
    <row r="43" spans="1:54" x14ac:dyDescent="0.25">
      <c r="A43" s="34"/>
      <c r="B43" s="32"/>
      <c r="C43" s="32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  <c r="AU43" s="21" t="e">
        <f t="shared" ref="AU43:AZ43" si="8">AO43/AP$63</f>
        <v>#DIV/0!</v>
      </c>
      <c r="AV43" s="21" t="e">
        <f t="shared" si="8"/>
        <v>#DIV/0!</v>
      </c>
      <c r="AW43" s="21" t="e">
        <f t="shared" si="8"/>
        <v>#DIV/0!</v>
      </c>
      <c r="AX43" s="21" t="e">
        <f t="shared" si="8"/>
        <v>#DIV/0!</v>
      </c>
      <c r="AY43" s="21" t="e">
        <f t="shared" si="8"/>
        <v>#DIV/0!</v>
      </c>
      <c r="AZ43" s="21" t="e">
        <f t="shared" si="8"/>
        <v>#DIV/0!</v>
      </c>
      <c r="BB43" s="23" t="e">
        <f>AVERAGE(AX43,AY43,AZ43)</f>
        <v>#DIV/0!</v>
      </c>
    </row>
    <row r="44" spans="1:54" s="5" customFormat="1" x14ac:dyDescent="0.25">
      <c r="A44" s="34"/>
      <c r="B44" s="34"/>
      <c r="C44" s="34"/>
      <c r="D44" s="35"/>
      <c r="E44" s="35"/>
      <c r="F44" s="35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21" t="e">
        <f t="shared" ref="AU44:AZ44" si="9">AO44/AP$42</f>
        <v>#DIV/0!</v>
      </c>
      <c r="AV44" s="21" t="e">
        <f t="shared" si="9"/>
        <v>#DIV/0!</v>
      </c>
      <c r="AW44" s="21" t="e">
        <f t="shared" si="9"/>
        <v>#DIV/0!</v>
      </c>
      <c r="AX44" s="21" t="e">
        <f t="shared" si="9"/>
        <v>#DIV/0!</v>
      </c>
      <c r="AY44" s="21" t="e">
        <f t="shared" si="9"/>
        <v>#DIV/0!</v>
      </c>
      <c r="AZ44" s="21" t="e">
        <f t="shared" si="9"/>
        <v>#DIV/0!</v>
      </c>
      <c r="BA44"/>
      <c r="BB44" s="23" t="e">
        <f>AVERAGE(AX44,AY44,AZ44)</f>
        <v>#DIV/0!</v>
      </c>
    </row>
    <row r="45" spans="1:54" x14ac:dyDescent="0.25">
      <c r="A45" s="34"/>
      <c r="B45" s="32"/>
      <c r="C45" s="32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20" t="e">
        <f t="shared" ref="AU45:AZ45" si="10">AO45/AO$25</f>
        <v>#DIV/0!</v>
      </c>
      <c r="AV45" s="20" t="e">
        <f t="shared" si="10"/>
        <v>#DIV/0!</v>
      </c>
      <c r="AW45" s="20" t="e">
        <f t="shared" si="10"/>
        <v>#DIV/0!</v>
      </c>
      <c r="AX45" s="20" t="e">
        <f t="shared" si="10"/>
        <v>#DIV/0!</v>
      </c>
      <c r="AY45" s="20" t="e">
        <f t="shared" si="10"/>
        <v>#DIV/0!</v>
      </c>
      <c r="AZ45" s="20" t="e">
        <f t="shared" si="10"/>
        <v>#DIV/0!</v>
      </c>
      <c r="BA45" s="5"/>
      <c r="BB45" s="23" t="e">
        <f>AVERAGE(AX45,AY45,AZ45)</f>
        <v>#DIV/0!</v>
      </c>
    </row>
    <row r="46" spans="1:54" x14ac:dyDescent="0.25">
      <c r="A46" s="34"/>
      <c r="B46" s="34"/>
      <c r="C46" s="34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1">
        <v>0</v>
      </c>
      <c r="AV46" s="20" t="e">
        <f t="shared" ref="AV46:BA49" si="11">AO46/AO541</f>
        <v>#DIV/0!</v>
      </c>
      <c r="AW46" s="20" t="e">
        <f t="shared" si="11"/>
        <v>#DIV/0!</v>
      </c>
      <c r="AX46" s="20" t="e">
        <f t="shared" si="11"/>
        <v>#DIV/0!</v>
      </c>
      <c r="AY46" s="20" t="e">
        <f t="shared" si="11"/>
        <v>#DIV/0!</v>
      </c>
      <c r="AZ46" s="20" t="e">
        <f t="shared" si="11"/>
        <v>#DIV/0!</v>
      </c>
      <c r="BA46" s="20" t="e">
        <f t="shared" si="11"/>
        <v>#DIV/0!</v>
      </c>
      <c r="BB46" s="23" t="e">
        <f t="shared" si="6"/>
        <v>#DIV/0!</v>
      </c>
    </row>
    <row r="47" spans="1:54" s="5" customFormat="1" x14ac:dyDescent="0.25">
      <c r="A47" s="32"/>
      <c r="B47" s="32"/>
      <c r="C47" s="32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0">
        <v>0</v>
      </c>
      <c r="AV47" s="21" t="e">
        <f t="shared" si="11"/>
        <v>#DIV/0!</v>
      </c>
      <c r="AW47" s="21" t="e">
        <f t="shared" si="11"/>
        <v>#DIV/0!</v>
      </c>
      <c r="AX47" s="21" t="e">
        <f t="shared" si="11"/>
        <v>#DIV/0!</v>
      </c>
      <c r="AY47" s="21" t="e">
        <f t="shared" si="11"/>
        <v>#DIV/0!</v>
      </c>
      <c r="AZ47" s="21" t="e">
        <f t="shared" si="11"/>
        <v>#DIV/0!</v>
      </c>
      <c r="BA47" s="21" t="e">
        <f t="shared" si="11"/>
        <v>#DIV/0!</v>
      </c>
      <c r="BB47" s="23" t="e">
        <f t="shared" si="6"/>
        <v>#DIV/0!</v>
      </c>
    </row>
    <row r="48" spans="1:54" x14ac:dyDescent="0.25">
      <c r="A48" s="34"/>
      <c r="B48" s="34"/>
      <c r="C48" s="34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1">
        <v>0</v>
      </c>
      <c r="AV48" s="20" t="e">
        <f t="shared" si="11"/>
        <v>#DIV/0!</v>
      </c>
      <c r="AW48" s="20" t="e">
        <f t="shared" si="11"/>
        <v>#DIV/0!</v>
      </c>
      <c r="AX48" s="20" t="e">
        <f t="shared" si="11"/>
        <v>#DIV/0!</v>
      </c>
      <c r="AY48" s="20" t="e">
        <f t="shared" si="11"/>
        <v>#DIV/0!</v>
      </c>
      <c r="AZ48" s="20" t="e">
        <f t="shared" si="11"/>
        <v>#DIV/0!</v>
      </c>
      <c r="BA48" s="20" t="e">
        <f t="shared" si="11"/>
        <v>#DIV/0!</v>
      </c>
      <c r="BB48" s="23" t="e">
        <f t="shared" si="6"/>
        <v>#DIV/0!</v>
      </c>
    </row>
    <row r="49" spans="1:54" s="5" customFormat="1" x14ac:dyDescent="0.25">
      <c r="A49" s="32"/>
      <c r="B49" s="32"/>
      <c r="C49" s="32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  <c r="AK49" s="36"/>
      <c r="AL49" s="36"/>
      <c r="AM49" s="36"/>
      <c r="AN49" s="36"/>
      <c r="AO49" s="36"/>
      <c r="AP49" s="36"/>
      <c r="AQ49" s="36"/>
      <c r="AR49" s="36"/>
      <c r="AS49" s="36"/>
      <c r="AT49" s="36"/>
      <c r="AU49" s="30">
        <v>0</v>
      </c>
      <c r="AV49" s="21" t="e">
        <f t="shared" si="11"/>
        <v>#DIV/0!</v>
      </c>
      <c r="AW49" s="21" t="e">
        <f t="shared" si="11"/>
        <v>#DIV/0!</v>
      </c>
      <c r="AX49" s="21" t="e">
        <f t="shared" si="11"/>
        <v>#DIV/0!</v>
      </c>
      <c r="AY49" s="21" t="e">
        <f t="shared" si="11"/>
        <v>#DIV/0!</v>
      </c>
      <c r="AZ49" s="21" t="e">
        <f t="shared" si="11"/>
        <v>#DIV/0!</v>
      </c>
      <c r="BA49" s="21" t="e">
        <f t="shared" si="11"/>
        <v>#DIV/0!</v>
      </c>
      <c r="BB49" s="23" t="e">
        <f t="shared" si="6"/>
        <v>#DIV/0!</v>
      </c>
    </row>
    <row r="50" spans="1:54" x14ac:dyDescent="0.25">
      <c r="A50" s="34"/>
      <c r="B50" s="34"/>
      <c r="C50" s="34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1">
        <v>0</v>
      </c>
      <c r="AV50" s="20" t="e">
        <f t="shared" ref="AV50:AV69" si="12">AO50/AO517</f>
        <v>#DIV/0!</v>
      </c>
      <c r="AW50" s="20" t="e">
        <f t="shared" ref="AW50:AW69" si="13">AP50/AP517</f>
        <v>#DIV/0!</v>
      </c>
      <c r="AX50" s="20" t="e">
        <f t="shared" ref="AX50:AX69" si="14">AQ50/AQ517</f>
        <v>#DIV/0!</v>
      </c>
      <c r="AY50" s="20" t="e">
        <f t="shared" ref="AY50:AY69" si="15">AR50/AR517</f>
        <v>#DIV/0!</v>
      </c>
      <c r="AZ50" s="20" t="e">
        <f t="shared" ref="AZ50:AZ69" si="16">AS50/AS517</f>
        <v>#DIV/0!</v>
      </c>
      <c r="BA50" s="20" t="e">
        <f t="shared" ref="BA50:BA69" si="17">AT50/AT517</f>
        <v>#DIV/0!</v>
      </c>
      <c r="BB50" s="23" t="e">
        <f t="shared" si="6"/>
        <v>#DIV/0!</v>
      </c>
    </row>
    <row r="51" spans="1:54" s="5" customFormat="1" x14ac:dyDescent="0.25">
      <c r="A51" s="32"/>
      <c r="B51" s="32"/>
      <c r="C51" s="32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6"/>
      <c r="V51" s="36"/>
      <c r="W51" s="36"/>
      <c r="X51" s="33"/>
      <c r="Y51" s="33"/>
      <c r="Z51" s="33"/>
      <c r="AA51" s="33"/>
      <c r="AB51" s="36"/>
      <c r="AC51" s="36"/>
      <c r="AD51" s="36"/>
      <c r="AE51" s="33"/>
      <c r="AF51" s="33"/>
      <c r="AG51" s="36"/>
      <c r="AH51" s="36"/>
      <c r="AI51" s="36"/>
      <c r="AJ51" s="33"/>
      <c r="AK51" s="33"/>
      <c r="AL51" s="33"/>
      <c r="AM51" s="33"/>
      <c r="AN51" s="33"/>
      <c r="AO51" s="36"/>
      <c r="AP51" s="36"/>
      <c r="AQ51" s="33"/>
      <c r="AR51" s="36"/>
      <c r="AS51" s="33"/>
      <c r="AT51" s="36"/>
      <c r="AU51" s="30">
        <v>0</v>
      </c>
      <c r="AV51" s="21" t="e">
        <f t="shared" si="12"/>
        <v>#DIV/0!</v>
      </c>
      <c r="AW51" s="21" t="e">
        <f t="shared" si="13"/>
        <v>#DIV/0!</v>
      </c>
      <c r="AX51" s="21" t="e">
        <f t="shared" si="14"/>
        <v>#DIV/0!</v>
      </c>
      <c r="AY51" s="21" t="e">
        <f t="shared" si="15"/>
        <v>#DIV/0!</v>
      </c>
      <c r="AZ51" s="21" t="e">
        <f t="shared" si="16"/>
        <v>#DIV/0!</v>
      </c>
      <c r="BA51" s="21" t="e">
        <f t="shared" si="17"/>
        <v>#DIV/0!</v>
      </c>
      <c r="BB51" s="23" t="e">
        <f t="shared" si="6"/>
        <v>#DIV/0!</v>
      </c>
    </row>
    <row r="52" spans="1:54" x14ac:dyDescent="0.25">
      <c r="A52" s="34"/>
      <c r="B52" s="34"/>
      <c r="C52" s="34"/>
      <c r="D52" s="35"/>
      <c r="E52" s="35"/>
      <c r="F52" s="35"/>
      <c r="G52" s="35"/>
      <c r="H52" s="35"/>
      <c r="I52" s="35"/>
      <c r="J52" s="35"/>
      <c r="K52" s="37"/>
      <c r="L52" s="35"/>
      <c r="M52" s="37"/>
      <c r="N52" s="35"/>
      <c r="O52" s="35"/>
      <c r="P52" s="35"/>
      <c r="Q52" s="37"/>
      <c r="R52" s="35"/>
      <c r="S52" s="37"/>
      <c r="T52" s="37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  <c r="AF52" s="35"/>
      <c r="AG52" s="35"/>
      <c r="AH52" s="35"/>
      <c r="AI52" s="35"/>
      <c r="AJ52" s="37"/>
      <c r="AK52" s="37"/>
      <c r="AL52" s="37"/>
      <c r="AM52" s="37"/>
      <c r="AN52" s="35"/>
      <c r="AO52" s="37"/>
      <c r="AP52" s="37"/>
      <c r="AQ52" s="37"/>
      <c r="AR52" s="37"/>
      <c r="AS52" s="37"/>
      <c r="AT52" s="37"/>
      <c r="AU52" s="31">
        <v>0</v>
      </c>
      <c r="AV52" s="20" t="e">
        <f t="shared" si="12"/>
        <v>#DIV/0!</v>
      </c>
      <c r="AW52" s="20" t="e">
        <f t="shared" si="13"/>
        <v>#DIV/0!</v>
      </c>
      <c r="AX52" s="20" t="e">
        <f t="shared" si="14"/>
        <v>#DIV/0!</v>
      </c>
      <c r="AY52" s="20" t="e">
        <f t="shared" si="15"/>
        <v>#DIV/0!</v>
      </c>
      <c r="AZ52" s="20" t="e">
        <f t="shared" si="16"/>
        <v>#DIV/0!</v>
      </c>
      <c r="BA52" s="20" t="e">
        <f t="shared" si="17"/>
        <v>#DIV/0!</v>
      </c>
      <c r="BB52" s="23" t="e">
        <f t="shared" si="6"/>
        <v>#DIV/0!</v>
      </c>
    </row>
    <row r="53" spans="1:54" s="5" customFormat="1" x14ac:dyDescent="0.25">
      <c r="A53" s="32"/>
      <c r="B53" s="32"/>
      <c r="C53" s="32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36"/>
      <c r="AN53" s="36"/>
      <c r="AO53" s="36"/>
      <c r="AP53" s="36"/>
      <c r="AQ53" s="36"/>
      <c r="AR53" s="36"/>
      <c r="AS53" s="36"/>
      <c r="AT53" s="36"/>
      <c r="AU53" s="30">
        <v>0</v>
      </c>
      <c r="AV53" s="21" t="e">
        <f t="shared" si="12"/>
        <v>#DIV/0!</v>
      </c>
      <c r="AW53" s="21" t="e">
        <f t="shared" si="13"/>
        <v>#DIV/0!</v>
      </c>
      <c r="AX53" s="21" t="e">
        <f t="shared" si="14"/>
        <v>#DIV/0!</v>
      </c>
      <c r="AY53" s="21" t="e">
        <f t="shared" si="15"/>
        <v>#DIV/0!</v>
      </c>
      <c r="AZ53" s="21" t="e">
        <f t="shared" si="16"/>
        <v>#DIV/0!</v>
      </c>
      <c r="BA53" s="21" t="e">
        <f t="shared" si="17"/>
        <v>#DIV/0!</v>
      </c>
      <c r="BB53" s="23" t="e">
        <f t="shared" si="6"/>
        <v>#DIV/0!</v>
      </c>
    </row>
    <row r="54" spans="1:54" x14ac:dyDescent="0.25">
      <c r="A54" s="34"/>
      <c r="B54" s="34"/>
      <c r="C54" s="34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1">
        <v>0</v>
      </c>
      <c r="AV54" s="20" t="e">
        <f t="shared" si="12"/>
        <v>#DIV/0!</v>
      </c>
      <c r="AW54" s="20" t="e">
        <f t="shared" si="13"/>
        <v>#DIV/0!</v>
      </c>
      <c r="AX54" s="20" t="e">
        <f t="shared" si="14"/>
        <v>#DIV/0!</v>
      </c>
      <c r="AY54" s="20" t="e">
        <f t="shared" si="15"/>
        <v>#DIV/0!</v>
      </c>
      <c r="AZ54" s="20" t="e">
        <f t="shared" si="16"/>
        <v>#DIV/0!</v>
      </c>
      <c r="BA54" s="20" t="e">
        <f t="shared" si="17"/>
        <v>#DIV/0!</v>
      </c>
      <c r="BB54" s="23" t="e">
        <f t="shared" si="6"/>
        <v>#DIV/0!</v>
      </c>
    </row>
    <row r="55" spans="1:54" s="5" customFormat="1" x14ac:dyDescent="0.25">
      <c r="A55" s="32"/>
      <c r="B55" s="32"/>
      <c r="C55" s="32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6"/>
      <c r="AC55" s="36"/>
      <c r="AD55" s="36"/>
      <c r="AE55" s="36"/>
      <c r="AF55" s="36"/>
      <c r="AG55" s="36"/>
      <c r="AH55" s="36"/>
      <c r="AI55" s="36"/>
      <c r="AJ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  <c r="AU55" s="30">
        <v>0</v>
      </c>
      <c r="AV55" s="21" t="e">
        <f t="shared" si="12"/>
        <v>#DIV/0!</v>
      </c>
      <c r="AW55" s="21" t="e">
        <f t="shared" si="13"/>
        <v>#DIV/0!</v>
      </c>
      <c r="AX55" s="21" t="e">
        <f t="shared" si="14"/>
        <v>#DIV/0!</v>
      </c>
      <c r="AY55" s="21" t="e">
        <f t="shared" si="15"/>
        <v>#DIV/0!</v>
      </c>
      <c r="AZ55" s="21" t="e">
        <f t="shared" si="16"/>
        <v>#DIV/0!</v>
      </c>
      <c r="BA55" s="21" t="e">
        <f t="shared" si="17"/>
        <v>#DIV/0!</v>
      </c>
      <c r="BB55" s="23" t="e">
        <f t="shared" si="6"/>
        <v>#DIV/0!</v>
      </c>
    </row>
    <row r="56" spans="1:54" x14ac:dyDescent="0.25">
      <c r="A56" s="34"/>
      <c r="B56" s="34"/>
      <c r="C56" s="34"/>
      <c r="D56" s="35"/>
      <c r="E56" s="35"/>
      <c r="F56" s="37"/>
      <c r="G56" s="37"/>
      <c r="H56" s="37"/>
      <c r="I56" s="35"/>
      <c r="J56" s="37"/>
      <c r="K56" s="35"/>
      <c r="L56" s="37"/>
      <c r="M56" s="37"/>
      <c r="N56" s="37"/>
      <c r="O56" s="37"/>
      <c r="P56" s="37"/>
      <c r="Q56" s="35"/>
      <c r="R56" s="35"/>
      <c r="S56" s="35"/>
      <c r="T56" s="35"/>
      <c r="U56" s="35"/>
      <c r="V56" s="35"/>
      <c r="W56" s="35"/>
      <c r="X56" s="35"/>
      <c r="Y56" s="35"/>
      <c r="Z56" s="37"/>
      <c r="AA56" s="35"/>
      <c r="AB56" s="35"/>
      <c r="AC56" s="35"/>
      <c r="AD56" s="35"/>
      <c r="AE56" s="35"/>
      <c r="AF56" s="35"/>
      <c r="AG56" s="35"/>
      <c r="AH56" s="35"/>
      <c r="AI56" s="35"/>
      <c r="AJ56" s="35"/>
      <c r="AK56" s="35"/>
      <c r="AL56" s="35"/>
      <c r="AM56" s="35"/>
      <c r="AN56" s="37"/>
      <c r="AO56" s="37"/>
      <c r="AP56" s="37"/>
      <c r="AQ56" s="37"/>
      <c r="AR56" s="37"/>
      <c r="AS56" s="37"/>
      <c r="AT56" s="37"/>
      <c r="AU56" s="31">
        <v>0</v>
      </c>
      <c r="AV56" s="20" t="e">
        <f t="shared" si="12"/>
        <v>#DIV/0!</v>
      </c>
      <c r="AW56" s="20" t="e">
        <f t="shared" si="13"/>
        <v>#DIV/0!</v>
      </c>
      <c r="AX56" s="20" t="e">
        <f t="shared" si="14"/>
        <v>#DIV/0!</v>
      </c>
      <c r="AY56" s="20" t="e">
        <f t="shared" si="15"/>
        <v>#DIV/0!</v>
      </c>
      <c r="AZ56" s="20" t="e">
        <f t="shared" si="16"/>
        <v>#DIV/0!</v>
      </c>
      <c r="BA56" s="20" t="e">
        <f t="shared" si="17"/>
        <v>#DIV/0!</v>
      </c>
      <c r="BB56" s="23" t="e">
        <f t="shared" si="6"/>
        <v>#DIV/0!</v>
      </c>
    </row>
    <row r="57" spans="1:54" s="5" customFormat="1" x14ac:dyDescent="0.25">
      <c r="A57" s="32"/>
      <c r="B57" s="32"/>
      <c r="C57" s="32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6"/>
      <c r="AQ57" s="36"/>
      <c r="AR57" s="36"/>
      <c r="AS57" s="36"/>
      <c r="AT57" s="36"/>
      <c r="AU57" s="30">
        <v>0</v>
      </c>
      <c r="AV57" s="21" t="e">
        <f t="shared" si="12"/>
        <v>#DIV/0!</v>
      </c>
      <c r="AW57" s="21" t="e">
        <f t="shared" si="13"/>
        <v>#DIV/0!</v>
      </c>
      <c r="AX57" s="21" t="e">
        <f t="shared" si="14"/>
        <v>#DIV/0!</v>
      </c>
      <c r="AY57" s="21" t="e">
        <f t="shared" si="15"/>
        <v>#DIV/0!</v>
      </c>
      <c r="AZ57" s="21" t="e">
        <f t="shared" si="16"/>
        <v>#DIV/0!</v>
      </c>
      <c r="BA57" s="21" t="e">
        <f t="shared" si="17"/>
        <v>#DIV/0!</v>
      </c>
      <c r="BB57" s="23" t="e">
        <f t="shared" si="6"/>
        <v>#DIV/0!</v>
      </c>
    </row>
    <row r="58" spans="1:54" x14ac:dyDescent="0.25">
      <c r="A58" s="34"/>
      <c r="B58" s="34"/>
      <c r="C58" s="34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/>
      <c r="AS58" s="37"/>
      <c r="AT58" s="37"/>
      <c r="AU58" s="31">
        <v>0</v>
      </c>
      <c r="AV58" s="20" t="e">
        <f t="shared" si="12"/>
        <v>#DIV/0!</v>
      </c>
      <c r="AW58" s="20" t="e">
        <f t="shared" si="13"/>
        <v>#DIV/0!</v>
      </c>
      <c r="AX58" s="20" t="e">
        <f t="shared" si="14"/>
        <v>#DIV/0!</v>
      </c>
      <c r="AY58" s="20" t="e">
        <f t="shared" si="15"/>
        <v>#DIV/0!</v>
      </c>
      <c r="AZ58" s="20" t="e">
        <f t="shared" si="16"/>
        <v>#DIV/0!</v>
      </c>
      <c r="BA58" s="20" t="e">
        <f t="shared" si="17"/>
        <v>#DIV/0!</v>
      </c>
      <c r="BB58" s="23" t="e">
        <f t="shared" si="6"/>
        <v>#DIV/0!</v>
      </c>
    </row>
    <row r="59" spans="1:54" s="5" customFormat="1" x14ac:dyDescent="0.25">
      <c r="A59" s="32"/>
      <c r="B59" s="32"/>
      <c r="C59" s="32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6"/>
      <c r="AE59" s="36"/>
      <c r="AF59" s="33"/>
      <c r="AG59" s="36"/>
      <c r="AH59" s="33"/>
      <c r="AI59" s="33"/>
      <c r="AJ59" s="33"/>
      <c r="AK59" s="36"/>
      <c r="AL59" s="36"/>
      <c r="AM59" s="33"/>
      <c r="AN59" s="33"/>
      <c r="AO59" s="33"/>
      <c r="AP59" s="33"/>
      <c r="AQ59" s="33"/>
      <c r="AR59" s="33"/>
      <c r="AS59" s="33"/>
      <c r="AT59" s="33"/>
      <c r="AU59" s="30">
        <v>0</v>
      </c>
      <c r="AV59" s="21" t="e">
        <f t="shared" si="12"/>
        <v>#DIV/0!</v>
      </c>
      <c r="AW59" s="21" t="e">
        <f t="shared" si="13"/>
        <v>#DIV/0!</v>
      </c>
      <c r="AX59" s="21" t="e">
        <f t="shared" si="14"/>
        <v>#DIV/0!</v>
      </c>
      <c r="AY59" s="21" t="e">
        <f t="shared" si="15"/>
        <v>#DIV/0!</v>
      </c>
      <c r="AZ59" s="21" t="e">
        <f t="shared" si="16"/>
        <v>#DIV/0!</v>
      </c>
      <c r="BA59" s="21" t="e">
        <f t="shared" si="17"/>
        <v>#DIV/0!</v>
      </c>
      <c r="BB59" s="23" t="e">
        <f t="shared" si="6"/>
        <v>#DIV/0!</v>
      </c>
    </row>
    <row r="60" spans="1:54" x14ac:dyDescent="0.25">
      <c r="A60" s="34"/>
      <c r="B60" s="34"/>
      <c r="C60" s="34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1">
        <v>0</v>
      </c>
      <c r="AV60" s="20" t="e">
        <f t="shared" si="12"/>
        <v>#DIV/0!</v>
      </c>
      <c r="AW60" s="20" t="e">
        <f t="shared" si="13"/>
        <v>#DIV/0!</v>
      </c>
      <c r="AX60" s="20" t="e">
        <f t="shared" si="14"/>
        <v>#DIV/0!</v>
      </c>
      <c r="AY60" s="20" t="e">
        <f t="shared" si="15"/>
        <v>#DIV/0!</v>
      </c>
      <c r="AZ60" s="20" t="e">
        <f t="shared" si="16"/>
        <v>#DIV/0!</v>
      </c>
      <c r="BA60" s="20" t="e">
        <f t="shared" si="17"/>
        <v>#DIV/0!</v>
      </c>
      <c r="BB60" s="23" t="e">
        <f t="shared" si="6"/>
        <v>#DIV/0!</v>
      </c>
    </row>
    <row r="61" spans="1:54" s="5" customFormat="1" x14ac:dyDescent="0.25">
      <c r="A61" s="32"/>
      <c r="B61" s="32"/>
      <c r="C61" s="32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  <c r="AU61" s="30">
        <v>0</v>
      </c>
      <c r="AV61" s="21" t="e">
        <f t="shared" si="12"/>
        <v>#DIV/0!</v>
      </c>
      <c r="AW61" s="21" t="e">
        <f t="shared" si="13"/>
        <v>#DIV/0!</v>
      </c>
      <c r="AX61" s="21" t="e">
        <f t="shared" si="14"/>
        <v>#DIV/0!</v>
      </c>
      <c r="AY61" s="21" t="e">
        <f t="shared" si="15"/>
        <v>#DIV/0!</v>
      </c>
      <c r="AZ61" s="21" t="e">
        <f t="shared" si="16"/>
        <v>#DIV/0!</v>
      </c>
      <c r="BA61" s="21" t="e">
        <f t="shared" si="17"/>
        <v>#DIV/0!</v>
      </c>
      <c r="BB61" s="23" t="e">
        <f t="shared" si="6"/>
        <v>#DIV/0!</v>
      </c>
    </row>
    <row r="62" spans="1:54" x14ac:dyDescent="0.25">
      <c r="A62" s="34"/>
      <c r="B62" s="34"/>
      <c r="C62" s="34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7"/>
      <c r="AD62" s="37"/>
      <c r="AE62" s="37"/>
      <c r="AF62" s="37"/>
      <c r="AG62" s="37"/>
      <c r="AH62" s="37"/>
      <c r="AI62" s="37"/>
      <c r="AJ62" s="37"/>
      <c r="AK62" s="37"/>
      <c r="AL62" s="37"/>
      <c r="AM62" s="37"/>
      <c r="AN62" s="37"/>
      <c r="AO62" s="37"/>
      <c r="AP62" s="37"/>
      <c r="AQ62" s="37"/>
      <c r="AR62" s="37"/>
      <c r="AS62" s="37"/>
      <c r="AT62" s="37"/>
      <c r="AU62" s="31">
        <v>0</v>
      </c>
      <c r="AV62" s="20" t="e">
        <f t="shared" si="12"/>
        <v>#DIV/0!</v>
      </c>
      <c r="AW62" s="20" t="e">
        <f t="shared" si="13"/>
        <v>#DIV/0!</v>
      </c>
      <c r="AX62" s="20" t="e">
        <f t="shared" si="14"/>
        <v>#DIV/0!</v>
      </c>
      <c r="AY62" s="20" t="e">
        <f t="shared" si="15"/>
        <v>#DIV/0!</v>
      </c>
      <c r="AZ62" s="20" t="e">
        <f t="shared" si="16"/>
        <v>#DIV/0!</v>
      </c>
      <c r="BA62" s="20" t="e">
        <f t="shared" si="17"/>
        <v>#DIV/0!</v>
      </c>
      <c r="BB62" s="23" t="e">
        <f t="shared" si="6"/>
        <v>#DIV/0!</v>
      </c>
    </row>
    <row r="63" spans="1:54" s="5" customFormat="1" x14ac:dyDescent="0.25">
      <c r="A63" s="32"/>
      <c r="B63" s="32"/>
      <c r="C63" s="32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  <c r="AG63" s="36"/>
      <c r="AH63" s="33"/>
      <c r="AI63" s="33"/>
      <c r="AJ63" s="33"/>
      <c r="AK63" s="33"/>
      <c r="AL63" s="36"/>
      <c r="AM63" s="33"/>
      <c r="AN63" s="33"/>
      <c r="AO63" s="33"/>
      <c r="AP63" s="33"/>
      <c r="AQ63" s="33"/>
      <c r="AR63" s="33"/>
      <c r="AS63" s="33"/>
      <c r="AT63" s="33"/>
      <c r="AU63" s="30">
        <v>0</v>
      </c>
      <c r="AV63" s="21" t="e">
        <f t="shared" si="12"/>
        <v>#DIV/0!</v>
      </c>
      <c r="AW63" s="21" t="e">
        <f t="shared" si="13"/>
        <v>#DIV/0!</v>
      </c>
      <c r="AX63" s="21" t="e">
        <f t="shared" si="14"/>
        <v>#DIV/0!</v>
      </c>
      <c r="AY63" s="21" t="e">
        <f t="shared" si="15"/>
        <v>#DIV/0!</v>
      </c>
      <c r="AZ63" s="21" t="e">
        <f t="shared" si="16"/>
        <v>#DIV/0!</v>
      </c>
      <c r="BA63" s="21" t="e">
        <f t="shared" si="17"/>
        <v>#DIV/0!</v>
      </c>
      <c r="BB63" s="23" t="e">
        <f t="shared" si="6"/>
        <v>#DIV/0!</v>
      </c>
    </row>
    <row r="64" spans="1:54" x14ac:dyDescent="0.25">
      <c r="A64" s="34"/>
      <c r="B64" s="34"/>
      <c r="C64" s="34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5"/>
      <c r="AF64" s="35"/>
      <c r="AG64" s="35"/>
      <c r="AH64" s="35"/>
      <c r="AI64" s="35"/>
      <c r="AJ64" s="35"/>
      <c r="AK64" s="35"/>
      <c r="AL64" s="35"/>
      <c r="AM64" s="35"/>
      <c r="AN64" s="35"/>
      <c r="AO64" s="35"/>
      <c r="AP64" s="35"/>
      <c r="AQ64" s="35"/>
      <c r="AR64" s="35"/>
      <c r="AS64" s="35"/>
      <c r="AT64" s="35"/>
      <c r="AU64" s="31">
        <v>0</v>
      </c>
      <c r="AV64" s="20" t="e">
        <f t="shared" si="12"/>
        <v>#DIV/0!</v>
      </c>
      <c r="AW64" s="20" t="e">
        <f t="shared" si="13"/>
        <v>#DIV/0!</v>
      </c>
      <c r="AX64" s="20" t="e">
        <f t="shared" si="14"/>
        <v>#DIV/0!</v>
      </c>
      <c r="AY64" s="20" t="e">
        <f t="shared" si="15"/>
        <v>#DIV/0!</v>
      </c>
      <c r="AZ64" s="20" t="e">
        <f t="shared" si="16"/>
        <v>#DIV/0!</v>
      </c>
      <c r="BA64" s="20" t="e">
        <f t="shared" si="17"/>
        <v>#DIV/0!</v>
      </c>
      <c r="BB64" s="23" t="e">
        <f t="shared" si="6"/>
        <v>#DIV/0!</v>
      </c>
    </row>
    <row r="65" spans="1:54" s="5" customFormat="1" x14ac:dyDescent="0.25">
      <c r="A65" s="32"/>
      <c r="B65" s="32"/>
      <c r="C65" s="32"/>
      <c r="D65" s="36"/>
      <c r="E65" s="36"/>
      <c r="F65" s="36"/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  <c r="AH65" s="36"/>
      <c r="AI65" s="36"/>
      <c r="AJ65" s="36"/>
      <c r="AK65" s="36"/>
      <c r="AL65" s="36"/>
      <c r="AM65" s="36"/>
      <c r="AN65" s="36"/>
      <c r="AO65" s="36"/>
      <c r="AP65" s="36"/>
      <c r="AQ65" s="36"/>
      <c r="AR65" s="36"/>
      <c r="AS65" s="36"/>
      <c r="AT65" s="36"/>
      <c r="AU65" s="30">
        <v>0</v>
      </c>
      <c r="AV65" s="21" t="e">
        <f t="shared" si="12"/>
        <v>#DIV/0!</v>
      </c>
      <c r="AW65" s="21" t="e">
        <f t="shared" si="13"/>
        <v>#DIV/0!</v>
      </c>
      <c r="AX65" s="21" t="e">
        <f t="shared" si="14"/>
        <v>#DIV/0!</v>
      </c>
      <c r="AY65" s="21" t="e">
        <f t="shared" si="15"/>
        <v>#DIV/0!</v>
      </c>
      <c r="AZ65" s="21" t="e">
        <f t="shared" si="16"/>
        <v>#DIV/0!</v>
      </c>
      <c r="BA65" s="21" t="e">
        <f t="shared" si="17"/>
        <v>#DIV/0!</v>
      </c>
      <c r="BB65" s="23" t="e">
        <f t="shared" si="6"/>
        <v>#DIV/0!</v>
      </c>
    </row>
    <row r="66" spans="1:54" x14ac:dyDescent="0.25">
      <c r="A66" s="34"/>
      <c r="B66" s="34"/>
      <c r="C66" s="34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5"/>
      <c r="AE66" s="35"/>
      <c r="AF66" s="35"/>
      <c r="AG66" s="35"/>
      <c r="AH66" s="35"/>
      <c r="AI66" s="35"/>
      <c r="AJ66" s="35"/>
      <c r="AK66" s="35"/>
      <c r="AL66" s="35"/>
      <c r="AM66" s="37"/>
      <c r="AN66" s="37"/>
      <c r="AO66" s="37"/>
      <c r="AP66" s="37"/>
      <c r="AQ66" s="37"/>
      <c r="AR66" s="37"/>
      <c r="AS66" s="37"/>
      <c r="AT66" s="37"/>
      <c r="AU66" s="31">
        <v>0</v>
      </c>
      <c r="AV66" s="20" t="e">
        <f t="shared" si="12"/>
        <v>#DIV/0!</v>
      </c>
      <c r="AW66" s="20" t="e">
        <f t="shared" si="13"/>
        <v>#DIV/0!</v>
      </c>
      <c r="AX66" s="20" t="e">
        <f t="shared" si="14"/>
        <v>#DIV/0!</v>
      </c>
      <c r="AY66" s="20" t="e">
        <f t="shared" si="15"/>
        <v>#DIV/0!</v>
      </c>
      <c r="AZ66" s="20" t="e">
        <f t="shared" si="16"/>
        <v>#DIV/0!</v>
      </c>
      <c r="BA66" s="20" t="e">
        <f t="shared" si="17"/>
        <v>#DIV/0!</v>
      </c>
      <c r="BB66" s="23" t="e">
        <f t="shared" si="6"/>
        <v>#DIV/0!</v>
      </c>
    </row>
    <row r="67" spans="1:54" s="5" customFormat="1" x14ac:dyDescent="0.25">
      <c r="A67" s="32"/>
      <c r="B67" s="32"/>
      <c r="C67" s="32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  <c r="AG67" s="33"/>
      <c r="AH67" s="33"/>
      <c r="AI67" s="33"/>
      <c r="AJ67" s="33"/>
      <c r="AK67" s="33"/>
      <c r="AL67" s="33"/>
      <c r="AM67" s="33"/>
      <c r="AN67" s="33"/>
      <c r="AO67" s="33"/>
      <c r="AP67" s="33"/>
      <c r="AQ67" s="33"/>
      <c r="AR67" s="33"/>
      <c r="AS67" s="33"/>
      <c r="AT67" s="33"/>
      <c r="AU67" s="30">
        <v>0</v>
      </c>
      <c r="AV67" s="21" t="e">
        <f t="shared" si="12"/>
        <v>#DIV/0!</v>
      </c>
      <c r="AW67" s="21" t="e">
        <f t="shared" si="13"/>
        <v>#DIV/0!</v>
      </c>
      <c r="AX67" s="21" t="e">
        <f t="shared" si="14"/>
        <v>#DIV/0!</v>
      </c>
      <c r="AY67" s="21" t="e">
        <f t="shared" si="15"/>
        <v>#DIV/0!</v>
      </c>
      <c r="AZ67" s="21" t="e">
        <f t="shared" si="16"/>
        <v>#DIV/0!</v>
      </c>
      <c r="BA67" s="21" t="e">
        <f t="shared" si="17"/>
        <v>#DIV/0!</v>
      </c>
      <c r="BB67" s="23" t="e">
        <f t="shared" si="6"/>
        <v>#DIV/0!</v>
      </c>
    </row>
    <row r="68" spans="1:54" x14ac:dyDescent="0.25">
      <c r="A68" s="34"/>
      <c r="B68" s="34"/>
      <c r="C68" s="34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  <c r="AS68" s="35"/>
      <c r="AT68" s="35"/>
      <c r="AU68" s="31">
        <v>0</v>
      </c>
      <c r="AV68" s="20" t="e">
        <f t="shared" si="12"/>
        <v>#DIV/0!</v>
      </c>
      <c r="AW68" s="20" t="e">
        <f t="shared" si="13"/>
        <v>#DIV/0!</v>
      </c>
      <c r="AX68" s="20" t="e">
        <f t="shared" si="14"/>
        <v>#DIV/0!</v>
      </c>
      <c r="AY68" s="20" t="e">
        <f t="shared" si="15"/>
        <v>#DIV/0!</v>
      </c>
      <c r="AZ68" s="20" t="e">
        <f t="shared" si="16"/>
        <v>#DIV/0!</v>
      </c>
      <c r="BA68" s="20" t="e">
        <f t="shared" si="17"/>
        <v>#DIV/0!</v>
      </c>
      <c r="BB68" s="23" t="e">
        <f t="shared" si="6"/>
        <v>#DIV/0!</v>
      </c>
    </row>
    <row r="69" spans="1:54" s="5" customFormat="1" x14ac:dyDescent="0.25">
      <c r="A69" s="32"/>
      <c r="B69" s="32"/>
      <c r="C69" s="32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  <c r="AG69" s="33"/>
      <c r="AH69" s="33"/>
      <c r="AI69" s="36"/>
      <c r="AJ69" s="33"/>
      <c r="AK69" s="33"/>
      <c r="AL69" s="33"/>
      <c r="AM69" s="36"/>
      <c r="AN69" s="36"/>
      <c r="AO69" s="36"/>
      <c r="AP69" s="36"/>
      <c r="AQ69" s="36"/>
      <c r="AR69" s="36"/>
      <c r="AS69" s="36"/>
      <c r="AT69" s="36"/>
      <c r="AU69" s="30">
        <v>0</v>
      </c>
      <c r="AV69" s="21" t="e">
        <f t="shared" si="12"/>
        <v>#DIV/0!</v>
      </c>
      <c r="AW69" s="21" t="e">
        <f t="shared" si="13"/>
        <v>#DIV/0!</v>
      </c>
      <c r="AX69" s="21" t="e">
        <f t="shared" si="14"/>
        <v>#DIV/0!</v>
      </c>
      <c r="AY69" s="21" t="e">
        <f t="shared" si="15"/>
        <v>#DIV/0!</v>
      </c>
      <c r="AZ69" s="21" t="e">
        <f t="shared" si="16"/>
        <v>#DIV/0!</v>
      </c>
      <c r="BA69" s="21" t="e">
        <f t="shared" si="17"/>
        <v>#DIV/0!</v>
      </c>
      <c r="BB69" s="23" t="e">
        <f t="shared" si="6"/>
        <v>#DIV/0!</v>
      </c>
    </row>
    <row r="70" spans="1:54" s="5" customFormat="1" x14ac:dyDescent="0.25">
      <c r="A70" s="34"/>
      <c r="B70" s="34"/>
      <c r="C70" s="34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  <c r="AP70" s="37"/>
      <c r="AQ70" s="37"/>
      <c r="AR70" s="37"/>
      <c r="AS70" s="37"/>
      <c r="AT70" s="37"/>
      <c r="AU70" s="21" t="e">
        <f>AO70/#REF!</f>
        <v>#REF!</v>
      </c>
      <c r="AV70" s="21" t="e">
        <f>AP70/#REF!</f>
        <v>#REF!</v>
      </c>
      <c r="AW70" s="21" t="e">
        <f>AQ70/#REF!</f>
        <v>#REF!</v>
      </c>
      <c r="AX70" s="21" t="e">
        <f>AR70/#REF!</f>
        <v>#REF!</v>
      </c>
      <c r="AY70" s="21" t="e">
        <f>AS70/#REF!</f>
        <v>#REF!</v>
      </c>
      <c r="AZ70" s="21" t="e">
        <f>AT70/#REF!</f>
        <v>#REF!</v>
      </c>
      <c r="BA70"/>
      <c r="BB70" s="23" t="e">
        <f>AVERAGE(AX70,AY70,AZ70)</f>
        <v>#REF!</v>
      </c>
    </row>
    <row r="71" spans="1:54" x14ac:dyDescent="0.25">
      <c r="A71" s="34"/>
      <c r="B71" s="32"/>
      <c r="C71" s="32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  <c r="AG71" s="33"/>
      <c r="AH71" s="33"/>
      <c r="AI71" s="33"/>
      <c r="AJ71" s="33"/>
      <c r="AK71" s="33"/>
      <c r="AL71" s="33"/>
      <c r="AM71" s="33"/>
      <c r="AN71" s="33"/>
      <c r="AO71" s="33"/>
      <c r="AP71" s="33"/>
      <c r="AQ71" s="33"/>
      <c r="AR71" s="33"/>
      <c r="AS71" s="33"/>
      <c r="AT71" s="33"/>
      <c r="AU71" s="21" t="e">
        <f t="shared" ref="AU71:AZ71" si="18">AO71/AP$63</f>
        <v>#DIV/0!</v>
      </c>
      <c r="AV71" s="21" t="e">
        <f t="shared" si="18"/>
        <v>#DIV/0!</v>
      </c>
      <c r="AW71" s="21" t="e">
        <f t="shared" si="18"/>
        <v>#DIV/0!</v>
      </c>
      <c r="AX71" s="21" t="e">
        <f t="shared" si="18"/>
        <v>#DIV/0!</v>
      </c>
      <c r="AY71" s="21" t="e">
        <f t="shared" si="18"/>
        <v>#DIV/0!</v>
      </c>
      <c r="AZ71" s="21" t="e">
        <f t="shared" si="18"/>
        <v>#DIV/0!</v>
      </c>
      <c r="BA71" s="5"/>
      <c r="BB71" s="23" t="e">
        <f>AVERAGE(AX71,AY71,AZ71)</f>
        <v>#DIV/0!</v>
      </c>
    </row>
    <row r="72" spans="1:54" s="5" customFormat="1" x14ac:dyDescent="0.25">
      <c r="A72" s="34"/>
      <c r="B72" s="34"/>
      <c r="C72" s="34"/>
      <c r="D72" s="35"/>
      <c r="E72" s="35"/>
      <c r="F72" s="35"/>
      <c r="G72" s="35"/>
      <c r="H72" s="35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  <c r="AK72" s="37"/>
      <c r="AL72" s="37"/>
      <c r="AM72" s="37"/>
      <c r="AN72" s="37"/>
      <c r="AO72" s="37"/>
      <c r="AP72" s="37"/>
      <c r="AQ72" s="37"/>
      <c r="AR72" s="37"/>
      <c r="AS72" s="37"/>
      <c r="AT72" s="37"/>
      <c r="AU72" s="21" t="e">
        <f t="shared" ref="AU72:AZ72" si="19">AO72/AP$42</f>
        <v>#DIV/0!</v>
      </c>
      <c r="AV72" s="21" t="e">
        <f t="shared" si="19"/>
        <v>#DIV/0!</v>
      </c>
      <c r="AW72" s="21" t="e">
        <f t="shared" si="19"/>
        <v>#DIV/0!</v>
      </c>
      <c r="AX72" s="21" t="e">
        <f t="shared" si="19"/>
        <v>#DIV/0!</v>
      </c>
      <c r="AY72" s="21" t="e">
        <f t="shared" si="19"/>
        <v>#DIV/0!</v>
      </c>
      <c r="AZ72" s="21" t="e">
        <f t="shared" si="19"/>
        <v>#DIV/0!</v>
      </c>
      <c r="BB72" s="23" t="e">
        <f>AVERAGE(AX72,AY72,AZ72)</f>
        <v>#DIV/0!</v>
      </c>
    </row>
    <row r="73" spans="1:54" x14ac:dyDescent="0.25">
      <c r="A73" s="34"/>
      <c r="B73" s="32"/>
      <c r="C73" s="32"/>
      <c r="D73" s="36"/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  <c r="AA73" s="36"/>
      <c r="AB73" s="36"/>
      <c r="AC73" s="36"/>
      <c r="AD73" s="36"/>
      <c r="AE73" s="36"/>
      <c r="AF73" s="36"/>
      <c r="AG73" s="36"/>
      <c r="AH73" s="36"/>
      <c r="AI73" s="36"/>
      <c r="AJ73" s="36"/>
      <c r="AK73" s="36"/>
      <c r="AL73" s="36"/>
      <c r="AM73" s="36"/>
      <c r="AN73" s="36"/>
      <c r="AO73" s="36"/>
      <c r="AP73" s="36"/>
      <c r="AQ73" s="36"/>
      <c r="AR73" s="36"/>
      <c r="AS73" s="36"/>
      <c r="AT73" s="36"/>
      <c r="AU73" s="20" t="e">
        <f t="shared" ref="AU73:AZ73" si="20">AO73/AO$25</f>
        <v>#DIV/0!</v>
      </c>
      <c r="AV73" s="20" t="e">
        <f t="shared" si="20"/>
        <v>#DIV/0!</v>
      </c>
      <c r="AW73" s="20" t="e">
        <f t="shared" si="20"/>
        <v>#DIV/0!</v>
      </c>
      <c r="AX73" s="20" t="e">
        <f t="shared" si="20"/>
        <v>#DIV/0!</v>
      </c>
      <c r="AY73" s="20" t="e">
        <f t="shared" si="20"/>
        <v>#DIV/0!</v>
      </c>
      <c r="AZ73" s="20" t="e">
        <f t="shared" si="20"/>
        <v>#DIV/0!</v>
      </c>
      <c r="BB73" s="23" t="e">
        <f>AVERAGE(AX73,AY73,AZ73)</f>
        <v>#DIV/0!</v>
      </c>
    </row>
    <row r="74" spans="1:54" s="5" customFormat="1" x14ac:dyDescent="0.25">
      <c r="A74" s="32"/>
      <c r="B74" s="32"/>
      <c r="C74" s="32"/>
      <c r="D74" s="33"/>
      <c r="E74" s="33"/>
      <c r="F74" s="33"/>
      <c r="G74" s="33"/>
      <c r="H74" s="33"/>
      <c r="I74" s="33"/>
      <c r="J74" s="33"/>
      <c r="K74" s="33"/>
      <c r="L74" s="33"/>
      <c r="M74" s="36"/>
      <c r="N74" s="36"/>
      <c r="O74" s="36"/>
      <c r="P74" s="33"/>
      <c r="Q74" s="36"/>
      <c r="R74" s="36"/>
      <c r="S74" s="36"/>
      <c r="T74" s="36"/>
      <c r="U74" s="36"/>
      <c r="V74" s="36"/>
      <c r="W74" s="36"/>
      <c r="X74" s="36"/>
      <c r="Y74" s="36"/>
      <c r="Z74" s="36"/>
      <c r="AA74" s="36"/>
      <c r="AB74" s="36"/>
      <c r="AC74" s="36"/>
      <c r="AD74" s="36"/>
      <c r="AE74" s="36"/>
      <c r="AF74" s="36"/>
      <c r="AG74" s="36"/>
      <c r="AH74" s="36"/>
      <c r="AI74" s="36"/>
      <c r="AJ74" s="36"/>
      <c r="AK74" s="36"/>
      <c r="AL74" s="36"/>
      <c r="AM74" s="36"/>
      <c r="AN74" s="36"/>
      <c r="AO74" s="36"/>
      <c r="AP74" s="36"/>
      <c r="AQ74" s="36"/>
      <c r="AR74" s="36"/>
      <c r="AS74" s="36"/>
      <c r="AT74" s="36"/>
      <c r="AU74" s="30">
        <v>0</v>
      </c>
      <c r="AV74" s="21" t="e">
        <f t="shared" ref="AV74:BA77" si="21">AO74/AO541</f>
        <v>#DIV/0!</v>
      </c>
      <c r="AW74" s="21" t="e">
        <f t="shared" si="21"/>
        <v>#DIV/0!</v>
      </c>
      <c r="AX74" s="21" t="e">
        <f t="shared" si="21"/>
        <v>#DIV/0!</v>
      </c>
      <c r="AY74" s="21" t="e">
        <f t="shared" si="21"/>
        <v>#DIV/0!</v>
      </c>
      <c r="AZ74" s="21" t="e">
        <f t="shared" si="21"/>
        <v>#DIV/0!</v>
      </c>
      <c r="BA74" s="21" t="e">
        <f t="shared" si="21"/>
        <v>#DIV/0!</v>
      </c>
      <c r="BB74" s="23" t="e">
        <f t="shared" si="6"/>
        <v>#DIV/0!</v>
      </c>
    </row>
    <row r="75" spans="1:54" x14ac:dyDescent="0.25">
      <c r="A75" s="34"/>
      <c r="B75" s="34"/>
      <c r="C75" s="34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  <c r="AK75" s="37"/>
      <c r="AL75" s="37"/>
      <c r="AM75" s="37"/>
      <c r="AN75" s="37"/>
      <c r="AO75" s="37"/>
      <c r="AP75" s="37"/>
      <c r="AQ75" s="37"/>
      <c r="AR75" s="37"/>
      <c r="AS75" s="37"/>
      <c r="AT75" s="37"/>
      <c r="AU75" s="31">
        <v>0</v>
      </c>
      <c r="AV75" s="20" t="e">
        <f t="shared" si="21"/>
        <v>#DIV/0!</v>
      </c>
      <c r="AW75" s="20" t="e">
        <f t="shared" si="21"/>
        <v>#DIV/0!</v>
      </c>
      <c r="AX75" s="20" t="e">
        <f t="shared" si="21"/>
        <v>#DIV/0!</v>
      </c>
      <c r="AY75" s="20" t="e">
        <f t="shared" si="21"/>
        <v>#DIV/0!</v>
      </c>
      <c r="AZ75" s="20" t="e">
        <f t="shared" si="21"/>
        <v>#DIV/0!</v>
      </c>
      <c r="BA75" s="20" t="e">
        <f t="shared" si="21"/>
        <v>#DIV/0!</v>
      </c>
      <c r="BB75" s="23" t="e">
        <f t="shared" si="6"/>
        <v>#DIV/0!</v>
      </c>
    </row>
    <row r="76" spans="1:54" s="5" customFormat="1" x14ac:dyDescent="0.25">
      <c r="A76" s="32"/>
      <c r="B76" s="32"/>
      <c r="C76" s="32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6"/>
      <c r="AN76" s="33"/>
      <c r="AO76" s="33"/>
      <c r="AP76" s="33"/>
      <c r="AQ76" s="33"/>
      <c r="AR76" s="33"/>
      <c r="AS76" s="36"/>
      <c r="AT76" s="36"/>
      <c r="AU76" s="30">
        <v>0</v>
      </c>
      <c r="AV76" s="21" t="e">
        <f t="shared" si="21"/>
        <v>#DIV/0!</v>
      </c>
      <c r="AW76" s="21" t="e">
        <f t="shared" si="21"/>
        <v>#DIV/0!</v>
      </c>
      <c r="AX76" s="21" t="e">
        <f t="shared" si="21"/>
        <v>#DIV/0!</v>
      </c>
      <c r="AY76" s="21" t="e">
        <f t="shared" si="21"/>
        <v>#DIV/0!</v>
      </c>
      <c r="AZ76" s="21" t="e">
        <f t="shared" si="21"/>
        <v>#DIV/0!</v>
      </c>
      <c r="BA76" s="21" t="e">
        <f t="shared" si="21"/>
        <v>#DIV/0!</v>
      </c>
      <c r="BB76" s="23" t="e">
        <f t="shared" si="6"/>
        <v>#DIV/0!</v>
      </c>
    </row>
    <row r="77" spans="1:54" x14ac:dyDescent="0.25">
      <c r="A77" s="34"/>
      <c r="B77" s="34"/>
      <c r="C77" s="34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  <c r="AF77" s="37"/>
      <c r="AG77" s="37"/>
      <c r="AH77" s="37"/>
      <c r="AI77" s="37"/>
      <c r="AJ77" s="37"/>
      <c r="AK77" s="37"/>
      <c r="AL77" s="37"/>
      <c r="AM77" s="37"/>
      <c r="AN77" s="37"/>
      <c r="AO77" s="37"/>
      <c r="AP77" s="37"/>
      <c r="AQ77" s="37"/>
      <c r="AR77" s="37"/>
      <c r="AS77" s="37"/>
      <c r="AT77" s="37"/>
      <c r="AU77" s="31">
        <v>0</v>
      </c>
      <c r="AV77" s="20" t="e">
        <f t="shared" si="21"/>
        <v>#DIV/0!</v>
      </c>
      <c r="AW77" s="20" t="e">
        <f t="shared" si="21"/>
        <v>#DIV/0!</v>
      </c>
      <c r="AX77" s="20" t="e">
        <f t="shared" si="21"/>
        <v>#DIV/0!</v>
      </c>
      <c r="AY77" s="20" t="e">
        <f t="shared" si="21"/>
        <v>#DIV/0!</v>
      </c>
      <c r="AZ77" s="20" t="e">
        <f t="shared" si="21"/>
        <v>#DIV/0!</v>
      </c>
      <c r="BA77" s="20" t="e">
        <f t="shared" si="21"/>
        <v>#DIV/0!</v>
      </c>
      <c r="BB77" s="23" t="e">
        <f t="shared" si="6"/>
        <v>#DIV/0!</v>
      </c>
    </row>
    <row r="78" spans="1:54" s="5" customFormat="1" x14ac:dyDescent="0.25">
      <c r="A78" s="32"/>
      <c r="B78" s="32"/>
      <c r="C78" s="32"/>
      <c r="D78" s="33"/>
      <c r="E78" s="33"/>
      <c r="F78" s="33"/>
      <c r="G78" s="33"/>
      <c r="H78" s="36"/>
      <c r="I78" s="36"/>
      <c r="J78" s="36"/>
      <c r="K78" s="36"/>
      <c r="L78" s="36"/>
      <c r="M78" s="36"/>
      <c r="N78" s="36"/>
      <c r="O78" s="36"/>
      <c r="P78" s="36"/>
      <c r="Q78" s="36"/>
      <c r="R78" s="36"/>
      <c r="S78" s="36"/>
      <c r="T78" s="36"/>
      <c r="U78" s="36"/>
      <c r="V78" s="36"/>
      <c r="W78" s="36"/>
      <c r="X78" s="36"/>
      <c r="Y78" s="36"/>
      <c r="Z78" s="36"/>
      <c r="AA78" s="36"/>
      <c r="AB78" s="36"/>
      <c r="AC78" s="36"/>
      <c r="AD78" s="36"/>
      <c r="AE78" s="36"/>
      <c r="AF78" s="36"/>
      <c r="AG78" s="36"/>
      <c r="AH78" s="36"/>
      <c r="AI78" s="36"/>
      <c r="AJ78" s="36"/>
      <c r="AK78" s="36"/>
      <c r="AL78" s="36"/>
      <c r="AM78" s="36"/>
      <c r="AN78" s="36"/>
      <c r="AO78" s="36"/>
      <c r="AP78" s="36"/>
      <c r="AQ78" s="36"/>
      <c r="AR78" s="36"/>
      <c r="AS78" s="36"/>
      <c r="AT78" s="36"/>
      <c r="AU78" s="30">
        <v>0</v>
      </c>
      <c r="AV78" s="21" t="e">
        <f t="shared" ref="AV78:BA81" si="22">AO78/AO517</f>
        <v>#DIV/0!</v>
      </c>
      <c r="AW78" s="21" t="e">
        <f t="shared" si="22"/>
        <v>#DIV/0!</v>
      </c>
      <c r="AX78" s="21" t="e">
        <f t="shared" si="22"/>
        <v>#DIV/0!</v>
      </c>
      <c r="AY78" s="21" t="e">
        <f t="shared" si="22"/>
        <v>#DIV/0!</v>
      </c>
      <c r="AZ78" s="21" t="e">
        <f t="shared" si="22"/>
        <v>#DIV/0!</v>
      </c>
      <c r="BA78" s="21" t="e">
        <f t="shared" si="22"/>
        <v>#DIV/0!</v>
      </c>
      <c r="BB78" s="23" t="e">
        <f t="shared" si="6"/>
        <v>#DIV/0!</v>
      </c>
    </row>
    <row r="79" spans="1:54" x14ac:dyDescent="0.25">
      <c r="A79" s="34"/>
      <c r="B79" s="34"/>
      <c r="C79" s="34"/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7"/>
      <c r="R79" s="37"/>
      <c r="S79" s="35"/>
      <c r="T79" s="35"/>
      <c r="U79" s="35"/>
      <c r="V79" s="35"/>
      <c r="W79" s="35"/>
      <c r="X79" s="37"/>
      <c r="Y79" s="35"/>
      <c r="Z79" s="35"/>
      <c r="AA79" s="35"/>
      <c r="AB79" s="37"/>
      <c r="AC79" s="35"/>
      <c r="AD79" s="37"/>
      <c r="AE79" s="35"/>
      <c r="AF79" s="35"/>
      <c r="AG79" s="37"/>
      <c r="AH79" s="35"/>
      <c r="AI79" s="37"/>
      <c r="AJ79" s="37"/>
      <c r="AK79" s="37"/>
      <c r="AL79" s="37"/>
      <c r="AM79" s="37"/>
      <c r="AN79" s="37"/>
      <c r="AO79" s="37"/>
      <c r="AP79" s="37"/>
      <c r="AQ79" s="37"/>
      <c r="AR79" s="37"/>
      <c r="AS79" s="37"/>
      <c r="AT79" s="37"/>
      <c r="AU79" s="31">
        <v>0</v>
      </c>
      <c r="AV79" s="20" t="e">
        <f t="shared" si="22"/>
        <v>#DIV/0!</v>
      </c>
      <c r="AW79" s="20" t="e">
        <f t="shared" si="22"/>
        <v>#DIV/0!</v>
      </c>
      <c r="AX79" s="20" t="e">
        <f t="shared" si="22"/>
        <v>#DIV/0!</v>
      </c>
      <c r="AY79" s="20" t="e">
        <f t="shared" si="22"/>
        <v>#DIV/0!</v>
      </c>
      <c r="AZ79" s="20" t="e">
        <f t="shared" si="22"/>
        <v>#DIV/0!</v>
      </c>
      <c r="BA79" s="20" t="e">
        <f t="shared" si="22"/>
        <v>#DIV/0!</v>
      </c>
      <c r="BB79" s="23" t="e">
        <f t="shared" si="6"/>
        <v>#DIV/0!</v>
      </c>
    </row>
    <row r="80" spans="1:54" s="5" customFormat="1" x14ac:dyDescent="0.25">
      <c r="A80" s="32"/>
      <c r="B80" s="32"/>
      <c r="C80" s="32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6"/>
      <c r="Y80" s="36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6"/>
      <c r="AU80" s="30">
        <v>0</v>
      </c>
      <c r="AV80" s="21" t="e">
        <f t="shared" si="22"/>
        <v>#DIV/0!</v>
      </c>
      <c r="AW80" s="21" t="e">
        <f t="shared" si="22"/>
        <v>#DIV/0!</v>
      </c>
      <c r="AX80" s="21" t="e">
        <f t="shared" si="22"/>
        <v>#DIV/0!</v>
      </c>
      <c r="AY80" s="21" t="e">
        <f t="shared" si="22"/>
        <v>#DIV/0!</v>
      </c>
      <c r="AZ80" s="21" t="e">
        <f t="shared" si="22"/>
        <v>#DIV/0!</v>
      </c>
      <c r="BA80" s="21" t="e">
        <f t="shared" si="22"/>
        <v>#DIV/0!</v>
      </c>
      <c r="BB80" s="23" t="e">
        <f t="shared" si="6"/>
        <v>#DIV/0!</v>
      </c>
    </row>
    <row r="81" spans="1:54" x14ac:dyDescent="0.25">
      <c r="A81" s="34"/>
      <c r="B81" s="34"/>
      <c r="C81" s="34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1">
        <v>0</v>
      </c>
      <c r="AV81" s="20" t="e">
        <f t="shared" si="22"/>
        <v>#DIV/0!</v>
      </c>
      <c r="AW81" s="20" t="e">
        <f t="shared" si="22"/>
        <v>#DIV/0!</v>
      </c>
      <c r="AX81" s="20" t="e">
        <f t="shared" si="22"/>
        <v>#DIV/0!</v>
      </c>
      <c r="AY81" s="20" t="e">
        <f t="shared" si="22"/>
        <v>#DIV/0!</v>
      </c>
      <c r="AZ81" s="20" t="e">
        <f t="shared" si="22"/>
        <v>#DIV/0!</v>
      </c>
      <c r="BA81" s="20" t="e">
        <f t="shared" si="22"/>
        <v>#DIV/0!</v>
      </c>
      <c r="BB81" s="23" t="e">
        <f t="shared" si="6"/>
        <v>#DIV/0!</v>
      </c>
    </row>
    <row r="82" spans="1:54" s="5" customFormat="1" x14ac:dyDescent="0.25">
      <c r="A82" s="32"/>
      <c r="B82" s="32"/>
      <c r="C82" s="32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33"/>
      <c r="AK82" s="33"/>
      <c r="AL82" s="33"/>
      <c r="AM82" s="33"/>
      <c r="AN82" s="33"/>
      <c r="AO82" s="33"/>
      <c r="AP82" s="33"/>
      <c r="AQ82" s="33"/>
      <c r="AR82" s="33"/>
      <c r="AS82" s="33"/>
      <c r="AT82" s="33"/>
      <c r="AU82" s="30">
        <v>0</v>
      </c>
      <c r="AV82" s="21" t="e">
        <f t="shared" ref="AV82:BA88" si="23">AO82/AO522</f>
        <v>#DIV/0!</v>
      </c>
      <c r="AW82" s="21" t="e">
        <f t="shared" si="23"/>
        <v>#DIV/0!</v>
      </c>
      <c r="AX82" s="21" t="e">
        <f t="shared" si="23"/>
        <v>#DIV/0!</v>
      </c>
      <c r="AY82" s="21" t="e">
        <f t="shared" si="23"/>
        <v>#DIV/0!</v>
      </c>
      <c r="AZ82" s="21" t="e">
        <f t="shared" si="23"/>
        <v>#DIV/0!</v>
      </c>
      <c r="BA82" s="21" t="e">
        <f t="shared" si="23"/>
        <v>#DIV/0!</v>
      </c>
      <c r="BB82" s="23" t="e">
        <f t="shared" si="6"/>
        <v>#DIV/0!</v>
      </c>
    </row>
    <row r="83" spans="1:54" x14ac:dyDescent="0.25">
      <c r="A83" s="34"/>
      <c r="B83" s="34"/>
      <c r="C83" s="34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  <c r="X83" s="35"/>
      <c r="Y83" s="35"/>
      <c r="Z83" s="35"/>
      <c r="AA83" s="35"/>
      <c r="AB83" s="35"/>
      <c r="AC83" s="35"/>
      <c r="AD83" s="35"/>
      <c r="AE83" s="35"/>
      <c r="AF83" s="35"/>
      <c r="AG83" s="35"/>
      <c r="AH83" s="35"/>
      <c r="AI83" s="35"/>
      <c r="AJ83" s="35"/>
      <c r="AK83" s="35"/>
      <c r="AL83" s="35"/>
      <c r="AM83" s="35"/>
      <c r="AN83" s="35"/>
      <c r="AO83" s="35"/>
      <c r="AP83" s="35"/>
      <c r="AQ83" s="35"/>
      <c r="AR83" s="35"/>
      <c r="AS83" s="35"/>
      <c r="AT83" s="35"/>
      <c r="AU83" s="31">
        <v>0</v>
      </c>
      <c r="AV83" s="20" t="e">
        <f t="shared" si="23"/>
        <v>#DIV/0!</v>
      </c>
      <c r="AW83" s="20" t="e">
        <f t="shared" si="23"/>
        <v>#DIV/0!</v>
      </c>
      <c r="AX83" s="20" t="e">
        <f t="shared" si="23"/>
        <v>#DIV/0!</v>
      </c>
      <c r="AY83" s="20" t="e">
        <f t="shared" si="23"/>
        <v>#DIV/0!</v>
      </c>
      <c r="AZ83" s="20" t="e">
        <f t="shared" si="23"/>
        <v>#DIV/0!</v>
      </c>
      <c r="BA83" s="20" t="e">
        <f t="shared" si="23"/>
        <v>#DIV/0!</v>
      </c>
      <c r="BB83" s="23" t="e">
        <f t="shared" si="6"/>
        <v>#DIV/0!</v>
      </c>
    </row>
    <row r="84" spans="1:54" s="5" customFormat="1" x14ac:dyDescent="0.25">
      <c r="A84" s="32"/>
      <c r="B84" s="32"/>
      <c r="C84" s="32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  <c r="AG84" s="33"/>
      <c r="AH84" s="33"/>
      <c r="AI84" s="33"/>
      <c r="AJ84" s="33"/>
      <c r="AK84" s="33"/>
      <c r="AL84" s="33"/>
      <c r="AM84" s="33"/>
      <c r="AN84" s="33"/>
      <c r="AO84" s="33"/>
      <c r="AP84" s="33"/>
      <c r="AQ84" s="33"/>
      <c r="AR84" s="33"/>
      <c r="AS84" s="33"/>
      <c r="AT84" s="33"/>
      <c r="AU84" s="30">
        <v>0</v>
      </c>
      <c r="AV84" s="21" t="e">
        <f t="shared" si="23"/>
        <v>#DIV/0!</v>
      </c>
      <c r="AW84" s="21" t="e">
        <f t="shared" si="23"/>
        <v>#DIV/0!</v>
      </c>
      <c r="AX84" s="21" t="e">
        <f t="shared" si="23"/>
        <v>#DIV/0!</v>
      </c>
      <c r="AY84" s="21" t="e">
        <f t="shared" si="23"/>
        <v>#DIV/0!</v>
      </c>
      <c r="AZ84" s="21" t="e">
        <f t="shared" si="23"/>
        <v>#DIV/0!</v>
      </c>
      <c r="BA84" s="21" t="e">
        <f t="shared" si="23"/>
        <v>#DIV/0!</v>
      </c>
      <c r="BB84" s="23" t="e">
        <f t="shared" si="6"/>
        <v>#DIV/0!</v>
      </c>
    </row>
    <row r="85" spans="1:54" x14ac:dyDescent="0.25">
      <c r="A85" s="34"/>
      <c r="B85" s="34"/>
      <c r="C85" s="34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  <c r="X85" s="35"/>
      <c r="Y85" s="35"/>
      <c r="Z85" s="35"/>
      <c r="AA85" s="35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1">
        <v>0</v>
      </c>
      <c r="AV85" s="20" t="e">
        <f t="shared" si="23"/>
        <v>#DIV/0!</v>
      </c>
      <c r="AW85" s="20" t="e">
        <f t="shared" si="23"/>
        <v>#DIV/0!</v>
      </c>
      <c r="AX85" s="20" t="e">
        <f t="shared" si="23"/>
        <v>#DIV/0!</v>
      </c>
      <c r="AY85" s="20" t="e">
        <f t="shared" si="23"/>
        <v>#DIV/0!</v>
      </c>
      <c r="AZ85" s="20" t="e">
        <f t="shared" si="23"/>
        <v>#DIV/0!</v>
      </c>
      <c r="BA85" s="20" t="e">
        <f t="shared" si="23"/>
        <v>#DIV/0!</v>
      </c>
      <c r="BB85" s="23" t="e">
        <f t="shared" si="6"/>
        <v>#DIV/0!</v>
      </c>
    </row>
    <row r="86" spans="1:54" s="5" customFormat="1" x14ac:dyDescent="0.25">
      <c r="A86" s="32"/>
      <c r="B86" s="32"/>
      <c r="C86" s="32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0">
        <v>0</v>
      </c>
      <c r="AV86" s="21" t="e">
        <f t="shared" si="23"/>
        <v>#DIV/0!</v>
      </c>
      <c r="AW86" s="21" t="e">
        <f t="shared" si="23"/>
        <v>#DIV/0!</v>
      </c>
      <c r="AX86" s="21" t="e">
        <f t="shared" si="23"/>
        <v>#DIV/0!</v>
      </c>
      <c r="AY86" s="21" t="e">
        <f t="shared" si="23"/>
        <v>#DIV/0!</v>
      </c>
      <c r="AZ86" s="21" t="e">
        <f t="shared" si="23"/>
        <v>#DIV/0!</v>
      </c>
      <c r="BA86" s="21" t="e">
        <f t="shared" si="23"/>
        <v>#DIV/0!</v>
      </c>
      <c r="BB86" s="23" t="e">
        <f t="shared" si="6"/>
        <v>#DIV/0!</v>
      </c>
    </row>
    <row r="87" spans="1:54" x14ac:dyDescent="0.25">
      <c r="A87" s="34"/>
      <c r="B87" s="34"/>
      <c r="C87" s="34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35"/>
      <c r="U87" s="35"/>
      <c r="V87" s="35"/>
      <c r="W87" s="35"/>
      <c r="X87" s="35"/>
      <c r="Y87" s="35"/>
      <c r="Z87" s="35"/>
      <c r="AA87" s="35"/>
      <c r="AB87" s="35"/>
      <c r="AC87" s="35"/>
      <c r="AD87" s="35"/>
      <c r="AE87" s="35"/>
      <c r="AF87" s="35"/>
      <c r="AG87" s="35"/>
      <c r="AH87" s="35"/>
      <c r="AI87" s="35"/>
      <c r="AJ87" s="35"/>
      <c r="AK87" s="35"/>
      <c r="AL87" s="35"/>
      <c r="AM87" s="35"/>
      <c r="AN87" s="37"/>
      <c r="AO87" s="37"/>
      <c r="AP87" s="37"/>
      <c r="AQ87" s="37"/>
      <c r="AR87" s="37"/>
      <c r="AS87" s="37"/>
      <c r="AT87" s="37"/>
      <c r="AU87" s="31">
        <v>0</v>
      </c>
      <c r="AV87" s="20" t="e">
        <f t="shared" si="23"/>
        <v>#DIV/0!</v>
      </c>
      <c r="AW87" s="20" t="e">
        <f t="shared" si="23"/>
        <v>#DIV/0!</v>
      </c>
      <c r="AX87" s="20" t="e">
        <f t="shared" si="23"/>
        <v>#DIV/0!</v>
      </c>
      <c r="AY87" s="20" t="e">
        <f t="shared" si="23"/>
        <v>#DIV/0!</v>
      </c>
      <c r="AZ87" s="20" t="e">
        <f t="shared" si="23"/>
        <v>#DIV/0!</v>
      </c>
      <c r="BA87" s="20" t="e">
        <f t="shared" si="23"/>
        <v>#DIV/0!</v>
      </c>
      <c r="BB87" s="23" t="e">
        <f t="shared" si="6"/>
        <v>#DIV/0!</v>
      </c>
    </row>
    <row r="88" spans="1:54" s="5" customFormat="1" x14ac:dyDescent="0.25">
      <c r="A88" s="32"/>
      <c r="B88" s="32"/>
      <c r="C88" s="32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6"/>
      <c r="AA88" s="33"/>
      <c r="AB88" s="36"/>
      <c r="AC88" s="36"/>
      <c r="AD88" s="36"/>
      <c r="AE88" s="36"/>
      <c r="AF88" s="36"/>
      <c r="AG88" s="36"/>
      <c r="AH88" s="36"/>
      <c r="AI88" s="36"/>
      <c r="AJ88" s="36"/>
      <c r="AK88" s="36"/>
      <c r="AL88" s="36"/>
      <c r="AM88" s="36"/>
      <c r="AN88" s="36"/>
      <c r="AO88" s="36"/>
      <c r="AP88" s="36"/>
      <c r="AQ88" s="36"/>
      <c r="AR88" s="36"/>
      <c r="AS88" s="36"/>
      <c r="AT88" s="36"/>
      <c r="AU88" s="30">
        <v>0</v>
      </c>
      <c r="AV88" s="21" t="e">
        <f t="shared" si="23"/>
        <v>#DIV/0!</v>
      </c>
      <c r="AW88" s="21" t="e">
        <f t="shared" si="23"/>
        <v>#DIV/0!</v>
      </c>
      <c r="AX88" s="21" t="e">
        <f t="shared" si="23"/>
        <v>#DIV/0!</v>
      </c>
      <c r="AY88" s="21" t="e">
        <f t="shared" si="23"/>
        <v>#DIV/0!</v>
      </c>
      <c r="AZ88" s="21" t="e">
        <f t="shared" si="23"/>
        <v>#DIV/0!</v>
      </c>
      <c r="BA88" s="21" t="e">
        <f t="shared" si="23"/>
        <v>#DIV/0!</v>
      </c>
      <c r="BB88" s="23" t="e">
        <f t="shared" si="6"/>
        <v>#DIV/0!</v>
      </c>
    </row>
    <row r="89" spans="1:54" x14ac:dyDescent="0.25">
      <c r="A89" s="34"/>
      <c r="B89" s="34"/>
      <c r="C89" s="34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  <c r="AB89" s="35"/>
      <c r="AC89" s="35"/>
      <c r="AD89" s="35"/>
      <c r="AE89" s="35"/>
      <c r="AF89" s="35"/>
      <c r="AG89" s="35"/>
      <c r="AH89" s="35"/>
      <c r="AI89" s="35"/>
      <c r="AJ89" s="35"/>
      <c r="AK89" s="35"/>
      <c r="AL89" s="35"/>
      <c r="AM89" s="35"/>
      <c r="AN89" s="35"/>
      <c r="AO89" s="35"/>
      <c r="AP89" s="35"/>
      <c r="AQ89" s="35"/>
      <c r="AR89" s="35"/>
      <c r="AS89" s="35"/>
      <c r="AT89" s="35"/>
      <c r="AU89" s="31">
        <v>0</v>
      </c>
      <c r="AV89" s="20" t="e">
        <f t="shared" ref="AV89:BA89" si="24">AO89/AO530</f>
        <v>#DIV/0!</v>
      </c>
      <c r="AW89" s="20" t="e">
        <f t="shared" si="24"/>
        <v>#DIV/0!</v>
      </c>
      <c r="AX89" s="20" t="e">
        <f t="shared" si="24"/>
        <v>#DIV/0!</v>
      </c>
      <c r="AY89" s="20" t="e">
        <f t="shared" si="24"/>
        <v>#DIV/0!</v>
      </c>
      <c r="AZ89" s="20" t="e">
        <f t="shared" si="24"/>
        <v>#DIV/0!</v>
      </c>
      <c r="BA89" s="20" t="e">
        <f t="shared" si="24"/>
        <v>#DIV/0!</v>
      </c>
      <c r="BB89" s="23" t="e">
        <f t="shared" si="6"/>
        <v>#DIV/0!</v>
      </c>
    </row>
    <row r="90" spans="1:54" s="5" customFormat="1" x14ac:dyDescent="0.25">
      <c r="A90" s="32"/>
      <c r="B90" s="32"/>
      <c r="C90" s="32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0">
        <v>0</v>
      </c>
      <c r="AV90" s="21" t="e">
        <f t="shared" ref="AV90:BA90" si="25">AO90/AO532</f>
        <v>#DIV/0!</v>
      </c>
      <c r="AW90" s="21" t="e">
        <f t="shared" si="25"/>
        <v>#DIV/0!</v>
      </c>
      <c r="AX90" s="21" t="e">
        <f t="shared" si="25"/>
        <v>#DIV/0!</v>
      </c>
      <c r="AY90" s="21" t="e">
        <f t="shared" si="25"/>
        <v>#DIV/0!</v>
      </c>
      <c r="AZ90" s="21" t="e">
        <f t="shared" si="25"/>
        <v>#DIV/0!</v>
      </c>
      <c r="BA90" s="21" t="e">
        <f t="shared" si="25"/>
        <v>#DIV/0!</v>
      </c>
      <c r="BB90" s="23" t="e">
        <f t="shared" si="6"/>
        <v>#DIV/0!</v>
      </c>
    </row>
    <row r="91" spans="1:54" s="5" customFormat="1" x14ac:dyDescent="0.25">
      <c r="A91" s="34"/>
      <c r="B91" s="34"/>
      <c r="C91" s="34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  <c r="AB91" s="35"/>
      <c r="AC91" s="35"/>
      <c r="AD91" s="35"/>
      <c r="AE91" s="35"/>
      <c r="AF91" s="35"/>
      <c r="AG91" s="35"/>
      <c r="AH91" s="35"/>
      <c r="AI91" s="35"/>
      <c r="AJ91" s="35"/>
      <c r="AK91" s="35"/>
      <c r="AL91" s="35"/>
      <c r="AM91" s="35"/>
      <c r="AN91" s="35"/>
      <c r="AO91" s="35"/>
      <c r="AP91" s="35"/>
      <c r="AQ91" s="35"/>
      <c r="AR91" s="35"/>
      <c r="AS91" s="35"/>
      <c r="AT91" s="35"/>
      <c r="AU91" s="21" t="e">
        <f t="shared" ref="AU91:AZ91" si="26">AO91/AP$83</f>
        <v>#DIV/0!</v>
      </c>
      <c r="AV91" s="21" t="e">
        <f t="shared" si="26"/>
        <v>#DIV/0!</v>
      </c>
      <c r="AW91" s="21" t="e">
        <f t="shared" si="26"/>
        <v>#DIV/0!</v>
      </c>
      <c r="AX91" s="21" t="e">
        <f t="shared" si="26"/>
        <v>#DIV/0!</v>
      </c>
      <c r="AY91" s="21" t="e">
        <f t="shared" si="26"/>
        <v>#DIV/0!</v>
      </c>
      <c r="AZ91" s="21" t="e">
        <f t="shared" si="26"/>
        <v>#DIV/0!</v>
      </c>
      <c r="BB91" s="23" t="e">
        <f>AVERAGE(AX91,AY91,AZ91)</f>
        <v>#DIV/0!</v>
      </c>
    </row>
    <row r="92" spans="1:54" x14ac:dyDescent="0.25">
      <c r="A92" s="34"/>
      <c r="B92" s="32"/>
      <c r="C92" s="32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6"/>
      <c r="T92" s="36"/>
      <c r="U92" s="36"/>
      <c r="V92" s="36"/>
      <c r="W92" s="33"/>
      <c r="X92" s="33"/>
      <c r="Y92" s="33"/>
      <c r="Z92" s="36"/>
      <c r="AA92" s="33"/>
      <c r="AB92" s="36"/>
      <c r="AC92" s="36"/>
      <c r="AD92" s="36"/>
      <c r="AE92" s="36"/>
      <c r="AF92" s="36"/>
      <c r="AG92" s="36"/>
      <c r="AH92" s="36"/>
      <c r="AI92" s="36"/>
      <c r="AJ92" s="36"/>
      <c r="AK92" s="36"/>
      <c r="AL92" s="36"/>
      <c r="AM92" s="36"/>
      <c r="AN92" s="36"/>
      <c r="AO92" s="36"/>
      <c r="AP92" s="36"/>
      <c r="AQ92" s="36"/>
      <c r="AR92" s="36"/>
      <c r="AS92" s="36"/>
      <c r="AT92" s="36"/>
      <c r="AU92" s="21" t="e">
        <f t="shared" ref="AU92:AZ92" si="27">AO92/AP$63</f>
        <v>#DIV/0!</v>
      </c>
      <c r="AV92" s="21" t="e">
        <f t="shared" si="27"/>
        <v>#DIV/0!</v>
      </c>
      <c r="AW92" s="21" t="e">
        <f t="shared" si="27"/>
        <v>#DIV/0!</v>
      </c>
      <c r="AX92" s="21" t="e">
        <f t="shared" si="27"/>
        <v>#DIV/0!</v>
      </c>
      <c r="AY92" s="21" t="e">
        <f t="shared" si="27"/>
        <v>#DIV/0!</v>
      </c>
      <c r="AZ92" s="21" t="e">
        <f t="shared" si="27"/>
        <v>#DIV/0!</v>
      </c>
      <c r="BB92" s="23" t="e">
        <f>AVERAGE(AX92,AY92,AZ92)</f>
        <v>#DIV/0!</v>
      </c>
    </row>
    <row r="93" spans="1:54" s="5" customFormat="1" x14ac:dyDescent="0.25">
      <c r="A93" s="34"/>
      <c r="B93" s="34"/>
      <c r="C93" s="34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35"/>
      <c r="AI93" s="35"/>
      <c r="AJ93" s="35"/>
      <c r="AK93" s="35"/>
      <c r="AL93" s="35"/>
      <c r="AM93" s="35"/>
      <c r="AN93" s="35"/>
      <c r="AO93" s="35"/>
      <c r="AP93" s="35"/>
      <c r="AQ93" s="35"/>
      <c r="AR93" s="35"/>
      <c r="AS93" s="35"/>
      <c r="AT93" s="35"/>
      <c r="AU93" s="21" t="e">
        <f t="shared" ref="AU93:AZ93" si="28">AO93/AP$42</f>
        <v>#DIV/0!</v>
      </c>
      <c r="AV93" s="21" t="e">
        <f t="shared" si="28"/>
        <v>#DIV/0!</v>
      </c>
      <c r="AW93" s="21" t="e">
        <f t="shared" si="28"/>
        <v>#DIV/0!</v>
      </c>
      <c r="AX93" s="21" t="e">
        <f t="shared" si="28"/>
        <v>#DIV/0!</v>
      </c>
      <c r="AY93" s="21" t="e">
        <f t="shared" si="28"/>
        <v>#DIV/0!</v>
      </c>
      <c r="AZ93" s="21" t="e">
        <f t="shared" si="28"/>
        <v>#DIV/0!</v>
      </c>
      <c r="BA93"/>
      <c r="BB93" s="23" t="e">
        <f>AVERAGE(AX93,AY93,AZ93)</f>
        <v>#DIV/0!</v>
      </c>
    </row>
    <row r="94" spans="1:54" x14ac:dyDescent="0.25">
      <c r="A94" s="34"/>
      <c r="B94" s="32"/>
      <c r="C94" s="32"/>
      <c r="D94" s="33"/>
      <c r="E94" s="33"/>
      <c r="F94" s="33"/>
      <c r="G94" s="33"/>
      <c r="H94" s="33"/>
      <c r="I94" s="33"/>
      <c r="J94" s="36"/>
      <c r="K94" s="33"/>
      <c r="L94" s="36"/>
      <c r="M94" s="36"/>
      <c r="N94" s="36"/>
      <c r="O94" s="36"/>
      <c r="P94" s="36"/>
      <c r="Q94" s="36"/>
      <c r="R94" s="33"/>
      <c r="S94" s="36"/>
      <c r="T94" s="36"/>
      <c r="U94" s="36"/>
      <c r="V94" s="36"/>
      <c r="W94" s="36"/>
      <c r="X94" s="36"/>
      <c r="Y94" s="33"/>
      <c r="Z94" s="36"/>
      <c r="AA94" s="36"/>
      <c r="AB94" s="36"/>
      <c r="AC94" s="36"/>
      <c r="AD94" s="36"/>
      <c r="AE94" s="36"/>
      <c r="AF94" s="36"/>
      <c r="AG94" s="36"/>
      <c r="AH94" s="36"/>
      <c r="AI94" s="36"/>
      <c r="AJ94" s="36"/>
      <c r="AK94" s="36"/>
      <c r="AL94" s="36"/>
      <c r="AM94" s="36"/>
      <c r="AN94" s="36"/>
      <c r="AO94" s="36"/>
      <c r="AP94" s="36"/>
      <c r="AQ94" s="36"/>
      <c r="AR94" s="36"/>
      <c r="AS94" s="36"/>
      <c r="AT94" s="36"/>
      <c r="AU94" s="20" t="e">
        <f t="shared" ref="AU94:AZ94" si="29">AO94/AO$25</f>
        <v>#DIV/0!</v>
      </c>
      <c r="AV94" s="20" t="e">
        <f t="shared" si="29"/>
        <v>#DIV/0!</v>
      </c>
      <c r="AW94" s="20" t="e">
        <f t="shared" si="29"/>
        <v>#DIV/0!</v>
      </c>
      <c r="AX94" s="20" t="e">
        <f t="shared" si="29"/>
        <v>#DIV/0!</v>
      </c>
      <c r="AY94" s="20" t="e">
        <f t="shared" si="29"/>
        <v>#DIV/0!</v>
      </c>
      <c r="AZ94" s="20" t="e">
        <f t="shared" si="29"/>
        <v>#DIV/0!</v>
      </c>
      <c r="BA94" s="5"/>
      <c r="BB94" s="23" t="e">
        <f>AVERAGE(AX94,AY94,AZ94)</f>
        <v>#DIV/0!</v>
      </c>
    </row>
    <row r="95" spans="1:54" s="5" customFormat="1" x14ac:dyDescent="0.25">
      <c r="A95" s="32"/>
      <c r="B95" s="32"/>
      <c r="C95" s="32"/>
      <c r="D95" s="36"/>
      <c r="E95" s="36"/>
      <c r="F95" s="36"/>
      <c r="G95" s="36"/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  <c r="AA95" s="36"/>
      <c r="AB95" s="36"/>
      <c r="AC95" s="36"/>
      <c r="AD95" s="36"/>
      <c r="AE95" s="36"/>
      <c r="AF95" s="36"/>
      <c r="AG95" s="36"/>
      <c r="AH95" s="36"/>
      <c r="AI95" s="36"/>
      <c r="AJ95" s="36"/>
      <c r="AK95" s="36"/>
      <c r="AL95" s="36"/>
      <c r="AM95" s="36"/>
      <c r="AN95" s="36"/>
      <c r="AO95" s="36"/>
      <c r="AP95" s="36"/>
      <c r="AQ95" s="36"/>
      <c r="AR95" s="36"/>
      <c r="AS95" s="36"/>
      <c r="AT95" s="36"/>
      <c r="AU95" s="30">
        <v>0</v>
      </c>
      <c r="AV95" s="21" t="e">
        <f t="shared" ref="AV95:BA98" si="30">AO95/AO541</f>
        <v>#DIV/0!</v>
      </c>
      <c r="AW95" s="21" t="e">
        <f t="shared" si="30"/>
        <v>#DIV/0!</v>
      </c>
      <c r="AX95" s="21" t="e">
        <f t="shared" si="30"/>
        <v>#DIV/0!</v>
      </c>
      <c r="AY95" s="21" t="e">
        <f t="shared" si="30"/>
        <v>#DIV/0!</v>
      </c>
      <c r="AZ95" s="21" t="e">
        <f t="shared" si="30"/>
        <v>#DIV/0!</v>
      </c>
      <c r="BA95" s="21" t="e">
        <f t="shared" si="30"/>
        <v>#DIV/0!</v>
      </c>
      <c r="BB95" s="23" t="e">
        <f t="shared" ref="BB95:BB139" si="31">AVERAGE(AZ95,BA95,AY95)</f>
        <v>#DIV/0!</v>
      </c>
    </row>
    <row r="96" spans="1:54" x14ac:dyDescent="0.25">
      <c r="A96" s="34"/>
      <c r="B96" s="34"/>
      <c r="C96" s="34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AU96" s="31">
        <v>0</v>
      </c>
      <c r="AV96" s="20" t="e">
        <f t="shared" si="30"/>
        <v>#DIV/0!</v>
      </c>
      <c r="AW96" s="20" t="e">
        <f t="shared" si="30"/>
        <v>#DIV/0!</v>
      </c>
      <c r="AX96" s="20" t="e">
        <f t="shared" si="30"/>
        <v>#DIV/0!</v>
      </c>
      <c r="AY96" s="20" t="e">
        <f t="shared" si="30"/>
        <v>#DIV/0!</v>
      </c>
      <c r="AZ96" s="20" t="e">
        <f t="shared" si="30"/>
        <v>#DIV/0!</v>
      </c>
      <c r="BA96" s="20" t="e">
        <f t="shared" si="30"/>
        <v>#DIV/0!</v>
      </c>
      <c r="BB96" s="23" t="e">
        <f t="shared" si="31"/>
        <v>#DIV/0!</v>
      </c>
    </row>
    <row r="97" spans="1:54" s="5" customFormat="1" x14ac:dyDescent="0.25">
      <c r="A97" s="32"/>
      <c r="B97" s="32"/>
      <c r="C97" s="32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  <c r="X97" s="36"/>
      <c r="Y97" s="36"/>
      <c r="Z97" s="36"/>
      <c r="AA97" s="36"/>
      <c r="AB97" s="36"/>
      <c r="AC97" s="36"/>
      <c r="AD97" s="36"/>
      <c r="AE97" s="36"/>
      <c r="AF97" s="36"/>
      <c r="AG97" s="36"/>
      <c r="AH97" s="36"/>
      <c r="AI97" s="36"/>
      <c r="AJ97" s="36"/>
      <c r="AK97" s="36"/>
      <c r="AL97" s="36"/>
      <c r="AM97" s="36"/>
      <c r="AN97" s="36"/>
      <c r="AO97" s="36"/>
      <c r="AP97" s="36"/>
      <c r="AQ97" s="36"/>
      <c r="AR97" s="36"/>
      <c r="AS97" s="36"/>
      <c r="AT97" s="36"/>
      <c r="AU97" s="30">
        <v>0</v>
      </c>
      <c r="AV97" s="21" t="e">
        <f t="shared" si="30"/>
        <v>#DIV/0!</v>
      </c>
      <c r="AW97" s="21" t="e">
        <f t="shared" si="30"/>
        <v>#DIV/0!</v>
      </c>
      <c r="AX97" s="21" t="e">
        <f t="shared" si="30"/>
        <v>#DIV/0!</v>
      </c>
      <c r="AY97" s="21" t="e">
        <f t="shared" si="30"/>
        <v>#DIV/0!</v>
      </c>
      <c r="AZ97" s="21" t="e">
        <f t="shared" si="30"/>
        <v>#DIV/0!</v>
      </c>
      <c r="BA97" s="21" t="e">
        <f t="shared" si="30"/>
        <v>#DIV/0!</v>
      </c>
      <c r="BB97" s="23" t="e">
        <f t="shared" si="31"/>
        <v>#DIV/0!</v>
      </c>
    </row>
    <row r="98" spans="1:54" x14ac:dyDescent="0.25">
      <c r="A98" s="34"/>
      <c r="B98" s="34"/>
      <c r="C98" s="34"/>
      <c r="D98" s="37"/>
      <c r="E98" s="37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  <c r="AA98" s="37"/>
      <c r="AB98" s="37"/>
      <c r="AC98" s="37"/>
      <c r="AD98" s="37"/>
      <c r="AE98" s="37"/>
      <c r="AF98" s="37"/>
      <c r="AG98" s="37"/>
      <c r="AH98" s="37"/>
      <c r="AI98" s="37"/>
      <c r="AJ98" s="37"/>
      <c r="AK98" s="37"/>
      <c r="AL98" s="37"/>
      <c r="AM98" s="37"/>
      <c r="AN98" s="37"/>
      <c r="AO98" s="37"/>
      <c r="AP98" s="37"/>
      <c r="AQ98" s="37"/>
      <c r="AR98" s="37"/>
      <c r="AS98" s="37"/>
      <c r="AT98" s="37"/>
      <c r="AU98" s="31">
        <v>0</v>
      </c>
      <c r="AV98" s="20" t="e">
        <f t="shared" si="30"/>
        <v>#DIV/0!</v>
      </c>
      <c r="AW98" s="20" t="e">
        <f t="shared" si="30"/>
        <v>#DIV/0!</v>
      </c>
      <c r="AX98" s="20" t="e">
        <f t="shared" si="30"/>
        <v>#DIV/0!</v>
      </c>
      <c r="AY98" s="20" t="e">
        <f t="shared" si="30"/>
        <v>#DIV/0!</v>
      </c>
      <c r="AZ98" s="20" t="e">
        <f t="shared" si="30"/>
        <v>#DIV/0!</v>
      </c>
      <c r="BA98" s="20" t="e">
        <f t="shared" si="30"/>
        <v>#DIV/0!</v>
      </c>
      <c r="BB98" s="23" t="e">
        <f t="shared" si="31"/>
        <v>#DIV/0!</v>
      </c>
    </row>
    <row r="99" spans="1:54" s="5" customFormat="1" x14ac:dyDescent="0.25">
      <c r="A99" s="32"/>
      <c r="B99" s="32"/>
      <c r="C99" s="32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  <c r="AE99" s="36"/>
      <c r="AF99" s="36"/>
      <c r="AG99" s="36"/>
      <c r="AH99" s="36"/>
      <c r="AI99" s="36"/>
      <c r="AJ99" s="36"/>
      <c r="AK99" s="36"/>
      <c r="AL99" s="36"/>
      <c r="AM99" s="36"/>
      <c r="AN99" s="36"/>
      <c r="AO99" s="36"/>
      <c r="AP99" s="36"/>
      <c r="AQ99" s="36"/>
      <c r="AR99" s="36"/>
      <c r="AS99" s="36"/>
      <c r="AT99" s="36"/>
      <c r="AU99" s="30">
        <v>0</v>
      </c>
      <c r="AV99" s="21" t="e">
        <f t="shared" ref="AV99:AV115" si="32">AO99/AO517</f>
        <v>#DIV/0!</v>
      </c>
      <c r="AW99" s="21" t="e">
        <f t="shared" ref="AW99:AW115" si="33">AP99/AP517</f>
        <v>#DIV/0!</v>
      </c>
      <c r="AX99" s="21" t="e">
        <f t="shared" ref="AX99:AX115" si="34">AQ99/AQ517</f>
        <v>#DIV/0!</v>
      </c>
      <c r="AY99" s="21" t="e">
        <f t="shared" ref="AY99:AY115" si="35">AR99/AR517</f>
        <v>#DIV/0!</v>
      </c>
      <c r="AZ99" s="21" t="e">
        <f t="shared" ref="AZ99:AZ115" si="36">AS99/AS517</f>
        <v>#DIV/0!</v>
      </c>
      <c r="BA99" s="21" t="e">
        <f t="shared" ref="BA99:BA115" si="37">AT99/AT517</f>
        <v>#DIV/0!</v>
      </c>
      <c r="BB99" s="23" t="e">
        <f t="shared" si="31"/>
        <v>#DIV/0!</v>
      </c>
    </row>
    <row r="100" spans="1:54" x14ac:dyDescent="0.25">
      <c r="A100" s="34"/>
      <c r="B100" s="34"/>
      <c r="C100" s="34"/>
      <c r="D100" s="35"/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7"/>
      <c r="R100" s="35"/>
      <c r="S100" s="35"/>
      <c r="T100" s="35"/>
      <c r="U100" s="35"/>
      <c r="V100" s="37"/>
      <c r="W100" s="37"/>
      <c r="X100" s="35"/>
      <c r="Y100" s="37"/>
      <c r="Z100" s="37"/>
      <c r="AA100" s="35"/>
      <c r="AB100" s="35"/>
      <c r="AC100" s="35"/>
      <c r="AD100" s="37"/>
      <c r="AE100" s="37"/>
      <c r="AF100" s="35"/>
      <c r="AG100" s="35"/>
      <c r="AH100" s="35"/>
      <c r="AI100" s="35"/>
      <c r="AJ100" s="35"/>
      <c r="AK100" s="35"/>
      <c r="AL100" s="35"/>
      <c r="AM100" s="35"/>
      <c r="AN100" s="35"/>
      <c r="AO100" s="35"/>
      <c r="AP100" s="35"/>
      <c r="AQ100" s="35"/>
      <c r="AR100" s="35"/>
      <c r="AS100" s="37"/>
      <c r="AT100" s="37"/>
      <c r="AU100" s="31">
        <v>0</v>
      </c>
      <c r="AV100" s="20" t="e">
        <f t="shared" si="32"/>
        <v>#DIV/0!</v>
      </c>
      <c r="AW100" s="20" t="e">
        <f t="shared" si="33"/>
        <v>#DIV/0!</v>
      </c>
      <c r="AX100" s="20" t="e">
        <f t="shared" si="34"/>
        <v>#DIV/0!</v>
      </c>
      <c r="AY100" s="20" t="e">
        <f t="shared" si="35"/>
        <v>#DIV/0!</v>
      </c>
      <c r="AZ100" s="20" t="e">
        <f t="shared" si="36"/>
        <v>#DIV/0!</v>
      </c>
      <c r="BA100" s="20" t="e">
        <f t="shared" si="37"/>
        <v>#DIV/0!</v>
      </c>
      <c r="BB100" s="23" t="e">
        <f t="shared" si="31"/>
        <v>#DIV/0!</v>
      </c>
    </row>
    <row r="101" spans="1:54" s="5" customFormat="1" x14ac:dyDescent="0.25">
      <c r="A101" s="32"/>
      <c r="B101" s="32"/>
      <c r="C101" s="32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  <c r="AA101" s="33"/>
      <c r="AB101" s="36"/>
      <c r="AC101" s="36"/>
      <c r="AD101" s="36"/>
      <c r="AE101" s="33"/>
      <c r="AF101" s="36"/>
      <c r="AG101" s="36"/>
      <c r="AH101" s="36"/>
      <c r="AI101" s="36"/>
      <c r="AJ101" s="36"/>
      <c r="AK101" s="36"/>
      <c r="AL101" s="36"/>
      <c r="AM101" s="36"/>
      <c r="AN101" s="36"/>
      <c r="AO101" s="36"/>
      <c r="AP101" s="36"/>
      <c r="AQ101" s="33"/>
      <c r="AR101" s="33"/>
      <c r="AS101" s="33"/>
      <c r="AT101" s="33"/>
      <c r="AU101" s="30">
        <v>0</v>
      </c>
      <c r="AV101" s="21" t="e">
        <f t="shared" si="32"/>
        <v>#DIV/0!</v>
      </c>
      <c r="AW101" s="21" t="e">
        <f t="shared" si="33"/>
        <v>#DIV/0!</v>
      </c>
      <c r="AX101" s="21" t="e">
        <f t="shared" si="34"/>
        <v>#DIV/0!</v>
      </c>
      <c r="AY101" s="21" t="e">
        <f t="shared" si="35"/>
        <v>#DIV/0!</v>
      </c>
      <c r="AZ101" s="21" t="e">
        <f t="shared" si="36"/>
        <v>#DIV/0!</v>
      </c>
      <c r="BA101" s="21" t="e">
        <f t="shared" si="37"/>
        <v>#DIV/0!</v>
      </c>
      <c r="BB101" s="23" t="e">
        <f t="shared" si="31"/>
        <v>#DIV/0!</v>
      </c>
    </row>
    <row r="102" spans="1:54" x14ac:dyDescent="0.25">
      <c r="A102" s="34"/>
      <c r="B102" s="34"/>
      <c r="C102" s="34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  <c r="AD102" s="37"/>
      <c r="AE102" s="37"/>
      <c r="AF102" s="37"/>
      <c r="AG102" s="37"/>
      <c r="AH102" s="37"/>
      <c r="AI102" s="37"/>
      <c r="AJ102" s="37"/>
      <c r="AK102" s="37"/>
      <c r="AL102" s="37"/>
      <c r="AM102" s="37"/>
      <c r="AN102" s="37"/>
      <c r="AO102" s="37"/>
      <c r="AP102" s="37"/>
      <c r="AQ102" s="37"/>
      <c r="AR102" s="37"/>
      <c r="AS102" s="37"/>
      <c r="AT102" s="37"/>
      <c r="AU102" s="31">
        <v>0</v>
      </c>
      <c r="AV102" s="20" t="e">
        <f t="shared" si="32"/>
        <v>#DIV/0!</v>
      </c>
      <c r="AW102" s="20" t="e">
        <f t="shared" si="33"/>
        <v>#DIV/0!</v>
      </c>
      <c r="AX102" s="20" t="e">
        <f t="shared" si="34"/>
        <v>#DIV/0!</v>
      </c>
      <c r="AY102" s="20" t="e">
        <f t="shared" si="35"/>
        <v>#DIV/0!</v>
      </c>
      <c r="AZ102" s="20" t="e">
        <f t="shared" si="36"/>
        <v>#DIV/0!</v>
      </c>
      <c r="BA102" s="20" t="e">
        <f t="shared" si="37"/>
        <v>#DIV/0!</v>
      </c>
      <c r="BB102" s="23" t="e">
        <f t="shared" si="31"/>
        <v>#DIV/0!</v>
      </c>
    </row>
    <row r="103" spans="1:54" s="5" customFormat="1" x14ac:dyDescent="0.25">
      <c r="A103" s="32"/>
      <c r="B103" s="32"/>
      <c r="C103" s="32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  <c r="AJ103" s="36"/>
      <c r="AK103" s="36"/>
      <c r="AL103" s="36"/>
      <c r="AM103" s="36"/>
      <c r="AN103" s="36"/>
      <c r="AO103" s="36"/>
      <c r="AP103" s="36"/>
      <c r="AQ103" s="36"/>
      <c r="AR103" s="36"/>
      <c r="AS103" s="36"/>
      <c r="AT103" s="36"/>
      <c r="AU103" s="30">
        <v>0</v>
      </c>
      <c r="AV103" s="21" t="e">
        <f t="shared" si="32"/>
        <v>#DIV/0!</v>
      </c>
      <c r="AW103" s="21" t="e">
        <f t="shared" si="33"/>
        <v>#DIV/0!</v>
      </c>
      <c r="AX103" s="21" t="e">
        <f t="shared" si="34"/>
        <v>#DIV/0!</v>
      </c>
      <c r="AY103" s="21" t="e">
        <f t="shared" si="35"/>
        <v>#DIV/0!</v>
      </c>
      <c r="AZ103" s="21" t="e">
        <f t="shared" si="36"/>
        <v>#DIV/0!</v>
      </c>
      <c r="BA103" s="21" t="e">
        <f t="shared" si="37"/>
        <v>#DIV/0!</v>
      </c>
      <c r="BB103" s="23" t="e">
        <f t="shared" si="31"/>
        <v>#DIV/0!</v>
      </c>
    </row>
    <row r="104" spans="1:54" x14ac:dyDescent="0.25">
      <c r="A104" s="34"/>
      <c r="B104" s="34"/>
      <c r="C104" s="34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7"/>
      <c r="Q104" s="37"/>
      <c r="R104" s="35"/>
      <c r="S104" s="35"/>
      <c r="T104" s="35"/>
      <c r="U104" s="37"/>
      <c r="V104" s="37"/>
      <c r="W104" s="37"/>
      <c r="X104" s="37"/>
      <c r="Y104" s="37"/>
      <c r="Z104" s="37"/>
      <c r="AA104" s="35"/>
      <c r="AB104" s="35"/>
      <c r="AC104" s="35"/>
      <c r="AD104" s="37"/>
      <c r="AE104" s="37"/>
      <c r="AF104" s="37"/>
      <c r="AG104" s="37"/>
      <c r="AH104" s="35"/>
      <c r="AI104" s="35"/>
      <c r="AJ104" s="35"/>
      <c r="AK104" s="35"/>
      <c r="AL104" s="37"/>
      <c r="AM104" s="37"/>
      <c r="AN104" s="37"/>
      <c r="AO104" s="37"/>
      <c r="AP104" s="37"/>
      <c r="AQ104" s="37"/>
      <c r="AR104" s="37"/>
      <c r="AS104" s="37"/>
      <c r="AT104" s="37"/>
      <c r="AU104" s="31">
        <v>0</v>
      </c>
      <c r="AV104" s="20" t="e">
        <f t="shared" si="32"/>
        <v>#DIV/0!</v>
      </c>
      <c r="AW104" s="20" t="e">
        <f t="shared" si="33"/>
        <v>#DIV/0!</v>
      </c>
      <c r="AX104" s="20" t="e">
        <f t="shared" si="34"/>
        <v>#DIV/0!</v>
      </c>
      <c r="AY104" s="20" t="e">
        <f t="shared" si="35"/>
        <v>#DIV/0!</v>
      </c>
      <c r="AZ104" s="20" t="e">
        <f t="shared" si="36"/>
        <v>#DIV/0!</v>
      </c>
      <c r="BA104" s="20" t="e">
        <f t="shared" si="37"/>
        <v>#DIV/0!</v>
      </c>
      <c r="BB104" s="23" t="e">
        <f t="shared" si="31"/>
        <v>#DIV/0!</v>
      </c>
    </row>
    <row r="105" spans="1:54" s="5" customFormat="1" x14ac:dyDescent="0.25">
      <c r="A105" s="32"/>
      <c r="B105" s="32"/>
      <c r="C105" s="32"/>
      <c r="D105" s="33"/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33"/>
      <c r="AG105" s="33"/>
      <c r="AH105" s="33"/>
      <c r="AI105" s="36"/>
      <c r="AJ105" s="33"/>
      <c r="AK105" s="33"/>
      <c r="AL105" s="33"/>
      <c r="AM105" s="33"/>
      <c r="AN105" s="33"/>
      <c r="AO105" s="33"/>
      <c r="AP105" s="33"/>
      <c r="AQ105" s="33"/>
      <c r="AR105" s="33"/>
      <c r="AS105" s="33"/>
      <c r="AT105" s="33"/>
      <c r="AU105" s="30">
        <v>0</v>
      </c>
      <c r="AV105" s="21" t="e">
        <f t="shared" si="32"/>
        <v>#DIV/0!</v>
      </c>
      <c r="AW105" s="21" t="e">
        <f t="shared" si="33"/>
        <v>#DIV/0!</v>
      </c>
      <c r="AX105" s="21" t="e">
        <f t="shared" si="34"/>
        <v>#DIV/0!</v>
      </c>
      <c r="AY105" s="21" t="e">
        <f t="shared" si="35"/>
        <v>#DIV/0!</v>
      </c>
      <c r="AZ105" s="21" t="e">
        <f t="shared" si="36"/>
        <v>#DIV/0!</v>
      </c>
      <c r="BA105" s="21" t="e">
        <f t="shared" si="37"/>
        <v>#DIV/0!</v>
      </c>
      <c r="BB105" s="23" t="e">
        <f t="shared" si="31"/>
        <v>#DIV/0!</v>
      </c>
    </row>
    <row r="106" spans="1:54" x14ac:dyDescent="0.25">
      <c r="A106" s="34"/>
      <c r="B106" s="34"/>
      <c r="C106" s="34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  <c r="AD106" s="37"/>
      <c r="AE106" s="37"/>
      <c r="AF106" s="37"/>
      <c r="AG106" s="37"/>
      <c r="AH106" s="37"/>
      <c r="AI106" s="37"/>
      <c r="AJ106" s="37"/>
      <c r="AK106" s="37"/>
      <c r="AL106" s="37"/>
      <c r="AM106" s="37"/>
      <c r="AN106" s="37"/>
      <c r="AO106" s="37"/>
      <c r="AP106" s="37"/>
      <c r="AQ106" s="37"/>
      <c r="AR106" s="37"/>
      <c r="AS106" s="37"/>
      <c r="AT106" s="37"/>
      <c r="AU106" s="31">
        <v>0</v>
      </c>
      <c r="AV106" s="20" t="e">
        <f t="shared" si="32"/>
        <v>#DIV/0!</v>
      </c>
      <c r="AW106" s="20" t="e">
        <f t="shared" si="33"/>
        <v>#DIV/0!</v>
      </c>
      <c r="AX106" s="20" t="e">
        <f t="shared" si="34"/>
        <v>#DIV/0!</v>
      </c>
      <c r="AY106" s="20" t="e">
        <f t="shared" si="35"/>
        <v>#DIV/0!</v>
      </c>
      <c r="AZ106" s="20" t="e">
        <f t="shared" si="36"/>
        <v>#DIV/0!</v>
      </c>
      <c r="BA106" s="20" t="e">
        <f t="shared" si="37"/>
        <v>#DIV/0!</v>
      </c>
      <c r="BB106" s="23" t="e">
        <f t="shared" si="31"/>
        <v>#DIV/0!</v>
      </c>
    </row>
    <row r="107" spans="1:54" s="5" customFormat="1" x14ac:dyDescent="0.25">
      <c r="A107" s="32"/>
      <c r="B107" s="32"/>
      <c r="C107" s="32"/>
      <c r="D107" s="33"/>
      <c r="E107" s="33"/>
      <c r="F107" s="33"/>
      <c r="G107" s="33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6"/>
      <c r="W107" s="36"/>
      <c r="X107" s="36"/>
      <c r="Y107" s="36"/>
      <c r="Z107" s="36"/>
      <c r="AA107" s="36"/>
      <c r="AB107" s="36"/>
      <c r="AC107" s="36"/>
      <c r="AD107" s="36"/>
      <c r="AE107" s="36"/>
      <c r="AF107" s="36"/>
      <c r="AG107" s="36"/>
      <c r="AH107" s="36"/>
      <c r="AI107" s="36"/>
      <c r="AJ107" s="36"/>
      <c r="AK107" s="36"/>
      <c r="AL107" s="36"/>
      <c r="AM107" s="36"/>
      <c r="AN107" s="36"/>
      <c r="AO107" s="36"/>
      <c r="AP107" s="36"/>
      <c r="AQ107" s="36"/>
      <c r="AR107" s="36"/>
      <c r="AS107" s="36"/>
      <c r="AT107" s="36"/>
      <c r="AU107" s="30">
        <v>0</v>
      </c>
      <c r="AV107" s="21" t="e">
        <f t="shared" si="32"/>
        <v>#DIV/0!</v>
      </c>
      <c r="AW107" s="21" t="e">
        <f t="shared" si="33"/>
        <v>#DIV/0!</v>
      </c>
      <c r="AX107" s="21" t="e">
        <f t="shared" si="34"/>
        <v>#DIV/0!</v>
      </c>
      <c r="AY107" s="21" t="e">
        <f t="shared" si="35"/>
        <v>#DIV/0!</v>
      </c>
      <c r="AZ107" s="21" t="e">
        <f t="shared" si="36"/>
        <v>#DIV/0!</v>
      </c>
      <c r="BA107" s="21" t="e">
        <f t="shared" si="37"/>
        <v>#DIV/0!</v>
      </c>
      <c r="BB107" s="23" t="e">
        <f t="shared" si="31"/>
        <v>#DIV/0!</v>
      </c>
    </row>
    <row r="108" spans="1:54" x14ac:dyDescent="0.25">
      <c r="A108" s="34"/>
      <c r="B108" s="34"/>
      <c r="C108" s="34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35"/>
      <c r="AE108" s="35"/>
      <c r="AF108" s="37"/>
      <c r="AG108" s="37"/>
      <c r="AH108" s="37"/>
      <c r="AI108" s="37"/>
      <c r="AJ108" s="37"/>
      <c r="AK108" s="37"/>
      <c r="AL108" s="37"/>
      <c r="AM108" s="37"/>
      <c r="AN108" s="37"/>
      <c r="AO108" s="37"/>
      <c r="AP108" s="37"/>
      <c r="AQ108" s="37"/>
      <c r="AR108" s="37"/>
      <c r="AS108" s="37"/>
      <c r="AT108" s="37"/>
      <c r="AU108" s="31">
        <v>0</v>
      </c>
      <c r="AV108" s="20" t="e">
        <f t="shared" si="32"/>
        <v>#DIV/0!</v>
      </c>
      <c r="AW108" s="20" t="e">
        <f t="shared" si="33"/>
        <v>#DIV/0!</v>
      </c>
      <c r="AX108" s="20" t="e">
        <f t="shared" si="34"/>
        <v>#DIV/0!</v>
      </c>
      <c r="AY108" s="20" t="e">
        <f t="shared" si="35"/>
        <v>#DIV/0!</v>
      </c>
      <c r="AZ108" s="20" t="e">
        <f t="shared" si="36"/>
        <v>#DIV/0!</v>
      </c>
      <c r="BA108" s="20" t="e">
        <f t="shared" si="37"/>
        <v>#DIV/0!</v>
      </c>
      <c r="BB108" s="23" t="e">
        <f t="shared" si="31"/>
        <v>#DIV/0!</v>
      </c>
    </row>
    <row r="109" spans="1:54" s="5" customFormat="1" x14ac:dyDescent="0.25">
      <c r="A109" s="32"/>
      <c r="B109" s="32"/>
      <c r="C109" s="32"/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6"/>
      <c r="AD109" s="33"/>
      <c r="AE109" s="33"/>
      <c r="AF109" s="33"/>
      <c r="AG109" s="33"/>
      <c r="AH109" s="33"/>
      <c r="AI109" s="33"/>
      <c r="AJ109" s="33"/>
      <c r="AK109" s="33"/>
      <c r="AL109" s="33"/>
      <c r="AM109" s="33"/>
      <c r="AN109" s="33"/>
      <c r="AO109" s="33"/>
      <c r="AP109" s="33"/>
      <c r="AQ109" s="33"/>
      <c r="AR109" s="33"/>
      <c r="AS109" s="33"/>
      <c r="AT109" s="33"/>
      <c r="AU109" s="30">
        <v>0</v>
      </c>
      <c r="AV109" s="21" t="e">
        <f t="shared" si="32"/>
        <v>#DIV/0!</v>
      </c>
      <c r="AW109" s="21" t="e">
        <f t="shared" si="33"/>
        <v>#DIV/0!</v>
      </c>
      <c r="AX109" s="21" t="e">
        <f t="shared" si="34"/>
        <v>#DIV/0!</v>
      </c>
      <c r="AY109" s="21" t="e">
        <f t="shared" si="35"/>
        <v>#DIV/0!</v>
      </c>
      <c r="AZ109" s="21" t="e">
        <f t="shared" si="36"/>
        <v>#DIV/0!</v>
      </c>
      <c r="BA109" s="21" t="e">
        <f t="shared" si="37"/>
        <v>#DIV/0!</v>
      </c>
      <c r="BB109" s="23" t="e">
        <f t="shared" si="31"/>
        <v>#DIV/0!</v>
      </c>
    </row>
    <row r="110" spans="1:54" x14ac:dyDescent="0.25">
      <c r="A110" s="34"/>
      <c r="B110" s="34"/>
      <c r="C110" s="34"/>
      <c r="D110" s="35"/>
      <c r="E110" s="35"/>
      <c r="F110" s="35"/>
      <c r="G110" s="35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  <c r="AD110" s="37"/>
      <c r="AE110" s="37"/>
      <c r="AF110" s="37"/>
      <c r="AG110" s="37"/>
      <c r="AH110" s="37"/>
      <c r="AI110" s="37"/>
      <c r="AJ110" s="37"/>
      <c r="AK110" s="37"/>
      <c r="AL110" s="37"/>
      <c r="AM110" s="37"/>
      <c r="AN110" s="37"/>
      <c r="AO110" s="37"/>
      <c r="AP110" s="37"/>
      <c r="AQ110" s="37"/>
      <c r="AR110" s="37"/>
      <c r="AS110" s="37"/>
      <c r="AT110" s="37"/>
      <c r="AU110" s="31">
        <v>0</v>
      </c>
      <c r="AV110" s="20" t="e">
        <f t="shared" si="32"/>
        <v>#DIV/0!</v>
      </c>
      <c r="AW110" s="20" t="e">
        <f t="shared" si="33"/>
        <v>#DIV/0!</v>
      </c>
      <c r="AX110" s="20" t="e">
        <f t="shared" si="34"/>
        <v>#DIV/0!</v>
      </c>
      <c r="AY110" s="20" t="e">
        <f t="shared" si="35"/>
        <v>#DIV/0!</v>
      </c>
      <c r="AZ110" s="20" t="e">
        <f t="shared" si="36"/>
        <v>#DIV/0!</v>
      </c>
      <c r="BA110" s="20" t="e">
        <f t="shared" si="37"/>
        <v>#DIV/0!</v>
      </c>
      <c r="BB110" s="23" t="e">
        <f t="shared" si="31"/>
        <v>#DIV/0!</v>
      </c>
    </row>
    <row r="111" spans="1:54" s="5" customFormat="1" x14ac:dyDescent="0.25">
      <c r="A111" s="32"/>
      <c r="B111" s="32"/>
      <c r="C111" s="32"/>
      <c r="D111" s="36"/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  <c r="R111" s="36"/>
      <c r="S111" s="36"/>
      <c r="T111" s="36"/>
      <c r="U111" s="36"/>
      <c r="V111" s="36"/>
      <c r="W111" s="36"/>
      <c r="X111" s="36"/>
      <c r="Y111" s="36"/>
      <c r="Z111" s="36"/>
      <c r="AA111" s="36"/>
      <c r="AB111" s="36"/>
      <c r="AC111" s="36"/>
      <c r="AD111" s="36"/>
      <c r="AE111" s="36"/>
      <c r="AF111" s="36"/>
      <c r="AG111" s="36"/>
      <c r="AH111" s="36"/>
      <c r="AI111" s="36"/>
      <c r="AJ111" s="36"/>
      <c r="AK111" s="36"/>
      <c r="AL111" s="36"/>
      <c r="AM111" s="36"/>
      <c r="AN111" s="36"/>
      <c r="AO111" s="36"/>
      <c r="AP111" s="36"/>
      <c r="AQ111" s="36"/>
      <c r="AR111" s="36"/>
      <c r="AS111" s="36"/>
      <c r="AT111" s="36"/>
      <c r="AU111" s="30">
        <v>0</v>
      </c>
      <c r="AV111" s="21" t="e">
        <f t="shared" si="32"/>
        <v>#DIV/0!</v>
      </c>
      <c r="AW111" s="21" t="e">
        <f t="shared" si="33"/>
        <v>#DIV/0!</v>
      </c>
      <c r="AX111" s="21" t="e">
        <f t="shared" si="34"/>
        <v>#DIV/0!</v>
      </c>
      <c r="AY111" s="21" t="e">
        <f t="shared" si="35"/>
        <v>#DIV/0!</v>
      </c>
      <c r="AZ111" s="21" t="e">
        <f t="shared" si="36"/>
        <v>#DIV/0!</v>
      </c>
      <c r="BA111" s="21" t="e">
        <f t="shared" si="37"/>
        <v>#DIV/0!</v>
      </c>
      <c r="BB111" s="23" t="e">
        <f t="shared" si="31"/>
        <v>#DIV/0!</v>
      </c>
    </row>
    <row r="112" spans="1:54" x14ac:dyDescent="0.25">
      <c r="A112" s="34"/>
      <c r="B112" s="34"/>
      <c r="C112" s="34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37"/>
      <c r="AE112" s="35"/>
      <c r="AF112" s="35"/>
      <c r="AG112" s="35"/>
      <c r="AH112" s="35"/>
      <c r="AI112" s="35"/>
      <c r="AJ112" s="35"/>
      <c r="AK112" s="35"/>
      <c r="AL112" s="35"/>
      <c r="AM112" s="37"/>
      <c r="AN112" s="35"/>
      <c r="AO112" s="35"/>
      <c r="AP112" s="35"/>
      <c r="AQ112" s="35"/>
      <c r="AR112" s="35"/>
      <c r="AS112" s="35"/>
      <c r="AT112" s="35"/>
      <c r="AU112" s="31">
        <v>0</v>
      </c>
      <c r="AV112" s="20" t="e">
        <f t="shared" si="32"/>
        <v>#DIV/0!</v>
      </c>
      <c r="AW112" s="20" t="e">
        <f t="shared" si="33"/>
        <v>#DIV/0!</v>
      </c>
      <c r="AX112" s="20" t="e">
        <f t="shared" si="34"/>
        <v>#DIV/0!</v>
      </c>
      <c r="AY112" s="20" t="e">
        <f t="shared" si="35"/>
        <v>#DIV/0!</v>
      </c>
      <c r="AZ112" s="20" t="e">
        <f t="shared" si="36"/>
        <v>#DIV/0!</v>
      </c>
      <c r="BA112" s="20" t="e">
        <f t="shared" si="37"/>
        <v>#DIV/0!</v>
      </c>
      <c r="BB112" s="23" t="e">
        <f t="shared" si="31"/>
        <v>#DIV/0!</v>
      </c>
    </row>
    <row r="113" spans="1:54" s="5" customFormat="1" x14ac:dyDescent="0.25">
      <c r="A113" s="32"/>
      <c r="B113" s="32"/>
      <c r="C113" s="32"/>
      <c r="D113" s="33"/>
      <c r="E113" s="33"/>
      <c r="F113" s="33"/>
      <c r="G113" s="33"/>
      <c r="H113" s="33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3"/>
      <c r="T113" s="36"/>
      <c r="U113" s="36"/>
      <c r="V113" s="36"/>
      <c r="W113" s="36"/>
      <c r="X113" s="33"/>
      <c r="Y113" s="33"/>
      <c r="Z113" s="33"/>
      <c r="AA113" s="36"/>
      <c r="AB113" s="36"/>
      <c r="AC113" s="36"/>
      <c r="AD113" s="33"/>
      <c r="AE113" s="33"/>
      <c r="AF113" s="33"/>
      <c r="AG113" s="36"/>
      <c r="AH113" s="36"/>
      <c r="AI113" s="36"/>
      <c r="AJ113" s="36"/>
      <c r="AK113" s="36"/>
      <c r="AL113" s="36"/>
      <c r="AM113" s="33"/>
      <c r="AN113" s="33"/>
      <c r="AO113" s="36"/>
      <c r="AP113" s="36"/>
      <c r="AQ113" s="33"/>
      <c r="AR113" s="33"/>
      <c r="AS113" s="33"/>
      <c r="AT113" s="33"/>
      <c r="AU113" s="30">
        <v>0</v>
      </c>
      <c r="AV113" s="21" t="e">
        <f t="shared" si="32"/>
        <v>#DIV/0!</v>
      </c>
      <c r="AW113" s="21" t="e">
        <f t="shared" si="33"/>
        <v>#DIV/0!</v>
      </c>
      <c r="AX113" s="21" t="e">
        <f t="shared" si="34"/>
        <v>#DIV/0!</v>
      </c>
      <c r="AY113" s="21" t="e">
        <f t="shared" si="35"/>
        <v>#DIV/0!</v>
      </c>
      <c r="AZ113" s="21" t="e">
        <f t="shared" si="36"/>
        <v>#DIV/0!</v>
      </c>
      <c r="BA113" s="21" t="e">
        <f t="shared" si="37"/>
        <v>#DIV/0!</v>
      </c>
      <c r="BB113" s="23" t="e">
        <f t="shared" si="31"/>
        <v>#DIV/0!</v>
      </c>
    </row>
    <row r="114" spans="1:54" x14ac:dyDescent="0.25">
      <c r="A114" s="34"/>
      <c r="B114" s="34"/>
      <c r="C114" s="34"/>
      <c r="D114" s="37"/>
      <c r="E114" s="37"/>
      <c r="F114" s="37"/>
      <c r="G114" s="37"/>
      <c r="H114" s="37"/>
      <c r="I114" s="37"/>
      <c r="J114" s="37"/>
      <c r="K114" s="37"/>
      <c r="L114" s="37"/>
      <c r="M114" s="37"/>
      <c r="N114" s="37"/>
      <c r="O114" s="37"/>
      <c r="P114" s="37"/>
      <c r="Q114" s="37"/>
      <c r="R114" s="37"/>
      <c r="S114" s="37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  <c r="AD114" s="37"/>
      <c r="AE114" s="37"/>
      <c r="AF114" s="37"/>
      <c r="AG114" s="37"/>
      <c r="AH114" s="37"/>
      <c r="AI114" s="37"/>
      <c r="AJ114" s="37"/>
      <c r="AK114" s="37"/>
      <c r="AL114" s="37"/>
      <c r="AM114" s="37"/>
      <c r="AN114" s="37"/>
      <c r="AO114" s="37"/>
      <c r="AP114" s="37"/>
      <c r="AQ114" s="37"/>
      <c r="AR114" s="37"/>
      <c r="AS114" s="37"/>
      <c r="AT114" s="37"/>
      <c r="AU114" s="31">
        <v>0</v>
      </c>
      <c r="AV114" s="20" t="e">
        <f t="shared" si="32"/>
        <v>#DIV/0!</v>
      </c>
      <c r="AW114" s="20" t="e">
        <f t="shared" si="33"/>
        <v>#DIV/0!</v>
      </c>
      <c r="AX114" s="20" t="e">
        <f t="shared" si="34"/>
        <v>#DIV/0!</v>
      </c>
      <c r="AY114" s="20" t="e">
        <f t="shared" si="35"/>
        <v>#DIV/0!</v>
      </c>
      <c r="AZ114" s="20" t="e">
        <f t="shared" si="36"/>
        <v>#DIV/0!</v>
      </c>
      <c r="BA114" s="20" t="e">
        <f t="shared" si="37"/>
        <v>#DIV/0!</v>
      </c>
      <c r="BB114" s="23" t="e">
        <f t="shared" si="31"/>
        <v>#DIV/0!</v>
      </c>
    </row>
    <row r="115" spans="1:54" s="5" customFormat="1" x14ac:dyDescent="0.25">
      <c r="A115" s="32"/>
      <c r="B115" s="32"/>
      <c r="C115" s="32"/>
      <c r="D115" s="36"/>
      <c r="E115" s="36"/>
      <c r="F115" s="36"/>
      <c r="G115" s="36"/>
      <c r="H115" s="36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36"/>
      <c r="AA115" s="36"/>
      <c r="AB115" s="36"/>
      <c r="AC115" s="36"/>
      <c r="AD115" s="36"/>
      <c r="AE115" s="36"/>
      <c r="AF115" s="36"/>
      <c r="AG115" s="36"/>
      <c r="AH115" s="36"/>
      <c r="AI115" s="36"/>
      <c r="AJ115" s="36"/>
      <c r="AK115" s="36"/>
      <c r="AL115" s="36"/>
      <c r="AM115" s="36"/>
      <c r="AN115" s="36"/>
      <c r="AO115" s="36"/>
      <c r="AP115" s="36"/>
      <c r="AQ115" s="36"/>
      <c r="AR115" s="36"/>
      <c r="AS115" s="36"/>
      <c r="AT115" s="36"/>
      <c r="AU115" s="30">
        <v>0</v>
      </c>
      <c r="AV115" s="21" t="e">
        <f t="shared" si="32"/>
        <v>#DIV/0!</v>
      </c>
      <c r="AW115" s="21" t="e">
        <f t="shared" si="33"/>
        <v>#DIV/0!</v>
      </c>
      <c r="AX115" s="21" t="e">
        <f t="shared" si="34"/>
        <v>#DIV/0!</v>
      </c>
      <c r="AY115" s="21" t="e">
        <f t="shared" si="35"/>
        <v>#DIV/0!</v>
      </c>
      <c r="AZ115" s="21" t="e">
        <f t="shared" si="36"/>
        <v>#DIV/0!</v>
      </c>
      <c r="BA115" s="21" t="e">
        <f t="shared" si="37"/>
        <v>#DIV/0!</v>
      </c>
      <c r="BB115" s="23" t="e">
        <f t="shared" si="31"/>
        <v>#DIV/0!</v>
      </c>
    </row>
    <row r="116" spans="1:54" s="5" customFormat="1" x14ac:dyDescent="0.25">
      <c r="A116" s="32"/>
      <c r="B116" s="32"/>
      <c r="C116" s="32"/>
      <c r="D116" s="33"/>
      <c r="E116" s="33"/>
      <c r="F116" s="36"/>
      <c r="G116" s="36"/>
      <c r="H116" s="36"/>
      <c r="I116" s="36"/>
      <c r="J116" s="36"/>
      <c r="K116" s="36"/>
      <c r="L116" s="36"/>
      <c r="M116" s="36"/>
      <c r="N116" s="36"/>
      <c r="O116" s="36"/>
      <c r="P116" s="36"/>
      <c r="Q116" s="36"/>
      <c r="R116" s="36"/>
      <c r="S116" s="36"/>
      <c r="T116" s="36"/>
      <c r="U116" s="36"/>
      <c r="V116" s="36"/>
      <c r="W116" s="36"/>
      <c r="X116" s="36"/>
      <c r="Y116" s="36"/>
      <c r="Z116" s="36"/>
      <c r="AA116" s="36"/>
      <c r="AB116" s="36"/>
      <c r="AC116" s="36"/>
      <c r="AD116" s="36"/>
      <c r="AE116" s="36"/>
      <c r="AF116" s="36"/>
      <c r="AG116" s="36"/>
      <c r="AH116" s="36"/>
      <c r="AI116" s="36"/>
      <c r="AJ116" s="36"/>
      <c r="AK116" s="36"/>
      <c r="AL116" s="36"/>
      <c r="AM116" s="36"/>
      <c r="AN116" s="36"/>
      <c r="AO116" s="36"/>
      <c r="AP116" s="36"/>
      <c r="AQ116" s="36"/>
      <c r="AR116" s="36"/>
      <c r="AS116" s="36"/>
      <c r="AT116" s="36"/>
      <c r="AU116" s="30">
        <v>0</v>
      </c>
      <c r="AV116" s="21" t="e">
        <f t="shared" ref="AV116:BA123" si="38">AO116/AO529</f>
        <v>#DIV/0!</v>
      </c>
      <c r="AW116" s="21" t="e">
        <f t="shared" si="38"/>
        <v>#DIV/0!</v>
      </c>
      <c r="AX116" s="21" t="e">
        <f t="shared" si="38"/>
        <v>#DIV/0!</v>
      </c>
      <c r="AY116" s="21" t="e">
        <f t="shared" si="38"/>
        <v>#DIV/0!</v>
      </c>
      <c r="AZ116" s="21" t="e">
        <f t="shared" si="38"/>
        <v>#DIV/0!</v>
      </c>
      <c r="BA116" s="21" t="e">
        <f t="shared" si="38"/>
        <v>#DIV/0!</v>
      </c>
      <c r="BB116" s="23" t="e">
        <f t="shared" si="31"/>
        <v>#DIV/0!</v>
      </c>
    </row>
    <row r="117" spans="1:54" x14ac:dyDescent="0.25">
      <c r="A117" s="34"/>
      <c r="B117" s="34"/>
      <c r="C117" s="34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  <c r="AM117" s="35"/>
      <c r="AN117" s="35"/>
      <c r="AO117" s="35"/>
      <c r="AP117" s="35"/>
      <c r="AQ117" s="35"/>
      <c r="AR117" s="35"/>
      <c r="AS117" s="35"/>
      <c r="AT117" s="35"/>
      <c r="AU117" s="31">
        <v>0</v>
      </c>
      <c r="AV117" s="20" t="e">
        <f t="shared" si="38"/>
        <v>#DIV/0!</v>
      </c>
      <c r="AW117" s="20" t="e">
        <f t="shared" si="38"/>
        <v>#DIV/0!</v>
      </c>
      <c r="AX117" s="20" t="e">
        <f t="shared" si="38"/>
        <v>#DIV/0!</v>
      </c>
      <c r="AY117" s="20" t="e">
        <f t="shared" si="38"/>
        <v>#DIV/0!</v>
      </c>
      <c r="AZ117" s="20" t="e">
        <f t="shared" si="38"/>
        <v>#DIV/0!</v>
      </c>
      <c r="BA117" s="20" t="e">
        <f t="shared" si="38"/>
        <v>#DIV/0!</v>
      </c>
      <c r="BB117" s="23" t="e">
        <f t="shared" si="31"/>
        <v>#DIV/0!</v>
      </c>
    </row>
    <row r="118" spans="1:54" s="5" customFormat="1" x14ac:dyDescent="0.25">
      <c r="A118" s="32"/>
      <c r="B118" s="32"/>
      <c r="C118" s="32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  <c r="AM118" s="33"/>
      <c r="AN118" s="36"/>
      <c r="AO118" s="33"/>
      <c r="AP118" s="36"/>
      <c r="AQ118" s="33"/>
      <c r="AR118" s="33"/>
      <c r="AS118" s="33"/>
      <c r="AT118" s="33"/>
      <c r="AU118" s="30">
        <v>0</v>
      </c>
      <c r="AV118" s="21" t="e">
        <f t="shared" si="38"/>
        <v>#DIV/0!</v>
      </c>
      <c r="AW118" s="21" t="e">
        <f t="shared" si="38"/>
        <v>#DIV/0!</v>
      </c>
      <c r="AX118" s="21" t="e">
        <f t="shared" si="38"/>
        <v>#DIV/0!</v>
      </c>
      <c r="AY118" s="21" t="e">
        <f t="shared" si="38"/>
        <v>#DIV/0!</v>
      </c>
      <c r="AZ118" s="21" t="e">
        <f t="shared" si="38"/>
        <v>#DIV/0!</v>
      </c>
      <c r="BA118" s="21" t="e">
        <f t="shared" si="38"/>
        <v>#DIV/0!</v>
      </c>
      <c r="BB118" s="23" t="e">
        <f t="shared" si="31"/>
        <v>#DIV/0!</v>
      </c>
    </row>
    <row r="119" spans="1:54" x14ac:dyDescent="0.25">
      <c r="A119" s="34"/>
      <c r="B119" s="34"/>
      <c r="C119" s="34"/>
      <c r="D119" s="35"/>
      <c r="E119" s="35"/>
      <c r="F119" s="35"/>
      <c r="G119" s="35"/>
      <c r="H119" s="37"/>
      <c r="I119" s="35"/>
      <c r="J119" s="35"/>
      <c r="K119" s="35"/>
      <c r="L119" s="35"/>
      <c r="M119" s="37"/>
      <c r="N119" s="37"/>
      <c r="O119" s="37"/>
      <c r="P119" s="37"/>
      <c r="Q119" s="37"/>
      <c r="R119" s="37"/>
      <c r="S119" s="37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  <c r="AD119" s="37"/>
      <c r="AE119" s="37"/>
      <c r="AF119" s="37"/>
      <c r="AG119" s="37"/>
      <c r="AH119" s="37"/>
      <c r="AI119" s="37"/>
      <c r="AJ119" s="37"/>
      <c r="AK119" s="37"/>
      <c r="AL119" s="37"/>
      <c r="AM119" s="37"/>
      <c r="AN119" s="37"/>
      <c r="AO119" s="37"/>
      <c r="AP119" s="37"/>
      <c r="AQ119" s="37"/>
      <c r="AR119" s="37"/>
      <c r="AS119" s="37"/>
      <c r="AT119" s="37"/>
      <c r="AU119" s="31">
        <v>0</v>
      </c>
      <c r="AV119" s="20" t="e">
        <f t="shared" si="38"/>
        <v>#DIV/0!</v>
      </c>
      <c r="AW119" s="20" t="e">
        <f t="shared" si="38"/>
        <v>#DIV/0!</v>
      </c>
      <c r="AX119" s="20" t="e">
        <f t="shared" si="38"/>
        <v>#DIV/0!</v>
      </c>
      <c r="AY119" s="20" t="e">
        <f t="shared" si="38"/>
        <v>#DIV/0!</v>
      </c>
      <c r="AZ119" s="20" t="e">
        <f t="shared" si="38"/>
        <v>#DIV/0!</v>
      </c>
      <c r="BA119" s="20" t="e">
        <f t="shared" si="38"/>
        <v>#DIV/0!</v>
      </c>
      <c r="BB119" s="23" t="e">
        <f t="shared" si="31"/>
        <v>#DIV/0!</v>
      </c>
    </row>
    <row r="120" spans="1:54" s="5" customFormat="1" x14ac:dyDescent="0.25">
      <c r="A120" s="32"/>
      <c r="B120" s="32"/>
      <c r="C120" s="32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  <c r="AM120" s="33"/>
      <c r="AN120" s="33"/>
      <c r="AO120" s="33"/>
      <c r="AP120" s="33"/>
      <c r="AQ120" s="33"/>
      <c r="AR120" s="33"/>
      <c r="AS120" s="33"/>
      <c r="AT120" s="33"/>
      <c r="AU120" s="30">
        <v>0</v>
      </c>
      <c r="AV120" s="21" t="e">
        <f t="shared" si="38"/>
        <v>#DIV/0!</v>
      </c>
      <c r="AW120" s="21" t="e">
        <f t="shared" si="38"/>
        <v>#DIV/0!</v>
      </c>
      <c r="AX120" s="21" t="e">
        <f t="shared" si="38"/>
        <v>#DIV/0!</v>
      </c>
      <c r="AY120" s="21" t="e">
        <f t="shared" si="38"/>
        <v>#DIV/0!</v>
      </c>
      <c r="AZ120" s="21" t="e">
        <f t="shared" si="38"/>
        <v>#DIV/0!</v>
      </c>
      <c r="BA120" s="21" t="e">
        <f t="shared" si="38"/>
        <v>#DIV/0!</v>
      </c>
      <c r="BB120" s="23" t="e">
        <f t="shared" si="31"/>
        <v>#DIV/0!</v>
      </c>
    </row>
    <row r="121" spans="1:54" x14ac:dyDescent="0.25">
      <c r="A121" s="34"/>
      <c r="B121" s="34"/>
      <c r="C121" s="34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  <c r="AA121" s="35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  <c r="AM121" s="35"/>
      <c r="AN121" s="35"/>
      <c r="AO121" s="35"/>
      <c r="AP121" s="35"/>
      <c r="AQ121" s="35"/>
      <c r="AR121" s="35"/>
      <c r="AS121" s="35"/>
      <c r="AT121" s="35"/>
      <c r="AU121" s="31">
        <v>0</v>
      </c>
      <c r="AV121" s="20" t="e">
        <f t="shared" si="38"/>
        <v>#DIV/0!</v>
      </c>
      <c r="AW121" s="20" t="e">
        <f t="shared" si="38"/>
        <v>#DIV/0!</v>
      </c>
      <c r="AX121" s="20" t="e">
        <f t="shared" si="38"/>
        <v>#DIV/0!</v>
      </c>
      <c r="AY121" s="20" t="e">
        <f t="shared" si="38"/>
        <v>#DIV/0!</v>
      </c>
      <c r="AZ121" s="20" t="e">
        <f t="shared" si="38"/>
        <v>#DIV/0!</v>
      </c>
      <c r="BA121" s="20" t="e">
        <f t="shared" si="38"/>
        <v>#DIV/0!</v>
      </c>
      <c r="BB121" s="23" t="e">
        <f t="shared" si="31"/>
        <v>#DIV/0!</v>
      </c>
    </row>
    <row r="122" spans="1:54" s="5" customFormat="1" x14ac:dyDescent="0.25">
      <c r="A122" s="32"/>
      <c r="B122" s="32"/>
      <c r="C122" s="32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  <c r="AM122" s="33"/>
      <c r="AN122" s="33"/>
      <c r="AO122" s="33"/>
      <c r="AP122" s="33"/>
      <c r="AQ122" s="33"/>
      <c r="AR122" s="33"/>
      <c r="AS122" s="33"/>
      <c r="AT122" s="33"/>
      <c r="AU122" s="30">
        <v>0</v>
      </c>
      <c r="AV122" s="21" t="e">
        <f t="shared" si="38"/>
        <v>#DIV/0!</v>
      </c>
      <c r="AW122" s="21" t="e">
        <f t="shared" si="38"/>
        <v>#DIV/0!</v>
      </c>
      <c r="AX122" s="21" t="e">
        <f t="shared" si="38"/>
        <v>#DIV/0!</v>
      </c>
      <c r="AY122" s="21" t="e">
        <f t="shared" si="38"/>
        <v>#DIV/0!</v>
      </c>
      <c r="AZ122" s="21" t="e">
        <f t="shared" si="38"/>
        <v>#DIV/0!</v>
      </c>
      <c r="BA122" s="21" t="e">
        <f t="shared" si="38"/>
        <v>#DIV/0!</v>
      </c>
      <c r="BB122" s="23" t="e">
        <f t="shared" si="31"/>
        <v>#DIV/0!</v>
      </c>
    </row>
    <row r="123" spans="1:54" x14ac:dyDescent="0.25">
      <c r="A123" s="34"/>
      <c r="B123" s="34"/>
      <c r="C123" s="34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  <c r="AM123" s="35"/>
      <c r="AN123" s="35"/>
      <c r="AO123" s="35"/>
      <c r="AP123" s="35"/>
      <c r="AQ123" s="35"/>
      <c r="AR123" s="35"/>
      <c r="AS123" s="35"/>
      <c r="AT123" s="35"/>
      <c r="AU123" s="31">
        <v>0</v>
      </c>
      <c r="AV123" s="20" t="e">
        <f t="shared" si="38"/>
        <v>#DIV/0!</v>
      </c>
      <c r="AW123" s="20" t="e">
        <f t="shared" si="38"/>
        <v>#DIV/0!</v>
      </c>
      <c r="AX123" s="20" t="e">
        <f t="shared" si="38"/>
        <v>#DIV/0!</v>
      </c>
      <c r="AY123" s="20" t="e">
        <f t="shared" si="38"/>
        <v>#DIV/0!</v>
      </c>
      <c r="AZ123" s="20" t="e">
        <f t="shared" si="38"/>
        <v>#DIV/0!</v>
      </c>
      <c r="BA123" s="20" t="e">
        <f t="shared" si="38"/>
        <v>#DIV/0!</v>
      </c>
      <c r="BB123" s="23" t="e">
        <f t="shared" si="31"/>
        <v>#DIV/0!</v>
      </c>
    </row>
    <row r="124" spans="1:54" s="5" customFormat="1" x14ac:dyDescent="0.25">
      <c r="A124" s="34"/>
      <c r="B124" s="34"/>
      <c r="C124" s="34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  <c r="AA124" s="35"/>
      <c r="AB124" s="37"/>
      <c r="AC124" s="37"/>
      <c r="AD124" s="37"/>
      <c r="AE124" s="37"/>
      <c r="AF124" s="37"/>
      <c r="AG124" s="37"/>
      <c r="AH124" s="37"/>
      <c r="AI124" s="37"/>
      <c r="AJ124" s="37"/>
      <c r="AK124" s="37"/>
      <c r="AL124" s="37"/>
      <c r="AM124" s="37"/>
      <c r="AN124" s="37"/>
      <c r="AO124" s="37"/>
      <c r="AP124" s="37"/>
      <c r="AQ124" s="37"/>
      <c r="AR124" s="37"/>
      <c r="AS124" s="37"/>
      <c r="AT124" s="37"/>
      <c r="AU124" s="21" t="e">
        <f t="shared" ref="AU124:AZ124" si="39">AO124/AP$83</f>
        <v>#DIV/0!</v>
      </c>
      <c r="AV124" s="21" t="e">
        <f t="shared" si="39"/>
        <v>#DIV/0!</v>
      </c>
      <c r="AW124" s="21" t="e">
        <f t="shared" si="39"/>
        <v>#DIV/0!</v>
      </c>
      <c r="AX124" s="21" t="e">
        <f t="shared" si="39"/>
        <v>#DIV/0!</v>
      </c>
      <c r="AY124" s="21" t="e">
        <f t="shared" si="39"/>
        <v>#DIV/0!</v>
      </c>
      <c r="AZ124" s="21" t="e">
        <f t="shared" si="39"/>
        <v>#DIV/0!</v>
      </c>
      <c r="BB124" s="23" t="e">
        <f>AVERAGE(AX124,AY124,AZ124)</f>
        <v>#DIV/0!</v>
      </c>
    </row>
    <row r="125" spans="1:54" x14ac:dyDescent="0.25">
      <c r="A125" s="34"/>
      <c r="B125" s="32"/>
      <c r="C125" s="32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  <c r="AF125" s="36"/>
      <c r="AG125" s="33"/>
      <c r="AH125" s="33"/>
      <c r="AI125" s="33"/>
      <c r="AJ125" s="33"/>
      <c r="AK125" s="36"/>
      <c r="AL125" s="36"/>
      <c r="AM125" s="33"/>
      <c r="AN125" s="33"/>
      <c r="AO125" s="36"/>
      <c r="AP125" s="33"/>
      <c r="AQ125" s="36"/>
      <c r="AR125" s="36"/>
      <c r="AS125" s="33"/>
      <c r="AT125" s="36"/>
      <c r="AU125" s="21" t="e">
        <f t="shared" ref="AU125:AZ125" si="40">AO125/AP$63</f>
        <v>#DIV/0!</v>
      </c>
      <c r="AV125" s="21" t="e">
        <f t="shared" si="40"/>
        <v>#DIV/0!</v>
      </c>
      <c r="AW125" s="21" t="e">
        <f t="shared" si="40"/>
        <v>#DIV/0!</v>
      </c>
      <c r="AX125" s="21" t="e">
        <f t="shared" si="40"/>
        <v>#DIV/0!</v>
      </c>
      <c r="AY125" s="21" t="e">
        <f t="shared" si="40"/>
        <v>#DIV/0!</v>
      </c>
      <c r="AZ125" s="21" t="e">
        <f t="shared" si="40"/>
        <v>#DIV/0!</v>
      </c>
      <c r="BB125" s="23" t="e">
        <f>AVERAGE(AX125,AY125,AZ125)</f>
        <v>#DIV/0!</v>
      </c>
    </row>
    <row r="126" spans="1:54" s="5" customFormat="1" x14ac:dyDescent="0.25">
      <c r="A126" s="34"/>
      <c r="B126" s="34"/>
      <c r="C126" s="34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35"/>
      <c r="AE126" s="35"/>
      <c r="AF126" s="35"/>
      <c r="AG126" s="35"/>
      <c r="AH126" s="35"/>
      <c r="AI126" s="35"/>
      <c r="AJ126" s="35"/>
      <c r="AK126" s="35"/>
      <c r="AL126" s="35"/>
      <c r="AM126" s="35"/>
      <c r="AN126" s="35"/>
      <c r="AO126" s="35"/>
      <c r="AP126" s="35"/>
      <c r="AQ126" s="35"/>
      <c r="AR126" s="35"/>
      <c r="AS126" s="35"/>
      <c r="AT126" s="35"/>
      <c r="AU126" s="21" t="e">
        <f t="shared" ref="AU126:AZ126" si="41">AO126/AP$42</f>
        <v>#DIV/0!</v>
      </c>
      <c r="AV126" s="21" t="e">
        <f t="shared" si="41"/>
        <v>#DIV/0!</v>
      </c>
      <c r="AW126" s="21" t="e">
        <f t="shared" si="41"/>
        <v>#DIV/0!</v>
      </c>
      <c r="AX126" s="21" t="e">
        <f t="shared" si="41"/>
        <v>#DIV/0!</v>
      </c>
      <c r="AY126" s="21" t="e">
        <f t="shared" si="41"/>
        <v>#DIV/0!</v>
      </c>
      <c r="AZ126" s="21" t="e">
        <f t="shared" si="41"/>
        <v>#DIV/0!</v>
      </c>
      <c r="BA126"/>
      <c r="BB126" s="23" t="e">
        <f>AVERAGE(AX126,AY126,AZ126)</f>
        <v>#DIV/0!</v>
      </c>
    </row>
    <row r="127" spans="1:54" x14ac:dyDescent="0.25">
      <c r="A127" s="34"/>
      <c r="B127" s="32"/>
      <c r="C127" s="32"/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6"/>
      <c r="W127" s="36"/>
      <c r="X127" s="36"/>
      <c r="Y127" s="36"/>
      <c r="Z127" s="36"/>
      <c r="AA127" s="36"/>
      <c r="AB127" s="36"/>
      <c r="AC127" s="36"/>
      <c r="AD127" s="36"/>
      <c r="AE127" s="36"/>
      <c r="AF127" s="36"/>
      <c r="AG127" s="36"/>
      <c r="AH127" s="36"/>
      <c r="AI127" s="36"/>
      <c r="AJ127" s="36"/>
      <c r="AK127" s="36"/>
      <c r="AL127" s="36"/>
      <c r="AM127" s="36"/>
      <c r="AN127" s="36"/>
      <c r="AO127" s="36"/>
      <c r="AP127" s="36"/>
      <c r="AQ127" s="36"/>
      <c r="AR127" s="36"/>
      <c r="AS127" s="36"/>
      <c r="AT127" s="36"/>
      <c r="AU127" s="20" t="e">
        <f t="shared" ref="AU127:AZ127" si="42">AO127/AO$25</f>
        <v>#DIV/0!</v>
      </c>
      <c r="AV127" s="20" t="e">
        <f t="shared" si="42"/>
        <v>#DIV/0!</v>
      </c>
      <c r="AW127" s="20" t="e">
        <f t="shared" si="42"/>
        <v>#DIV/0!</v>
      </c>
      <c r="AX127" s="20" t="e">
        <f t="shared" si="42"/>
        <v>#DIV/0!</v>
      </c>
      <c r="AY127" s="20" t="e">
        <f t="shared" si="42"/>
        <v>#DIV/0!</v>
      </c>
      <c r="AZ127" s="20" t="e">
        <f t="shared" si="42"/>
        <v>#DIV/0!</v>
      </c>
      <c r="BA127" s="5"/>
      <c r="BB127" s="23" t="e">
        <f>AVERAGE(AX127,AY127,AZ127)</f>
        <v>#DIV/0!</v>
      </c>
    </row>
    <row r="128" spans="1:54" x14ac:dyDescent="0.25">
      <c r="A128" s="34"/>
      <c r="B128" s="34"/>
      <c r="C128" s="34"/>
      <c r="D128" s="37"/>
      <c r="E128" s="37"/>
      <c r="F128" s="37"/>
      <c r="G128" s="37"/>
      <c r="H128" s="37"/>
      <c r="I128" s="37"/>
      <c r="J128" s="37"/>
      <c r="K128" s="37"/>
      <c r="L128" s="37"/>
      <c r="M128" s="37"/>
      <c r="N128" s="37"/>
      <c r="O128" s="37"/>
      <c r="P128" s="37"/>
      <c r="Q128" s="37"/>
      <c r="R128" s="37"/>
      <c r="S128" s="37"/>
      <c r="T128" s="37"/>
      <c r="U128" s="37"/>
      <c r="V128" s="37"/>
      <c r="W128" s="37"/>
      <c r="X128" s="37"/>
      <c r="Y128" s="37"/>
      <c r="Z128" s="37"/>
      <c r="AA128" s="37"/>
      <c r="AB128" s="37"/>
      <c r="AC128" s="37"/>
      <c r="AD128" s="37"/>
      <c r="AE128" s="37"/>
      <c r="AF128" s="37"/>
      <c r="AG128" s="37"/>
      <c r="AH128" s="37"/>
      <c r="AI128" s="37"/>
      <c r="AJ128" s="37"/>
      <c r="AK128" s="37"/>
      <c r="AL128" s="37"/>
      <c r="AM128" s="37"/>
      <c r="AN128" s="37"/>
      <c r="AO128" s="37"/>
      <c r="AP128" s="37"/>
      <c r="AQ128" s="37"/>
      <c r="AR128" s="37"/>
      <c r="AS128" s="37"/>
      <c r="AT128" s="37"/>
      <c r="AU128" s="31">
        <v>0</v>
      </c>
      <c r="AV128" s="20" t="e">
        <f t="shared" ref="AV128:BA131" si="43">AO128/AO541</f>
        <v>#DIV/0!</v>
      </c>
      <c r="AW128" s="20" t="e">
        <f t="shared" si="43"/>
        <v>#DIV/0!</v>
      </c>
      <c r="AX128" s="20" t="e">
        <f t="shared" si="43"/>
        <v>#DIV/0!</v>
      </c>
      <c r="AY128" s="20" t="e">
        <f t="shared" si="43"/>
        <v>#DIV/0!</v>
      </c>
      <c r="AZ128" s="20" t="e">
        <f t="shared" si="43"/>
        <v>#DIV/0!</v>
      </c>
      <c r="BA128" s="20" t="e">
        <f t="shared" si="43"/>
        <v>#DIV/0!</v>
      </c>
      <c r="BB128" s="23" t="e">
        <f t="shared" si="31"/>
        <v>#DIV/0!</v>
      </c>
    </row>
    <row r="129" spans="1:54" s="5" customFormat="1" x14ac:dyDescent="0.25">
      <c r="A129" s="32"/>
      <c r="B129" s="32"/>
      <c r="C129" s="32"/>
      <c r="D129" s="33"/>
      <c r="E129" s="36"/>
      <c r="F129" s="36"/>
      <c r="G129" s="36"/>
      <c r="H129" s="36"/>
      <c r="I129" s="36"/>
      <c r="J129" s="36"/>
      <c r="K129" s="36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36"/>
      <c r="W129" s="36"/>
      <c r="X129" s="36"/>
      <c r="Y129" s="36"/>
      <c r="Z129" s="36"/>
      <c r="AA129" s="36"/>
      <c r="AB129" s="36"/>
      <c r="AC129" s="36"/>
      <c r="AD129" s="36"/>
      <c r="AE129" s="36"/>
      <c r="AF129" s="36"/>
      <c r="AG129" s="36"/>
      <c r="AH129" s="36"/>
      <c r="AI129" s="36"/>
      <c r="AJ129" s="36"/>
      <c r="AK129" s="36"/>
      <c r="AL129" s="36"/>
      <c r="AM129" s="36"/>
      <c r="AN129" s="36"/>
      <c r="AO129" s="36"/>
      <c r="AP129" s="36"/>
      <c r="AQ129" s="36"/>
      <c r="AR129" s="36"/>
      <c r="AS129" s="36"/>
      <c r="AT129" s="36"/>
      <c r="AU129" s="30">
        <v>0</v>
      </c>
      <c r="AV129" s="21" t="e">
        <f t="shared" si="43"/>
        <v>#DIV/0!</v>
      </c>
      <c r="AW129" s="21" t="e">
        <f t="shared" si="43"/>
        <v>#DIV/0!</v>
      </c>
      <c r="AX129" s="21" t="e">
        <f t="shared" si="43"/>
        <v>#DIV/0!</v>
      </c>
      <c r="AY129" s="21" t="e">
        <f t="shared" si="43"/>
        <v>#DIV/0!</v>
      </c>
      <c r="AZ129" s="21" t="e">
        <f t="shared" si="43"/>
        <v>#DIV/0!</v>
      </c>
      <c r="BA129" s="21" t="e">
        <f t="shared" si="43"/>
        <v>#DIV/0!</v>
      </c>
      <c r="BB129" s="23" t="e">
        <f t="shared" si="31"/>
        <v>#DIV/0!</v>
      </c>
    </row>
    <row r="130" spans="1:54" x14ac:dyDescent="0.25">
      <c r="A130" s="34"/>
      <c r="B130" s="34"/>
      <c r="C130" s="34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35"/>
      <c r="AE130" s="35"/>
      <c r="AF130" s="35"/>
      <c r="AG130" s="35"/>
      <c r="AH130" s="35"/>
      <c r="AI130" s="35"/>
      <c r="AJ130" s="35"/>
      <c r="AK130" s="35"/>
      <c r="AL130" s="35"/>
      <c r="AM130" s="35"/>
      <c r="AN130" s="35"/>
      <c r="AO130" s="35"/>
      <c r="AP130" s="35"/>
      <c r="AQ130" s="35"/>
      <c r="AR130" s="35"/>
      <c r="AS130" s="35"/>
      <c r="AT130" s="35"/>
      <c r="AU130" s="31">
        <v>0</v>
      </c>
      <c r="AV130" s="20" t="e">
        <f t="shared" si="43"/>
        <v>#DIV/0!</v>
      </c>
      <c r="AW130" s="20" t="e">
        <f t="shared" si="43"/>
        <v>#DIV/0!</v>
      </c>
      <c r="AX130" s="20" t="e">
        <f t="shared" si="43"/>
        <v>#DIV/0!</v>
      </c>
      <c r="AY130" s="20" t="e">
        <f t="shared" si="43"/>
        <v>#DIV/0!</v>
      </c>
      <c r="AZ130" s="20" t="e">
        <f t="shared" si="43"/>
        <v>#DIV/0!</v>
      </c>
      <c r="BA130" s="20" t="e">
        <f t="shared" si="43"/>
        <v>#DIV/0!</v>
      </c>
      <c r="BB130" s="23" t="e">
        <f t="shared" si="31"/>
        <v>#DIV/0!</v>
      </c>
    </row>
    <row r="131" spans="1:54" s="5" customFormat="1" x14ac:dyDescent="0.25">
      <c r="A131" s="32"/>
      <c r="B131" s="32"/>
      <c r="C131" s="32"/>
      <c r="D131" s="36"/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  <c r="AA131" s="36"/>
      <c r="AB131" s="36"/>
      <c r="AC131" s="36"/>
      <c r="AD131" s="36"/>
      <c r="AE131" s="36"/>
      <c r="AF131" s="36"/>
      <c r="AG131" s="36"/>
      <c r="AH131" s="36"/>
      <c r="AI131" s="36"/>
      <c r="AJ131" s="36"/>
      <c r="AK131" s="36"/>
      <c r="AL131" s="36"/>
      <c r="AM131" s="36"/>
      <c r="AN131" s="36"/>
      <c r="AO131" s="36"/>
      <c r="AP131" s="36"/>
      <c r="AQ131" s="36"/>
      <c r="AR131" s="36"/>
      <c r="AS131" s="36"/>
      <c r="AT131" s="36"/>
      <c r="AU131" s="30">
        <v>0</v>
      </c>
      <c r="AV131" s="21" t="e">
        <f t="shared" si="43"/>
        <v>#DIV/0!</v>
      </c>
      <c r="AW131" s="21" t="e">
        <f t="shared" si="43"/>
        <v>#DIV/0!</v>
      </c>
      <c r="AX131" s="21" t="e">
        <f t="shared" si="43"/>
        <v>#DIV/0!</v>
      </c>
      <c r="AY131" s="21" t="e">
        <f t="shared" si="43"/>
        <v>#DIV/0!</v>
      </c>
      <c r="AZ131" s="21" t="e">
        <f t="shared" si="43"/>
        <v>#DIV/0!</v>
      </c>
      <c r="BA131" s="21" t="e">
        <f t="shared" si="43"/>
        <v>#DIV/0!</v>
      </c>
      <c r="BB131" s="23" t="e">
        <f t="shared" si="31"/>
        <v>#DIV/0!</v>
      </c>
    </row>
    <row r="132" spans="1:54" x14ac:dyDescent="0.25">
      <c r="A132" s="34"/>
      <c r="B132" s="34"/>
      <c r="C132" s="34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35"/>
      <c r="AE132" s="35"/>
      <c r="AF132" s="35"/>
      <c r="AG132" s="35"/>
      <c r="AH132" s="35"/>
      <c r="AI132" s="37"/>
      <c r="AJ132" s="37"/>
      <c r="AK132" s="37"/>
      <c r="AL132" s="37"/>
      <c r="AM132" s="37"/>
      <c r="AN132" s="37"/>
      <c r="AO132" s="37"/>
      <c r="AP132" s="37"/>
      <c r="AQ132" s="37"/>
      <c r="AR132" s="37"/>
      <c r="AS132" s="37"/>
      <c r="AT132" s="37"/>
      <c r="AU132" s="31">
        <v>0</v>
      </c>
      <c r="AV132" s="20" t="e">
        <f t="shared" ref="AV132:BA135" si="44">AO132/AO517</f>
        <v>#DIV/0!</v>
      </c>
      <c r="AW132" s="20" t="e">
        <f t="shared" si="44"/>
        <v>#DIV/0!</v>
      </c>
      <c r="AX132" s="20" t="e">
        <f t="shared" si="44"/>
        <v>#DIV/0!</v>
      </c>
      <c r="AY132" s="20" t="e">
        <f t="shared" si="44"/>
        <v>#DIV/0!</v>
      </c>
      <c r="AZ132" s="20" t="e">
        <f t="shared" si="44"/>
        <v>#DIV/0!</v>
      </c>
      <c r="BA132" s="20" t="e">
        <f t="shared" si="44"/>
        <v>#DIV/0!</v>
      </c>
      <c r="BB132" s="23" t="e">
        <f t="shared" si="31"/>
        <v>#DIV/0!</v>
      </c>
    </row>
    <row r="133" spans="1:54" s="5" customFormat="1" x14ac:dyDescent="0.25">
      <c r="A133" s="32"/>
      <c r="B133" s="32"/>
      <c r="C133" s="32"/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F133" s="33"/>
      <c r="AG133" s="33"/>
      <c r="AH133" s="33"/>
      <c r="AI133" s="36"/>
      <c r="AJ133" s="36"/>
      <c r="AK133" s="36"/>
      <c r="AL133" s="36"/>
      <c r="AM133" s="36"/>
      <c r="AN133" s="36"/>
      <c r="AO133" s="36"/>
      <c r="AP133" s="36"/>
      <c r="AQ133" s="36"/>
      <c r="AR133" s="36"/>
      <c r="AS133" s="36"/>
      <c r="AT133" s="36"/>
      <c r="AU133" s="30">
        <v>0</v>
      </c>
      <c r="AV133" s="21" t="e">
        <f t="shared" si="44"/>
        <v>#DIV/0!</v>
      </c>
      <c r="AW133" s="21" t="e">
        <f t="shared" si="44"/>
        <v>#DIV/0!</v>
      </c>
      <c r="AX133" s="21" t="e">
        <f t="shared" si="44"/>
        <v>#DIV/0!</v>
      </c>
      <c r="AY133" s="21" t="e">
        <f t="shared" si="44"/>
        <v>#DIV/0!</v>
      </c>
      <c r="AZ133" s="21" t="e">
        <f t="shared" si="44"/>
        <v>#DIV/0!</v>
      </c>
      <c r="BA133" s="21" t="e">
        <f t="shared" si="44"/>
        <v>#DIV/0!</v>
      </c>
      <c r="BB133" s="23" t="e">
        <f t="shared" si="31"/>
        <v>#DIV/0!</v>
      </c>
    </row>
    <row r="134" spans="1:54" x14ac:dyDescent="0.25">
      <c r="A134" s="34"/>
      <c r="B134" s="34"/>
      <c r="C134" s="34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35"/>
      <c r="AE134" s="35"/>
      <c r="AF134" s="35"/>
      <c r="AG134" s="35"/>
      <c r="AH134" s="35"/>
      <c r="AI134" s="37"/>
      <c r="AJ134" s="35"/>
      <c r="AK134" s="37"/>
      <c r="AL134" s="35"/>
      <c r="AM134" s="35"/>
      <c r="AN134" s="35"/>
      <c r="AO134" s="35"/>
      <c r="AP134" s="35"/>
      <c r="AQ134" s="35"/>
      <c r="AR134" s="37"/>
      <c r="AS134" s="37"/>
      <c r="AT134" s="37"/>
      <c r="AU134" s="31">
        <v>0</v>
      </c>
      <c r="AV134" s="20" t="e">
        <f t="shared" si="44"/>
        <v>#DIV/0!</v>
      </c>
      <c r="AW134" s="20" t="e">
        <f t="shared" si="44"/>
        <v>#DIV/0!</v>
      </c>
      <c r="AX134" s="20" t="e">
        <f t="shared" si="44"/>
        <v>#DIV/0!</v>
      </c>
      <c r="AY134" s="20" t="e">
        <f t="shared" si="44"/>
        <v>#DIV/0!</v>
      </c>
      <c r="AZ134" s="20" t="e">
        <f t="shared" si="44"/>
        <v>#DIV/0!</v>
      </c>
      <c r="BA134" s="20" t="e">
        <f t="shared" si="44"/>
        <v>#DIV/0!</v>
      </c>
      <c r="BB134" s="23" t="e">
        <f t="shared" si="31"/>
        <v>#DIV/0!</v>
      </c>
    </row>
    <row r="135" spans="1:54" s="5" customFormat="1" x14ac:dyDescent="0.25">
      <c r="A135" s="32"/>
      <c r="B135" s="32"/>
      <c r="C135" s="32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F135" s="33"/>
      <c r="AG135" s="33"/>
      <c r="AH135" s="33"/>
      <c r="AI135" s="36"/>
      <c r="AJ135" s="36"/>
      <c r="AK135" s="36"/>
      <c r="AL135" s="36"/>
      <c r="AM135" s="36"/>
      <c r="AN135" s="36"/>
      <c r="AO135" s="36"/>
      <c r="AP135" s="36"/>
      <c r="AQ135" s="36"/>
      <c r="AR135" s="36"/>
      <c r="AS135" s="36"/>
      <c r="AT135" s="36"/>
      <c r="AU135" s="30">
        <v>0</v>
      </c>
      <c r="AV135" s="21" t="e">
        <f t="shared" si="44"/>
        <v>#DIV/0!</v>
      </c>
      <c r="AW135" s="21" t="e">
        <f t="shared" si="44"/>
        <v>#DIV/0!</v>
      </c>
      <c r="AX135" s="21" t="e">
        <f t="shared" si="44"/>
        <v>#DIV/0!</v>
      </c>
      <c r="AY135" s="21" t="e">
        <f t="shared" si="44"/>
        <v>#DIV/0!</v>
      </c>
      <c r="AZ135" s="21" t="e">
        <f t="shared" si="44"/>
        <v>#DIV/0!</v>
      </c>
      <c r="BA135" s="21" t="e">
        <f t="shared" si="44"/>
        <v>#DIV/0!</v>
      </c>
      <c r="BB135" s="23" t="e">
        <f t="shared" si="31"/>
        <v>#DIV/0!</v>
      </c>
    </row>
    <row r="136" spans="1:54" x14ac:dyDescent="0.25">
      <c r="A136" s="34"/>
      <c r="B136" s="34"/>
      <c r="C136" s="34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35"/>
      <c r="AE136" s="35"/>
      <c r="AF136" s="35"/>
      <c r="AG136" s="35"/>
      <c r="AH136" s="35"/>
      <c r="AI136" s="37"/>
      <c r="AJ136" s="37"/>
      <c r="AK136" s="37"/>
      <c r="AL136" s="35"/>
      <c r="AM136" s="35"/>
      <c r="AN136" s="37"/>
      <c r="AO136" s="37"/>
      <c r="AP136" s="37"/>
      <c r="AQ136" s="35"/>
      <c r="AR136" s="35"/>
      <c r="AS136" s="35"/>
      <c r="AT136" s="37"/>
      <c r="AU136" s="31">
        <v>0</v>
      </c>
      <c r="AV136" s="20" t="e">
        <f t="shared" ref="AV136:AV147" si="45">AO136/AO525</f>
        <v>#DIV/0!</v>
      </c>
      <c r="AW136" s="20" t="e">
        <f t="shared" ref="AW136:AW147" si="46">AP136/AP525</f>
        <v>#DIV/0!</v>
      </c>
      <c r="AX136" s="20" t="e">
        <f t="shared" ref="AX136:AX147" si="47">AQ136/AQ525</f>
        <v>#DIV/0!</v>
      </c>
      <c r="AY136" s="20" t="e">
        <f t="shared" ref="AY136:AY147" si="48">AR136/AR525</f>
        <v>#DIV/0!</v>
      </c>
      <c r="AZ136" s="20" t="e">
        <f t="shared" ref="AZ136:AZ147" si="49">AS136/AS525</f>
        <v>#DIV/0!</v>
      </c>
      <c r="BA136" s="20" t="e">
        <f t="shared" ref="BA136:BA147" si="50">AT136/AT525</f>
        <v>#DIV/0!</v>
      </c>
      <c r="BB136" s="23" t="e">
        <f t="shared" si="31"/>
        <v>#DIV/0!</v>
      </c>
    </row>
    <row r="137" spans="1:54" s="5" customFormat="1" x14ac:dyDescent="0.25">
      <c r="A137" s="32"/>
      <c r="B137" s="32"/>
      <c r="C137" s="32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F137" s="33"/>
      <c r="AG137" s="33"/>
      <c r="AH137" s="33"/>
      <c r="AI137" s="36"/>
      <c r="AJ137" s="36"/>
      <c r="AK137" s="36"/>
      <c r="AL137" s="36"/>
      <c r="AM137" s="36"/>
      <c r="AN137" s="36"/>
      <c r="AO137" s="36"/>
      <c r="AP137" s="36"/>
      <c r="AQ137" s="36"/>
      <c r="AR137" s="36"/>
      <c r="AS137" s="36"/>
      <c r="AT137" s="36"/>
      <c r="AU137" s="30">
        <v>0</v>
      </c>
      <c r="AV137" s="21" t="e">
        <f t="shared" si="45"/>
        <v>#DIV/0!</v>
      </c>
      <c r="AW137" s="21" t="e">
        <f t="shared" si="46"/>
        <v>#DIV/0!</v>
      </c>
      <c r="AX137" s="21" t="e">
        <f t="shared" si="47"/>
        <v>#DIV/0!</v>
      </c>
      <c r="AY137" s="21" t="e">
        <f t="shared" si="48"/>
        <v>#DIV/0!</v>
      </c>
      <c r="AZ137" s="21" t="e">
        <f t="shared" si="49"/>
        <v>#DIV/0!</v>
      </c>
      <c r="BA137" s="21" t="e">
        <f t="shared" si="50"/>
        <v>#DIV/0!</v>
      </c>
      <c r="BB137" s="23" t="e">
        <f t="shared" si="31"/>
        <v>#DIV/0!</v>
      </c>
    </row>
    <row r="138" spans="1:54" x14ac:dyDescent="0.25">
      <c r="A138" s="34"/>
      <c r="B138" s="34"/>
      <c r="C138" s="34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35"/>
      <c r="AE138" s="35"/>
      <c r="AF138" s="35"/>
      <c r="AG138" s="35"/>
      <c r="AH138" s="35"/>
      <c r="AI138" s="35"/>
      <c r="AJ138" s="35"/>
      <c r="AK138" s="35"/>
      <c r="AL138" s="35"/>
      <c r="AM138" s="35"/>
      <c r="AN138" s="35"/>
      <c r="AO138" s="35"/>
      <c r="AP138" s="35"/>
      <c r="AQ138" s="35"/>
      <c r="AR138" s="35"/>
      <c r="AS138" s="35"/>
      <c r="AT138" s="35"/>
      <c r="AU138" s="31">
        <v>0</v>
      </c>
      <c r="AV138" s="20" t="e">
        <f t="shared" si="45"/>
        <v>#DIV/0!</v>
      </c>
      <c r="AW138" s="20" t="e">
        <f t="shared" si="46"/>
        <v>#DIV/0!</v>
      </c>
      <c r="AX138" s="20" t="e">
        <f t="shared" si="47"/>
        <v>#DIV/0!</v>
      </c>
      <c r="AY138" s="20" t="e">
        <f t="shared" si="48"/>
        <v>#DIV/0!</v>
      </c>
      <c r="AZ138" s="20" t="e">
        <f t="shared" si="49"/>
        <v>#DIV/0!</v>
      </c>
      <c r="BA138" s="20" t="e">
        <f t="shared" si="50"/>
        <v>#DIV/0!</v>
      </c>
      <c r="BB138" s="23" t="e">
        <f t="shared" si="31"/>
        <v>#DIV/0!</v>
      </c>
    </row>
    <row r="139" spans="1:54" s="5" customFormat="1" x14ac:dyDescent="0.25">
      <c r="A139" s="32"/>
      <c r="B139" s="32"/>
      <c r="C139" s="32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F139" s="33"/>
      <c r="AG139" s="33"/>
      <c r="AH139" s="33"/>
      <c r="AI139" s="36"/>
      <c r="AJ139" s="36"/>
      <c r="AK139" s="36"/>
      <c r="AL139" s="36"/>
      <c r="AM139" s="36"/>
      <c r="AN139" s="36"/>
      <c r="AO139" s="36"/>
      <c r="AP139" s="36"/>
      <c r="AQ139" s="36"/>
      <c r="AR139" s="36"/>
      <c r="AS139" s="36"/>
      <c r="AT139" s="36"/>
      <c r="AU139" s="30">
        <v>0</v>
      </c>
      <c r="AV139" s="21" t="e">
        <f t="shared" si="45"/>
        <v>#DIV/0!</v>
      </c>
      <c r="AW139" s="21" t="e">
        <f t="shared" si="46"/>
        <v>#DIV/0!</v>
      </c>
      <c r="AX139" s="21" t="e">
        <f t="shared" si="47"/>
        <v>#DIV/0!</v>
      </c>
      <c r="AY139" s="21" t="e">
        <f t="shared" si="48"/>
        <v>#DIV/0!</v>
      </c>
      <c r="AZ139" s="21" t="e">
        <f t="shared" si="49"/>
        <v>#DIV/0!</v>
      </c>
      <c r="BA139" s="21" t="e">
        <f t="shared" si="50"/>
        <v>#DIV/0!</v>
      </c>
      <c r="BB139" s="23" t="e">
        <f t="shared" si="31"/>
        <v>#DIV/0!</v>
      </c>
    </row>
    <row r="140" spans="1:54" x14ac:dyDescent="0.25">
      <c r="A140" s="34"/>
      <c r="B140" s="34"/>
      <c r="C140" s="34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  <c r="AE140" s="35"/>
      <c r="AF140" s="35"/>
      <c r="AG140" s="35"/>
      <c r="AH140" s="35"/>
      <c r="AI140" s="37"/>
      <c r="AJ140" s="37"/>
      <c r="AK140" s="37"/>
      <c r="AL140" s="37"/>
      <c r="AM140" s="37"/>
      <c r="AN140" s="37"/>
      <c r="AO140" s="37"/>
      <c r="AP140" s="37"/>
      <c r="AQ140" s="37"/>
      <c r="AR140" s="37"/>
      <c r="AS140" s="37"/>
      <c r="AT140" s="37"/>
      <c r="AU140" s="31">
        <v>0</v>
      </c>
      <c r="AV140" s="20" t="e">
        <f t="shared" si="45"/>
        <v>#DIV/0!</v>
      </c>
      <c r="AW140" s="20" t="e">
        <f t="shared" si="46"/>
        <v>#DIV/0!</v>
      </c>
      <c r="AX140" s="20" t="e">
        <f t="shared" si="47"/>
        <v>#DIV/0!</v>
      </c>
      <c r="AY140" s="20" t="e">
        <f t="shared" si="48"/>
        <v>#DIV/0!</v>
      </c>
      <c r="AZ140" s="20" t="e">
        <f t="shared" si="49"/>
        <v>#DIV/0!</v>
      </c>
      <c r="BA140" s="20" t="e">
        <f t="shared" si="50"/>
        <v>#DIV/0!</v>
      </c>
      <c r="BB140" s="23" t="e">
        <f t="shared" ref="BB140:BB161" si="51">AVERAGE(AZ140,BA140,AY140)</f>
        <v>#DIV/0!</v>
      </c>
    </row>
    <row r="141" spans="1:54" s="5" customFormat="1" x14ac:dyDescent="0.25">
      <c r="A141" s="32"/>
      <c r="B141" s="32"/>
      <c r="C141" s="32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  <c r="AD141" s="33"/>
      <c r="AE141" s="33"/>
      <c r="AF141" s="33"/>
      <c r="AG141" s="33"/>
      <c r="AH141" s="33"/>
      <c r="AI141" s="36"/>
      <c r="AJ141" s="36"/>
      <c r="AK141" s="36"/>
      <c r="AL141" s="36"/>
      <c r="AM141" s="36"/>
      <c r="AN141" s="36"/>
      <c r="AO141" s="36"/>
      <c r="AP141" s="36"/>
      <c r="AQ141" s="36"/>
      <c r="AR141" s="36"/>
      <c r="AS141" s="36"/>
      <c r="AT141" s="36"/>
      <c r="AU141" s="30">
        <v>0</v>
      </c>
      <c r="AV141" s="21" t="e">
        <f t="shared" si="45"/>
        <v>#DIV/0!</v>
      </c>
      <c r="AW141" s="21" t="e">
        <f t="shared" si="46"/>
        <v>#DIV/0!</v>
      </c>
      <c r="AX141" s="21" t="e">
        <f t="shared" si="47"/>
        <v>#DIV/0!</v>
      </c>
      <c r="AY141" s="21" t="e">
        <f t="shared" si="48"/>
        <v>#DIV/0!</v>
      </c>
      <c r="AZ141" s="21" t="e">
        <f t="shared" si="49"/>
        <v>#DIV/0!</v>
      </c>
      <c r="BA141" s="21" t="e">
        <f t="shared" si="50"/>
        <v>#DIV/0!</v>
      </c>
      <c r="BB141" s="23" t="e">
        <f t="shared" si="51"/>
        <v>#DIV/0!</v>
      </c>
    </row>
    <row r="142" spans="1:54" x14ac:dyDescent="0.25">
      <c r="A142" s="34"/>
      <c r="B142" s="34"/>
      <c r="C142" s="34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  <c r="AM142" s="35"/>
      <c r="AN142" s="35"/>
      <c r="AO142" s="35"/>
      <c r="AP142" s="35"/>
      <c r="AQ142" s="35"/>
      <c r="AR142" s="35"/>
      <c r="AS142" s="35"/>
      <c r="AT142" s="35"/>
      <c r="AU142" s="31">
        <v>0</v>
      </c>
      <c r="AV142" s="20" t="e">
        <f t="shared" si="45"/>
        <v>#DIV/0!</v>
      </c>
      <c r="AW142" s="20" t="e">
        <f t="shared" si="46"/>
        <v>#DIV/0!</v>
      </c>
      <c r="AX142" s="20" t="e">
        <f t="shared" si="47"/>
        <v>#DIV/0!</v>
      </c>
      <c r="AY142" s="20" t="e">
        <f t="shared" si="48"/>
        <v>#DIV/0!</v>
      </c>
      <c r="AZ142" s="20" t="e">
        <f t="shared" si="49"/>
        <v>#DIV/0!</v>
      </c>
      <c r="BA142" s="20" t="e">
        <f t="shared" si="50"/>
        <v>#DIV/0!</v>
      </c>
      <c r="BB142" s="23" t="e">
        <f t="shared" si="51"/>
        <v>#DIV/0!</v>
      </c>
    </row>
    <row r="143" spans="1:54" s="5" customFormat="1" x14ac:dyDescent="0.25">
      <c r="A143" s="32"/>
      <c r="B143" s="32"/>
      <c r="C143" s="32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F143" s="33"/>
      <c r="AG143" s="33"/>
      <c r="AH143" s="33"/>
      <c r="AI143" s="36"/>
      <c r="AJ143" s="36"/>
      <c r="AK143" s="36"/>
      <c r="AL143" s="36"/>
      <c r="AM143" s="36"/>
      <c r="AN143" s="36"/>
      <c r="AO143" s="36"/>
      <c r="AP143" s="36"/>
      <c r="AQ143" s="36"/>
      <c r="AR143" s="36"/>
      <c r="AS143" s="36"/>
      <c r="AT143" s="36"/>
      <c r="AU143" s="30">
        <v>0</v>
      </c>
      <c r="AV143" s="21" t="e">
        <f t="shared" si="45"/>
        <v>#DIV/0!</v>
      </c>
      <c r="AW143" s="21" t="e">
        <f t="shared" si="46"/>
        <v>#DIV/0!</v>
      </c>
      <c r="AX143" s="21" t="e">
        <f t="shared" si="47"/>
        <v>#DIV/0!</v>
      </c>
      <c r="AY143" s="21" t="e">
        <f t="shared" si="48"/>
        <v>#DIV/0!</v>
      </c>
      <c r="AZ143" s="21" t="e">
        <f t="shared" si="49"/>
        <v>#DIV/0!</v>
      </c>
      <c r="BA143" s="21" t="e">
        <f t="shared" si="50"/>
        <v>#DIV/0!</v>
      </c>
      <c r="BB143" s="23" t="e">
        <f t="shared" si="51"/>
        <v>#DIV/0!</v>
      </c>
    </row>
    <row r="144" spans="1:54" x14ac:dyDescent="0.25">
      <c r="A144" s="34"/>
      <c r="B144" s="34"/>
      <c r="C144" s="34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  <c r="AM144" s="35"/>
      <c r="AN144" s="35"/>
      <c r="AO144" s="35"/>
      <c r="AP144" s="35"/>
      <c r="AQ144" s="35"/>
      <c r="AR144" s="35"/>
      <c r="AS144" s="35"/>
      <c r="AT144" s="35"/>
      <c r="AU144" s="31">
        <v>0</v>
      </c>
      <c r="AV144" s="20" t="e">
        <f t="shared" si="45"/>
        <v>#DIV/0!</v>
      </c>
      <c r="AW144" s="20" t="e">
        <f t="shared" si="46"/>
        <v>#DIV/0!</v>
      </c>
      <c r="AX144" s="20" t="e">
        <f t="shared" si="47"/>
        <v>#DIV/0!</v>
      </c>
      <c r="AY144" s="20" t="e">
        <f t="shared" si="48"/>
        <v>#DIV/0!</v>
      </c>
      <c r="AZ144" s="20" t="e">
        <f t="shared" si="49"/>
        <v>#DIV/0!</v>
      </c>
      <c r="BA144" s="20" t="e">
        <f t="shared" si="50"/>
        <v>#DIV/0!</v>
      </c>
      <c r="BB144" s="23" t="e">
        <f t="shared" si="51"/>
        <v>#DIV/0!</v>
      </c>
    </row>
    <row r="145" spans="1:54" s="5" customFormat="1" x14ac:dyDescent="0.25">
      <c r="A145" s="32"/>
      <c r="B145" s="32"/>
      <c r="C145" s="32"/>
      <c r="D145" s="33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  <c r="AM145" s="36"/>
      <c r="AN145" s="33"/>
      <c r="AO145" s="33"/>
      <c r="AP145" s="33"/>
      <c r="AQ145" s="36"/>
      <c r="AR145" s="33"/>
      <c r="AS145" s="33"/>
      <c r="AT145" s="33"/>
      <c r="AU145" s="30">
        <v>0</v>
      </c>
      <c r="AV145" s="21" t="e">
        <f t="shared" si="45"/>
        <v>#DIV/0!</v>
      </c>
      <c r="AW145" s="21" t="e">
        <f t="shared" si="46"/>
        <v>#DIV/0!</v>
      </c>
      <c r="AX145" s="21" t="e">
        <f t="shared" si="47"/>
        <v>#DIV/0!</v>
      </c>
      <c r="AY145" s="21" t="e">
        <f t="shared" si="48"/>
        <v>#DIV/0!</v>
      </c>
      <c r="AZ145" s="21" t="e">
        <f t="shared" si="49"/>
        <v>#DIV/0!</v>
      </c>
      <c r="BA145" s="21" t="e">
        <f t="shared" si="50"/>
        <v>#DIV/0!</v>
      </c>
      <c r="BB145" s="23" t="e">
        <f t="shared" si="51"/>
        <v>#DIV/0!</v>
      </c>
    </row>
    <row r="146" spans="1:54" x14ac:dyDescent="0.25">
      <c r="A146" s="34"/>
      <c r="B146" s="34"/>
      <c r="C146" s="34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  <c r="AM146" s="35"/>
      <c r="AN146" s="35"/>
      <c r="AO146" s="35"/>
      <c r="AP146" s="35"/>
      <c r="AQ146" s="35"/>
      <c r="AR146" s="35"/>
      <c r="AS146" s="35"/>
      <c r="AT146" s="35"/>
      <c r="AU146" s="31">
        <v>0</v>
      </c>
      <c r="AV146" s="20" t="e">
        <f t="shared" si="45"/>
        <v>#DIV/0!</v>
      </c>
      <c r="AW146" s="20" t="e">
        <f t="shared" si="46"/>
        <v>#DIV/0!</v>
      </c>
      <c r="AX146" s="20" t="e">
        <f t="shared" si="47"/>
        <v>#DIV/0!</v>
      </c>
      <c r="AY146" s="20" t="e">
        <f t="shared" si="48"/>
        <v>#DIV/0!</v>
      </c>
      <c r="AZ146" s="20" t="e">
        <f t="shared" si="49"/>
        <v>#DIV/0!</v>
      </c>
      <c r="BA146" s="20" t="e">
        <f t="shared" si="50"/>
        <v>#DIV/0!</v>
      </c>
      <c r="BB146" s="23" t="e">
        <f t="shared" si="51"/>
        <v>#DIV/0!</v>
      </c>
    </row>
    <row r="147" spans="1:54" s="5" customFormat="1" x14ac:dyDescent="0.25">
      <c r="A147" s="32"/>
      <c r="B147" s="32"/>
      <c r="C147" s="32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  <c r="AM147" s="36"/>
      <c r="AN147" s="33"/>
      <c r="AO147" s="33"/>
      <c r="AP147" s="36"/>
      <c r="AQ147" s="36"/>
      <c r="AR147" s="33"/>
      <c r="AS147" s="33"/>
      <c r="AT147" s="36"/>
      <c r="AU147" s="30">
        <v>0</v>
      </c>
      <c r="AV147" s="21" t="e">
        <f t="shared" si="45"/>
        <v>#DIV/0!</v>
      </c>
      <c r="AW147" s="21" t="e">
        <f t="shared" si="46"/>
        <v>#DIV/0!</v>
      </c>
      <c r="AX147" s="21" t="e">
        <f t="shared" si="47"/>
        <v>#DIV/0!</v>
      </c>
      <c r="AY147" s="21" t="e">
        <f t="shared" si="48"/>
        <v>#DIV/0!</v>
      </c>
      <c r="AZ147" s="21" t="e">
        <f t="shared" si="49"/>
        <v>#DIV/0!</v>
      </c>
      <c r="BA147" s="21" t="e">
        <f t="shared" si="50"/>
        <v>#DIV/0!</v>
      </c>
      <c r="BB147" s="23" t="e">
        <f t="shared" si="51"/>
        <v>#DIV/0!</v>
      </c>
    </row>
    <row r="148" spans="1:54" x14ac:dyDescent="0.25">
      <c r="A148" s="34"/>
      <c r="B148" s="34"/>
      <c r="C148" s="34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  <c r="AM148" s="35"/>
      <c r="AN148" s="35"/>
      <c r="AO148" s="35"/>
      <c r="AP148" s="37"/>
      <c r="AQ148" s="37"/>
      <c r="AR148" s="37"/>
      <c r="AS148" s="37"/>
      <c r="AT148" s="37"/>
      <c r="AU148" s="21" t="e">
        <f t="shared" ref="AU148:AZ148" si="52">AO148/AP$83</f>
        <v>#DIV/0!</v>
      </c>
      <c r="AV148" s="21" t="e">
        <f t="shared" si="52"/>
        <v>#DIV/0!</v>
      </c>
      <c r="AW148" s="21" t="e">
        <f t="shared" si="52"/>
        <v>#DIV/0!</v>
      </c>
      <c r="AX148" s="21" t="e">
        <f t="shared" si="52"/>
        <v>#DIV/0!</v>
      </c>
      <c r="AY148" s="21" t="e">
        <f t="shared" si="52"/>
        <v>#DIV/0!</v>
      </c>
      <c r="AZ148" s="21" t="e">
        <f t="shared" si="52"/>
        <v>#DIV/0!</v>
      </c>
      <c r="BB148" s="23" t="e">
        <f>AVERAGE(AX148,AY148,AZ148)</f>
        <v>#DIV/0!</v>
      </c>
    </row>
    <row r="149" spans="1:54" s="5" customFormat="1" x14ac:dyDescent="0.25">
      <c r="A149" s="34"/>
      <c r="B149" s="32"/>
      <c r="C149" s="32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  <c r="AM149" s="33"/>
      <c r="AN149" s="33"/>
      <c r="AO149" s="33"/>
      <c r="AP149" s="36"/>
      <c r="AQ149" s="36"/>
      <c r="AR149" s="36"/>
      <c r="AS149" s="36"/>
      <c r="AT149" s="36"/>
      <c r="AU149" s="21" t="e">
        <f t="shared" ref="AU149:AZ149" si="53">AO149/AP$63</f>
        <v>#DIV/0!</v>
      </c>
      <c r="AV149" s="21" t="e">
        <f t="shared" si="53"/>
        <v>#DIV/0!</v>
      </c>
      <c r="AW149" s="21" t="e">
        <f t="shared" si="53"/>
        <v>#DIV/0!</v>
      </c>
      <c r="AX149" s="21" t="e">
        <f t="shared" si="53"/>
        <v>#DIV/0!</v>
      </c>
      <c r="AY149" s="21" t="e">
        <f t="shared" si="53"/>
        <v>#DIV/0!</v>
      </c>
      <c r="AZ149" s="21" t="e">
        <f t="shared" si="53"/>
        <v>#DIV/0!</v>
      </c>
      <c r="BB149" s="23" t="e">
        <f>AVERAGE(AX149,AY149,AZ149)</f>
        <v>#DIV/0!</v>
      </c>
    </row>
    <row r="150" spans="1:54" x14ac:dyDescent="0.25">
      <c r="A150" s="34"/>
      <c r="B150" s="34"/>
      <c r="C150" s="34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  <c r="AM150" s="35"/>
      <c r="AN150" s="35"/>
      <c r="AO150" s="35"/>
      <c r="AP150" s="37"/>
      <c r="AQ150" s="37"/>
      <c r="AR150" s="37"/>
      <c r="AS150" s="37"/>
      <c r="AT150" s="37"/>
      <c r="AU150" s="21" t="e">
        <f t="shared" ref="AU150:AZ150" si="54">AO150/AP$42</f>
        <v>#DIV/0!</v>
      </c>
      <c r="AV150" s="21" t="e">
        <f t="shared" si="54"/>
        <v>#DIV/0!</v>
      </c>
      <c r="AW150" s="21" t="e">
        <f t="shared" si="54"/>
        <v>#DIV/0!</v>
      </c>
      <c r="AX150" s="21" t="e">
        <f t="shared" si="54"/>
        <v>#DIV/0!</v>
      </c>
      <c r="AY150" s="21" t="e">
        <f t="shared" si="54"/>
        <v>#DIV/0!</v>
      </c>
      <c r="AZ150" s="21" t="e">
        <f t="shared" si="54"/>
        <v>#DIV/0!</v>
      </c>
      <c r="BA150" s="5"/>
      <c r="BB150" s="23" t="e">
        <f>AVERAGE(AX150,AY150,AZ150)</f>
        <v>#DIV/0!</v>
      </c>
    </row>
    <row r="151" spans="1:54" s="5" customFormat="1" x14ac:dyDescent="0.25">
      <c r="A151" s="34"/>
      <c r="B151" s="32"/>
      <c r="C151" s="32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  <c r="AM151" s="33"/>
      <c r="AN151" s="33"/>
      <c r="AO151" s="33"/>
      <c r="AP151" s="36"/>
      <c r="AQ151" s="36"/>
      <c r="AR151" s="36"/>
      <c r="AS151" s="36"/>
      <c r="AT151" s="36"/>
      <c r="AU151" s="20" t="e">
        <f t="shared" ref="AU151:AZ151" si="55">AO151/AO$25</f>
        <v>#DIV/0!</v>
      </c>
      <c r="AV151" s="20" t="e">
        <f t="shared" si="55"/>
        <v>#DIV/0!</v>
      </c>
      <c r="AW151" s="20" t="e">
        <f t="shared" si="55"/>
        <v>#DIV/0!</v>
      </c>
      <c r="AX151" s="20" t="e">
        <f t="shared" si="55"/>
        <v>#DIV/0!</v>
      </c>
      <c r="AY151" s="20" t="e">
        <f t="shared" si="55"/>
        <v>#DIV/0!</v>
      </c>
      <c r="AZ151" s="20" t="e">
        <f t="shared" si="55"/>
        <v>#DIV/0!</v>
      </c>
      <c r="BA151"/>
      <c r="BB151" s="23" t="e">
        <f>AVERAGE(AX151,AY151,AZ151)</f>
        <v>#DIV/0!</v>
      </c>
    </row>
    <row r="152" spans="1:54" s="5" customFormat="1" x14ac:dyDescent="0.25">
      <c r="A152" s="32"/>
      <c r="B152" s="32"/>
      <c r="C152" s="32"/>
      <c r="D152" s="33"/>
      <c r="E152" s="33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6"/>
      <c r="AJ152" s="36"/>
      <c r="AK152" s="36"/>
      <c r="AL152" s="36"/>
      <c r="AM152" s="36"/>
      <c r="AN152" s="36"/>
      <c r="AO152" s="36"/>
      <c r="AP152" s="36"/>
      <c r="AQ152" s="36"/>
      <c r="AR152" s="36"/>
      <c r="AS152" s="36"/>
      <c r="AT152" s="36"/>
      <c r="AU152" s="30">
        <v>0</v>
      </c>
      <c r="AV152" s="21" t="e">
        <f t="shared" ref="AV152:BA155" si="56">AO152/AO541</f>
        <v>#DIV/0!</v>
      </c>
      <c r="AW152" s="21" t="e">
        <f t="shared" si="56"/>
        <v>#DIV/0!</v>
      </c>
      <c r="AX152" s="21" t="e">
        <f t="shared" si="56"/>
        <v>#DIV/0!</v>
      </c>
      <c r="AY152" s="21" t="e">
        <f t="shared" si="56"/>
        <v>#DIV/0!</v>
      </c>
      <c r="AZ152" s="21" t="e">
        <f t="shared" si="56"/>
        <v>#DIV/0!</v>
      </c>
      <c r="BA152" s="21" t="e">
        <f t="shared" si="56"/>
        <v>#DIV/0!</v>
      </c>
      <c r="BB152" s="23" t="e">
        <f t="shared" si="51"/>
        <v>#DIV/0!</v>
      </c>
    </row>
    <row r="153" spans="1:54" x14ac:dyDescent="0.25">
      <c r="A153" s="34"/>
      <c r="B153" s="34"/>
      <c r="C153" s="34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7"/>
      <c r="AJ153" s="37"/>
      <c r="AK153" s="37"/>
      <c r="AL153" s="37"/>
      <c r="AM153" s="37"/>
      <c r="AN153" s="37"/>
      <c r="AO153" s="37"/>
      <c r="AP153" s="37"/>
      <c r="AQ153" s="37"/>
      <c r="AR153" s="37"/>
      <c r="AS153" s="37"/>
      <c r="AT153" s="37"/>
      <c r="AU153" s="31">
        <v>0</v>
      </c>
      <c r="AV153" s="20" t="e">
        <f t="shared" si="56"/>
        <v>#DIV/0!</v>
      </c>
      <c r="AW153" s="20" t="e">
        <f t="shared" si="56"/>
        <v>#DIV/0!</v>
      </c>
      <c r="AX153" s="20" t="e">
        <f t="shared" si="56"/>
        <v>#DIV/0!</v>
      </c>
      <c r="AY153" s="20" t="e">
        <f t="shared" si="56"/>
        <v>#DIV/0!</v>
      </c>
      <c r="AZ153" s="20" t="e">
        <f t="shared" si="56"/>
        <v>#DIV/0!</v>
      </c>
      <c r="BA153" s="20" t="e">
        <f t="shared" si="56"/>
        <v>#DIV/0!</v>
      </c>
      <c r="BB153" s="23" t="e">
        <f t="shared" si="51"/>
        <v>#DIV/0!</v>
      </c>
    </row>
    <row r="154" spans="1:54" s="5" customFormat="1" x14ac:dyDescent="0.25">
      <c r="A154" s="32"/>
      <c r="B154" s="32"/>
      <c r="C154" s="32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6"/>
      <c r="AJ154" s="36"/>
      <c r="AK154" s="36"/>
      <c r="AL154" s="36"/>
      <c r="AM154" s="36"/>
      <c r="AN154" s="36"/>
      <c r="AO154" s="36"/>
      <c r="AP154" s="36"/>
      <c r="AQ154" s="36"/>
      <c r="AR154" s="36"/>
      <c r="AS154" s="36"/>
      <c r="AT154" s="36"/>
      <c r="AU154" s="30">
        <v>0</v>
      </c>
      <c r="AV154" s="21" t="e">
        <f t="shared" si="56"/>
        <v>#DIV/0!</v>
      </c>
      <c r="AW154" s="21" t="e">
        <f t="shared" si="56"/>
        <v>#DIV/0!</v>
      </c>
      <c r="AX154" s="21" t="e">
        <f t="shared" si="56"/>
        <v>#DIV/0!</v>
      </c>
      <c r="AY154" s="21" t="e">
        <f t="shared" si="56"/>
        <v>#DIV/0!</v>
      </c>
      <c r="AZ154" s="21" t="e">
        <f t="shared" si="56"/>
        <v>#DIV/0!</v>
      </c>
      <c r="BA154" s="21" t="e">
        <f t="shared" si="56"/>
        <v>#DIV/0!</v>
      </c>
      <c r="BB154" s="23" t="e">
        <f t="shared" si="51"/>
        <v>#DIV/0!</v>
      </c>
    </row>
    <row r="155" spans="1:54" x14ac:dyDescent="0.25">
      <c r="A155" s="34"/>
      <c r="B155" s="34"/>
      <c r="C155" s="34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7"/>
      <c r="AJ155" s="37"/>
      <c r="AK155" s="37"/>
      <c r="AL155" s="37"/>
      <c r="AM155" s="37"/>
      <c r="AN155" s="37"/>
      <c r="AO155" s="37"/>
      <c r="AP155" s="37"/>
      <c r="AQ155" s="37"/>
      <c r="AR155" s="37"/>
      <c r="AS155" s="37"/>
      <c r="AT155" s="37"/>
      <c r="AU155" s="31">
        <v>0</v>
      </c>
      <c r="AV155" s="20" t="e">
        <f t="shared" si="56"/>
        <v>#DIV/0!</v>
      </c>
      <c r="AW155" s="20" t="e">
        <f t="shared" si="56"/>
        <v>#DIV/0!</v>
      </c>
      <c r="AX155" s="20" t="e">
        <f t="shared" si="56"/>
        <v>#DIV/0!</v>
      </c>
      <c r="AY155" s="20" t="e">
        <f t="shared" si="56"/>
        <v>#DIV/0!</v>
      </c>
      <c r="AZ155" s="20" t="e">
        <f t="shared" si="56"/>
        <v>#DIV/0!</v>
      </c>
      <c r="BA155" s="20" t="e">
        <f t="shared" si="56"/>
        <v>#DIV/0!</v>
      </c>
      <c r="BB155" s="23" t="e">
        <f t="shared" si="51"/>
        <v>#DIV/0!</v>
      </c>
    </row>
    <row r="156" spans="1:54" s="5" customFormat="1" x14ac:dyDescent="0.25">
      <c r="A156" s="32"/>
      <c r="B156" s="32"/>
      <c r="C156" s="32"/>
      <c r="D156" s="36"/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36"/>
      <c r="AI156" s="36"/>
      <c r="AJ156" s="36"/>
      <c r="AK156" s="36"/>
      <c r="AL156" s="36"/>
      <c r="AM156" s="36"/>
      <c r="AN156" s="36"/>
      <c r="AO156" s="36"/>
      <c r="AP156" s="36"/>
      <c r="AQ156" s="36"/>
      <c r="AR156" s="36"/>
      <c r="AS156" s="36"/>
      <c r="AT156" s="36"/>
      <c r="AU156" s="30">
        <v>0</v>
      </c>
      <c r="AV156" s="21" t="e">
        <f t="shared" ref="AV156:BA161" si="57">AO156/AO517</f>
        <v>#DIV/0!</v>
      </c>
      <c r="AW156" s="21" t="e">
        <f t="shared" si="57"/>
        <v>#DIV/0!</v>
      </c>
      <c r="AX156" s="21" t="e">
        <f t="shared" si="57"/>
        <v>#DIV/0!</v>
      </c>
      <c r="AY156" s="21" t="e">
        <f t="shared" si="57"/>
        <v>#DIV/0!</v>
      </c>
      <c r="AZ156" s="21" t="e">
        <f t="shared" si="57"/>
        <v>#DIV/0!</v>
      </c>
      <c r="BA156" s="21" t="e">
        <f t="shared" si="57"/>
        <v>#DIV/0!</v>
      </c>
      <c r="BB156" s="23" t="e">
        <f t="shared" si="51"/>
        <v>#DIV/0!</v>
      </c>
    </row>
    <row r="157" spans="1:54" x14ac:dyDescent="0.25">
      <c r="A157" s="34"/>
      <c r="B157" s="34"/>
      <c r="C157" s="34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  <c r="AM157" s="35"/>
      <c r="AN157" s="35"/>
      <c r="AO157" s="35"/>
      <c r="AP157" s="35"/>
      <c r="AQ157" s="35"/>
      <c r="AR157" s="35"/>
      <c r="AS157" s="35"/>
      <c r="AT157" s="35"/>
      <c r="AU157" s="31">
        <v>0</v>
      </c>
      <c r="AV157" s="20" t="e">
        <f t="shared" si="57"/>
        <v>#DIV/0!</v>
      </c>
      <c r="AW157" s="20" t="e">
        <f t="shared" si="57"/>
        <v>#DIV/0!</v>
      </c>
      <c r="AX157" s="20" t="e">
        <f t="shared" si="57"/>
        <v>#DIV/0!</v>
      </c>
      <c r="AY157" s="20" t="e">
        <f t="shared" si="57"/>
        <v>#DIV/0!</v>
      </c>
      <c r="AZ157" s="20" t="e">
        <f t="shared" si="57"/>
        <v>#DIV/0!</v>
      </c>
      <c r="BA157" s="20" t="e">
        <f t="shared" si="57"/>
        <v>#DIV/0!</v>
      </c>
      <c r="BB157" s="23" t="e">
        <f t="shared" si="51"/>
        <v>#DIV/0!</v>
      </c>
    </row>
    <row r="158" spans="1:54" s="5" customFormat="1" x14ac:dyDescent="0.25">
      <c r="A158" s="32"/>
      <c r="B158" s="32"/>
      <c r="C158" s="32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F158" s="33"/>
      <c r="AG158" s="33"/>
      <c r="AH158" s="33"/>
      <c r="AI158" s="33"/>
      <c r="AJ158" s="33"/>
      <c r="AK158" s="33"/>
      <c r="AL158" s="33"/>
      <c r="AM158" s="36"/>
      <c r="AN158" s="33"/>
      <c r="AO158" s="33"/>
      <c r="AP158" s="36"/>
      <c r="AQ158" s="36"/>
      <c r="AR158" s="36"/>
      <c r="AS158" s="36"/>
      <c r="AT158" s="36"/>
      <c r="AU158" s="30">
        <v>0</v>
      </c>
      <c r="AV158" s="21" t="e">
        <f t="shared" si="57"/>
        <v>#DIV/0!</v>
      </c>
      <c r="AW158" s="21" t="e">
        <f t="shared" si="57"/>
        <v>#DIV/0!</v>
      </c>
      <c r="AX158" s="21" t="e">
        <f t="shared" si="57"/>
        <v>#DIV/0!</v>
      </c>
      <c r="AY158" s="21" t="e">
        <f t="shared" si="57"/>
        <v>#DIV/0!</v>
      </c>
      <c r="AZ158" s="21" t="e">
        <f t="shared" si="57"/>
        <v>#DIV/0!</v>
      </c>
      <c r="BA158" s="21" t="e">
        <f t="shared" si="57"/>
        <v>#DIV/0!</v>
      </c>
      <c r="BB158" s="23" t="e">
        <f t="shared" si="51"/>
        <v>#DIV/0!</v>
      </c>
    </row>
    <row r="159" spans="1:54" x14ac:dyDescent="0.25">
      <c r="A159" s="34"/>
      <c r="B159" s="34"/>
      <c r="C159" s="34"/>
      <c r="D159" s="37"/>
      <c r="E159" s="37"/>
      <c r="F159" s="37"/>
      <c r="G159" s="37"/>
      <c r="H159" s="37"/>
      <c r="I159" s="37"/>
      <c r="J159" s="37"/>
      <c r="K159" s="37"/>
      <c r="L159" s="37"/>
      <c r="M159" s="37"/>
      <c r="N159" s="37"/>
      <c r="O159" s="37"/>
      <c r="P159" s="37"/>
      <c r="Q159" s="37"/>
      <c r="R159" s="37"/>
      <c r="S159" s="37"/>
      <c r="T159" s="37"/>
      <c r="U159" s="37"/>
      <c r="V159" s="37"/>
      <c r="W159" s="37"/>
      <c r="X159" s="37"/>
      <c r="Y159" s="37"/>
      <c r="Z159" s="37"/>
      <c r="AA159" s="37"/>
      <c r="AB159" s="37"/>
      <c r="AC159" s="37"/>
      <c r="AD159" s="37"/>
      <c r="AE159" s="37"/>
      <c r="AF159" s="37"/>
      <c r="AG159" s="37"/>
      <c r="AH159" s="37"/>
      <c r="AI159" s="37"/>
      <c r="AJ159" s="37"/>
      <c r="AK159" s="37"/>
      <c r="AL159" s="37"/>
      <c r="AM159" s="37"/>
      <c r="AN159" s="37"/>
      <c r="AO159" s="37"/>
      <c r="AP159" s="37"/>
      <c r="AQ159" s="37"/>
      <c r="AR159" s="37"/>
      <c r="AS159" s="37"/>
      <c r="AT159" s="37"/>
      <c r="AU159" s="31">
        <v>0</v>
      </c>
      <c r="AV159" s="20" t="e">
        <f t="shared" si="57"/>
        <v>#DIV/0!</v>
      </c>
      <c r="AW159" s="20" t="e">
        <f t="shared" si="57"/>
        <v>#DIV/0!</v>
      </c>
      <c r="AX159" s="20" t="e">
        <f t="shared" si="57"/>
        <v>#DIV/0!</v>
      </c>
      <c r="AY159" s="20" t="e">
        <f t="shared" si="57"/>
        <v>#DIV/0!</v>
      </c>
      <c r="AZ159" s="20" t="e">
        <f t="shared" si="57"/>
        <v>#DIV/0!</v>
      </c>
      <c r="BA159" s="20" t="e">
        <f t="shared" si="57"/>
        <v>#DIV/0!</v>
      </c>
      <c r="BB159" s="23" t="e">
        <f t="shared" si="51"/>
        <v>#DIV/0!</v>
      </c>
    </row>
    <row r="160" spans="1:54" s="5" customFormat="1" x14ac:dyDescent="0.25">
      <c r="A160" s="32"/>
      <c r="B160" s="32"/>
      <c r="C160" s="32"/>
      <c r="D160" s="36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  <c r="W160" s="36"/>
      <c r="X160" s="36"/>
      <c r="Y160" s="36"/>
      <c r="Z160" s="36"/>
      <c r="AA160" s="36"/>
      <c r="AB160" s="36"/>
      <c r="AC160" s="36"/>
      <c r="AD160" s="36"/>
      <c r="AE160" s="36"/>
      <c r="AF160" s="36"/>
      <c r="AG160" s="36"/>
      <c r="AH160" s="36"/>
      <c r="AI160" s="36"/>
      <c r="AJ160" s="36"/>
      <c r="AK160" s="36"/>
      <c r="AL160" s="36"/>
      <c r="AM160" s="36"/>
      <c r="AN160" s="36"/>
      <c r="AO160" s="36"/>
      <c r="AP160" s="36"/>
      <c r="AQ160" s="36"/>
      <c r="AR160" s="36"/>
      <c r="AS160" s="36"/>
      <c r="AT160" s="36"/>
      <c r="AU160" s="30">
        <v>0</v>
      </c>
      <c r="AV160" s="21" t="e">
        <f t="shared" si="57"/>
        <v>#DIV/0!</v>
      </c>
      <c r="AW160" s="21" t="e">
        <f t="shared" si="57"/>
        <v>#DIV/0!</v>
      </c>
      <c r="AX160" s="21" t="e">
        <f t="shared" si="57"/>
        <v>#DIV/0!</v>
      </c>
      <c r="AY160" s="21" t="e">
        <f t="shared" si="57"/>
        <v>#DIV/0!</v>
      </c>
      <c r="AZ160" s="21" t="e">
        <f t="shared" si="57"/>
        <v>#DIV/0!</v>
      </c>
      <c r="BA160" s="21" t="e">
        <f t="shared" si="57"/>
        <v>#DIV/0!</v>
      </c>
      <c r="BB160" s="23" t="e">
        <f t="shared" si="51"/>
        <v>#DIV/0!</v>
      </c>
    </row>
    <row r="161" spans="1:54" x14ac:dyDescent="0.25">
      <c r="A161" s="34"/>
      <c r="B161" s="34"/>
      <c r="C161" s="34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7"/>
      <c r="AJ161" s="37"/>
      <c r="AK161" s="37"/>
      <c r="AL161" s="37"/>
      <c r="AM161" s="35"/>
      <c r="AN161" s="37"/>
      <c r="AO161" s="35"/>
      <c r="AP161" s="35"/>
      <c r="AQ161" s="35"/>
      <c r="AR161" s="35"/>
      <c r="AS161" s="35"/>
      <c r="AT161" s="35"/>
      <c r="AU161" s="31">
        <v>0</v>
      </c>
      <c r="AV161" s="20" t="e">
        <f t="shared" si="57"/>
        <v>#DIV/0!</v>
      </c>
      <c r="AW161" s="20" t="e">
        <f t="shared" si="57"/>
        <v>#DIV/0!</v>
      </c>
      <c r="AX161" s="20" t="e">
        <f t="shared" si="57"/>
        <v>#DIV/0!</v>
      </c>
      <c r="AY161" s="20" t="e">
        <f t="shared" si="57"/>
        <v>#DIV/0!</v>
      </c>
      <c r="AZ161" s="20" t="e">
        <f t="shared" si="57"/>
        <v>#DIV/0!</v>
      </c>
      <c r="BA161" s="20" t="e">
        <f t="shared" si="57"/>
        <v>#DIV/0!</v>
      </c>
      <c r="BB161" s="23" t="e">
        <f t="shared" si="51"/>
        <v>#DIV/0!</v>
      </c>
    </row>
  </sheetData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63"/>
  <sheetViews>
    <sheetView zoomScaleNormal="100" workbookViewId="0">
      <pane xSplit="6" ySplit="15" topLeftCell="AW16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s="5" customFormat="1" x14ac:dyDescent="0.25">
      <c r="A2" s="14" t="s">
        <v>34</v>
      </c>
      <c r="B2" s="6" t="s">
        <v>5</v>
      </c>
      <c r="C2" s="6" t="s">
        <v>6</v>
      </c>
      <c r="D2" s="47">
        <v>27</v>
      </c>
      <c r="E2" s="47">
        <v>32</v>
      </c>
      <c r="F2" s="47">
        <v>38</v>
      </c>
      <c r="G2" s="47">
        <v>37</v>
      </c>
      <c r="H2" s="47">
        <v>46</v>
      </c>
      <c r="I2" s="47">
        <v>44</v>
      </c>
      <c r="J2" s="47">
        <v>35</v>
      </c>
      <c r="K2" s="47">
        <v>34</v>
      </c>
      <c r="L2" s="47">
        <v>32</v>
      </c>
      <c r="M2" s="47">
        <v>31</v>
      </c>
      <c r="N2" s="47">
        <v>31</v>
      </c>
      <c r="O2" s="47">
        <v>34</v>
      </c>
      <c r="P2" s="47">
        <v>42</v>
      </c>
      <c r="Q2" s="47">
        <v>51</v>
      </c>
      <c r="R2" s="47">
        <v>50</v>
      </c>
      <c r="S2" s="47">
        <v>250</v>
      </c>
      <c r="T2" s="47">
        <v>250</v>
      </c>
      <c r="U2" s="47">
        <v>408</v>
      </c>
      <c r="V2" s="47">
        <v>485</v>
      </c>
      <c r="W2" s="47">
        <v>475</v>
      </c>
      <c r="X2" s="47">
        <v>418</v>
      </c>
      <c r="Y2" s="47">
        <v>416</v>
      </c>
      <c r="Z2" s="47">
        <v>437</v>
      </c>
      <c r="AA2" s="47">
        <v>467</v>
      </c>
      <c r="AB2" s="47">
        <v>525</v>
      </c>
      <c r="AC2" s="47">
        <v>525</v>
      </c>
      <c r="AD2" s="47">
        <v>570</v>
      </c>
      <c r="AE2" s="47">
        <v>561</v>
      </c>
      <c r="AF2" s="47">
        <v>815</v>
      </c>
      <c r="AG2" s="47">
        <v>838</v>
      </c>
      <c r="AH2" s="47">
        <v>671</v>
      </c>
      <c r="AI2" s="47">
        <v>672</v>
      </c>
      <c r="AJ2" s="47">
        <v>748</v>
      </c>
      <c r="AK2" s="47">
        <v>882</v>
      </c>
      <c r="AL2" s="47">
        <v>1144</v>
      </c>
      <c r="AM2" s="47">
        <v>1177</v>
      </c>
      <c r="AN2" s="47">
        <v>1537</v>
      </c>
      <c r="AO2" s="47">
        <v>1650</v>
      </c>
      <c r="AP2" s="47">
        <v>1612</v>
      </c>
      <c r="AQ2" s="47">
        <v>1750</v>
      </c>
      <c r="AR2" s="47">
        <v>2005</v>
      </c>
      <c r="AS2" s="47">
        <v>2112</v>
      </c>
      <c r="AT2" s="47">
        <v>2313</v>
      </c>
      <c r="AU2" s="47">
        <v>2800</v>
      </c>
      <c r="AV2" s="47">
        <v>3757</v>
      </c>
      <c r="AW2" s="47">
        <v>3818</v>
      </c>
      <c r="AX2" s="47">
        <v>4251</v>
      </c>
      <c r="AY2" s="47">
        <v>4600</v>
      </c>
      <c r="AZ2" s="47">
        <v>4432</v>
      </c>
      <c r="BA2" s="47">
        <v>5280</v>
      </c>
      <c r="BB2" s="47">
        <f>4835716/1000</f>
        <v>4835.7160000000003</v>
      </c>
      <c r="BC2" s="43">
        <f>4803196/1000</f>
        <v>4803.1959999999999</v>
      </c>
      <c r="BD2" s="43">
        <f>5190895/1000</f>
        <v>5190.8950000000004</v>
      </c>
    </row>
    <row r="3" spans="1:56" x14ac:dyDescent="0.25">
      <c r="A3" s="12"/>
      <c r="B3" s="2"/>
      <c r="C3" s="2" t="s">
        <v>7</v>
      </c>
      <c r="D3" s="44">
        <v>0</v>
      </c>
      <c r="E3" s="44">
        <v>0</v>
      </c>
      <c r="F3" s="44">
        <v>57</v>
      </c>
      <c r="G3" s="44">
        <v>62</v>
      </c>
      <c r="H3" s="44">
        <v>47</v>
      </c>
      <c r="I3" s="44">
        <v>30</v>
      </c>
      <c r="J3" s="44">
        <v>40</v>
      </c>
      <c r="K3" s="44">
        <v>0</v>
      </c>
      <c r="L3" s="44">
        <v>43</v>
      </c>
      <c r="M3" s="44">
        <v>131</v>
      </c>
      <c r="N3" s="44">
        <v>80</v>
      </c>
      <c r="O3" s="44">
        <v>90</v>
      </c>
      <c r="P3" s="44">
        <v>80</v>
      </c>
      <c r="Q3" s="44">
        <v>45</v>
      </c>
      <c r="R3" s="44">
        <v>50</v>
      </c>
      <c r="S3" s="44">
        <v>60</v>
      </c>
      <c r="T3" s="44">
        <v>60</v>
      </c>
      <c r="U3" s="44">
        <v>96</v>
      </c>
      <c r="V3" s="44">
        <v>105</v>
      </c>
      <c r="W3" s="44">
        <v>110</v>
      </c>
      <c r="X3" s="44">
        <v>110</v>
      </c>
      <c r="Y3" s="44">
        <v>110</v>
      </c>
      <c r="Z3" s="44">
        <v>110</v>
      </c>
      <c r="AA3" s="44">
        <v>0</v>
      </c>
      <c r="AB3" s="44">
        <v>0</v>
      </c>
      <c r="AC3" s="44">
        <v>0</v>
      </c>
      <c r="AD3" s="44">
        <v>0</v>
      </c>
      <c r="AE3" s="44">
        <v>0</v>
      </c>
      <c r="AF3" s="44">
        <v>0</v>
      </c>
      <c r="AG3" s="44">
        <v>0</v>
      </c>
      <c r="AH3" s="44">
        <v>0</v>
      </c>
      <c r="AI3" s="44">
        <v>0</v>
      </c>
      <c r="AJ3" s="44">
        <v>40</v>
      </c>
      <c r="AK3" s="44">
        <v>13</v>
      </c>
      <c r="AL3" s="44">
        <v>25</v>
      </c>
      <c r="AM3" s="44">
        <v>32</v>
      </c>
      <c r="AN3" s="44">
        <v>17</v>
      </c>
      <c r="AO3" s="44">
        <v>77</v>
      </c>
      <c r="AP3" s="44">
        <v>107</v>
      </c>
      <c r="AQ3" s="44">
        <v>200</v>
      </c>
      <c r="AR3" s="44">
        <v>50</v>
      </c>
      <c r="AS3" s="44">
        <v>122</v>
      </c>
      <c r="AT3" s="44">
        <v>311</v>
      </c>
      <c r="AU3" s="44">
        <v>204</v>
      </c>
      <c r="AV3" s="44">
        <v>206</v>
      </c>
      <c r="AW3" s="44">
        <v>475</v>
      </c>
      <c r="AX3" s="44">
        <v>650</v>
      </c>
      <c r="AY3" s="44">
        <v>500</v>
      </c>
      <c r="AZ3" s="44">
        <v>1100</v>
      </c>
      <c r="BA3" s="44">
        <v>1500</v>
      </c>
      <c r="BB3" s="44">
        <f>877847/1000</f>
        <v>877.84699999999998</v>
      </c>
      <c r="BC3" s="42"/>
      <c r="BD3" s="42"/>
    </row>
    <row r="4" spans="1:56" s="5" customFormat="1" x14ac:dyDescent="0.25">
      <c r="A4" s="14"/>
      <c r="B4" s="6"/>
      <c r="C4" s="6" t="s">
        <v>8</v>
      </c>
      <c r="D4" s="47">
        <v>18</v>
      </c>
      <c r="E4" s="47">
        <v>2</v>
      </c>
      <c r="F4" s="47">
        <v>0</v>
      </c>
      <c r="G4" s="47">
        <v>0</v>
      </c>
      <c r="H4" s="47">
        <v>0</v>
      </c>
      <c r="I4" s="47">
        <v>0</v>
      </c>
      <c r="J4" s="47">
        <v>0</v>
      </c>
      <c r="K4" s="47">
        <v>0</v>
      </c>
      <c r="L4" s="47">
        <v>0</v>
      </c>
      <c r="M4" s="47">
        <v>0</v>
      </c>
      <c r="N4" s="47">
        <v>0</v>
      </c>
      <c r="O4" s="47">
        <v>0</v>
      </c>
      <c r="P4" s="47">
        <v>0</v>
      </c>
      <c r="Q4" s="47">
        <v>0</v>
      </c>
      <c r="R4" s="47">
        <v>0</v>
      </c>
      <c r="S4" s="47">
        <v>0</v>
      </c>
      <c r="T4" s="47">
        <v>0</v>
      </c>
      <c r="U4" s="47">
        <v>0</v>
      </c>
      <c r="V4" s="47">
        <v>0</v>
      </c>
      <c r="W4" s="47">
        <v>0</v>
      </c>
      <c r="X4" s="47">
        <v>0</v>
      </c>
      <c r="Y4" s="47">
        <v>0</v>
      </c>
      <c r="Z4" s="47">
        <v>5</v>
      </c>
      <c r="AA4" s="47">
        <v>50</v>
      </c>
      <c r="AB4" s="47">
        <v>25</v>
      </c>
      <c r="AC4" s="47">
        <v>45</v>
      </c>
      <c r="AD4" s="47">
        <v>8</v>
      </c>
      <c r="AE4" s="47">
        <v>27</v>
      </c>
      <c r="AF4" s="47">
        <v>92</v>
      </c>
      <c r="AG4" s="47">
        <v>49</v>
      </c>
      <c r="AH4" s="47">
        <v>25</v>
      </c>
      <c r="AI4" s="47">
        <v>54</v>
      </c>
      <c r="AJ4" s="47">
        <v>52</v>
      </c>
      <c r="AK4" s="47">
        <v>94</v>
      </c>
      <c r="AL4" s="47">
        <v>30</v>
      </c>
      <c r="AM4" s="47">
        <v>66</v>
      </c>
      <c r="AN4" s="47">
        <v>19</v>
      </c>
      <c r="AO4" s="47">
        <v>4</v>
      </c>
      <c r="AP4" s="47">
        <v>0</v>
      </c>
      <c r="AQ4" s="47">
        <v>0</v>
      </c>
      <c r="AR4" s="47">
        <v>98</v>
      </c>
      <c r="AS4" s="47">
        <v>17</v>
      </c>
      <c r="AT4" s="47">
        <v>1</v>
      </c>
      <c r="AU4" s="47">
        <v>43</v>
      </c>
      <c r="AV4" s="47">
        <v>41</v>
      </c>
      <c r="AW4" s="47">
        <v>1</v>
      </c>
      <c r="AX4" s="47">
        <v>1</v>
      </c>
      <c r="AY4" s="47">
        <v>1</v>
      </c>
      <c r="AZ4" s="47">
        <v>10</v>
      </c>
      <c r="BA4" s="47">
        <v>0</v>
      </c>
      <c r="BB4" s="47">
        <f>762/1000</f>
        <v>0.76200000000000001</v>
      </c>
      <c r="BC4" s="43"/>
      <c r="BD4" s="43"/>
    </row>
    <row r="5" spans="1:56" x14ac:dyDescent="0.25">
      <c r="A5" s="12"/>
      <c r="B5" s="2"/>
      <c r="C5" s="2" t="s">
        <v>9</v>
      </c>
      <c r="D5" s="44">
        <v>9</v>
      </c>
      <c r="E5" s="44">
        <v>30</v>
      </c>
      <c r="F5" s="44">
        <v>95</v>
      </c>
      <c r="G5" s="44">
        <v>99</v>
      </c>
      <c r="H5" s="44">
        <v>93</v>
      </c>
      <c r="I5" s="44">
        <v>74</v>
      </c>
      <c r="J5" s="44">
        <v>75</v>
      </c>
      <c r="K5" s="44">
        <v>34</v>
      </c>
      <c r="L5" s="44">
        <v>75</v>
      </c>
      <c r="M5" s="44">
        <v>162</v>
      </c>
      <c r="N5" s="44">
        <v>111</v>
      </c>
      <c r="O5" s="44">
        <v>124</v>
      </c>
      <c r="P5" s="44">
        <v>122</v>
      </c>
      <c r="Q5" s="44">
        <v>96</v>
      </c>
      <c r="R5" s="44">
        <v>100</v>
      </c>
      <c r="S5" s="44">
        <v>310</v>
      </c>
      <c r="T5" s="44">
        <v>310</v>
      </c>
      <c r="U5" s="44">
        <v>504</v>
      </c>
      <c r="V5" s="44">
        <v>590</v>
      </c>
      <c r="W5" s="44">
        <v>585</v>
      </c>
      <c r="X5" s="44">
        <v>528</v>
      </c>
      <c r="Y5" s="44">
        <v>526</v>
      </c>
      <c r="Z5" s="44">
        <v>542</v>
      </c>
      <c r="AA5" s="44">
        <v>417</v>
      </c>
      <c r="AB5" s="44">
        <v>500</v>
      </c>
      <c r="AC5" s="44">
        <v>480</v>
      </c>
      <c r="AD5" s="44">
        <v>562</v>
      </c>
      <c r="AE5" s="44">
        <v>534</v>
      </c>
      <c r="AF5" s="44">
        <v>723</v>
      </c>
      <c r="AG5" s="44">
        <v>789</v>
      </c>
      <c r="AH5" s="44">
        <v>646</v>
      </c>
      <c r="AI5" s="44">
        <v>618</v>
      </c>
      <c r="AJ5" s="44">
        <v>736</v>
      </c>
      <c r="AK5" s="44">
        <v>801</v>
      </c>
      <c r="AL5" s="44">
        <v>1139</v>
      </c>
      <c r="AM5" s="44">
        <v>1143</v>
      </c>
      <c r="AN5" s="44">
        <v>1535</v>
      </c>
      <c r="AO5" s="44">
        <v>1723</v>
      </c>
      <c r="AP5" s="44">
        <v>1719</v>
      </c>
      <c r="AQ5" s="44">
        <v>1950</v>
      </c>
      <c r="AR5" s="44">
        <v>1957</v>
      </c>
      <c r="AS5" s="44">
        <v>2217</v>
      </c>
      <c r="AT5" s="44">
        <v>2600</v>
      </c>
      <c r="AU5" s="44">
        <v>2650</v>
      </c>
      <c r="AV5" s="44">
        <v>3900</v>
      </c>
      <c r="AW5" s="44">
        <v>4250</v>
      </c>
      <c r="AX5" s="44">
        <v>4900</v>
      </c>
      <c r="AY5" s="44">
        <v>5200</v>
      </c>
      <c r="AZ5" s="44">
        <v>5400</v>
      </c>
      <c r="BA5" s="44">
        <v>6300</v>
      </c>
      <c r="BB5" s="44">
        <f>BB2+BB3-BB4</f>
        <v>5712.8010000000004</v>
      </c>
      <c r="BC5" s="42"/>
      <c r="BD5" s="42"/>
    </row>
    <row r="6" spans="1:56" s="5" customFormat="1" x14ac:dyDescent="0.25">
      <c r="A6" s="14"/>
      <c r="B6" s="6" t="s">
        <v>10</v>
      </c>
      <c r="C6" s="6" t="s">
        <v>6</v>
      </c>
      <c r="D6" s="47">
        <v>9</v>
      </c>
      <c r="E6" s="47">
        <v>10</v>
      </c>
      <c r="F6" s="47">
        <v>9</v>
      </c>
      <c r="G6" s="47">
        <v>9</v>
      </c>
      <c r="H6" s="47">
        <v>8</v>
      </c>
      <c r="I6" s="47">
        <v>8</v>
      </c>
      <c r="J6" s="47">
        <v>6</v>
      </c>
      <c r="K6" s="47">
        <v>8</v>
      </c>
      <c r="L6" s="47">
        <v>8</v>
      </c>
      <c r="M6" s="47">
        <v>8</v>
      </c>
      <c r="N6" s="47">
        <v>5</v>
      </c>
      <c r="O6" s="47">
        <v>3</v>
      </c>
      <c r="P6" s="47">
        <v>8</v>
      </c>
      <c r="Q6" s="47">
        <v>8</v>
      </c>
      <c r="R6" s="47">
        <v>8</v>
      </c>
      <c r="S6" s="47">
        <v>3</v>
      </c>
      <c r="T6" s="47">
        <v>3</v>
      </c>
      <c r="U6" s="47">
        <v>4</v>
      </c>
      <c r="V6" s="47">
        <v>5</v>
      </c>
      <c r="W6" s="47">
        <v>3</v>
      </c>
      <c r="X6" s="47">
        <v>3</v>
      </c>
      <c r="Y6" s="47">
        <v>3</v>
      </c>
      <c r="Z6" s="47">
        <v>5</v>
      </c>
      <c r="AA6" s="47">
        <v>6</v>
      </c>
      <c r="AB6" s="47">
        <v>7</v>
      </c>
      <c r="AC6" s="47">
        <v>7</v>
      </c>
      <c r="AD6" s="47">
        <v>7</v>
      </c>
      <c r="AE6" s="47">
        <v>6</v>
      </c>
      <c r="AF6" s="47">
        <v>6</v>
      </c>
      <c r="AG6" s="47">
        <v>5</v>
      </c>
      <c r="AH6" s="47">
        <v>4</v>
      </c>
      <c r="AI6" s="47">
        <v>13</v>
      </c>
      <c r="AJ6" s="47">
        <v>19</v>
      </c>
      <c r="AK6" s="47">
        <v>8</v>
      </c>
      <c r="AL6" s="47">
        <v>13</v>
      </c>
      <c r="AM6" s="47">
        <v>20</v>
      </c>
      <c r="AN6" s="47">
        <v>17</v>
      </c>
      <c r="AO6" s="47">
        <v>21</v>
      </c>
      <c r="AP6" s="47">
        <v>31</v>
      </c>
      <c r="AQ6" s="47">
        <v>35</v>
      </c>
      <c r="AR6" s="47">
        <v>43</v>
      </c>
      <c r="AS6" s="47">
        <v>48</v>
      </c>
      <c r="AT6" s="47">
        <v>52</v>
      </c>
      <c r="AU6" s="47">
        <v>57</v>
      </c>
      <c r="AV6" s="47">
        <v>47</v>
      </c>
      <c r="AW6" s="47">
        <v>48</v>
      </c>
      <c r="AX6" s="47">
        <v>49</v>
      </c>
      <c r="AY6" s="47">
        <v>26</v>
      </c>
      <c r="AZ6" s="47">
        <v>12</v>
      </c>
      <c r="BA6" s="47">
        <v>17</v>
      </c>
      <c r="BB6" s="47">
        <f>4260/1000</f>
        <v>4.26</v>
      </c>
      <c r="BC6" s="43">
        <f>2940/1000</f>
        <v>2.94</v>
      </c>
      <c r="BD6" s="43">
        <f>1083/1000</f>
        <v>1.083</v>
      </c>
    </row>
    <row r="7" spans="1:56" x14ac:dyDescent="0.25">
      <c r="A7" s="12"/>
      <c r="B7" s="2"/>
      <c r="C7" s="2" t="s">
        <v>7</v>
      </c>
      <c r="D7" s="44">
        <v>30</v>
      </c>
      <c r="E7" s="44">
        <v>30</v>
      </c>
      <c r="F7" s="44">
        <v>35</v>
      </c>
      <c r="G7" s="44">
        <v>75</v>
      </c>
      <c r="H7" s="44">
        <v>60</v>
      </c>
      <c r="I7" s="44">
        <v>65</v>
      </c>
      <c r="J7" s="44">
        <v>105</v>
      </c>
      <c r="K7" s="44">
        <v>40</v>
      </c>
      <c r="L7" s="44">
        <v>95</v>
      </c>
      <c r="M7" s="44">
        <v>125</v>
      </c>
      <c r="N7" s="44">
        <v>150</v>
      </c>
      <c r="O7" s="44">
        <v>150</v>
      </c>
      <c r="P7" s="44">
        <v>145</v>
      </c>
      <c r="Q7" s="44">
        <v>120</v>
      </c>
      <c r="R7" s="44">
        <v>75</v>
      </c>
      <c r="S7" s="44">
        <v>95</v>
      </c>
      <c r="T7" s="44">
        <v>110</v>
      </c>
      <c r="U7" s="44">
        <v>125</v>
      </c>
      <c r="V7" s="44">
        <v>170</v>
      </c>
      <c r="W7" s="44">
        <v>170</v>
      </c>
      <c r="X7" s="44">
        <v>140</v>
      </c>
      <c r="Y7" s="44">
        <v>180</v>
      </c>
      <c r="Z7" s="44">
        <v>192</v>
      </c>
      <c r="AA7" s="44">
        <v>194</v>
      </c>
      <c r="AB7" s="44">
        <v>207</v>
      </c>
      <c r="AC7" s="44">
        <v>239</v>
      </c>
      <c r="AD7" s="44">
        <v>276</v>
      </c>
      <c r="AE7" s="44">
        <v>294</v>
      </c>
      <c r="AF7" s="44">
        <v>261</v>
      </c>
      <c r="AG7" s="44">
        <v>257</v>
      </c>
      <c r="AH7" s="44">
        <v>202</v>
      </c>
      <c r="AI7" s="44">
        <v>83</v>
      </c>
      <c r="AJ7" s="44">
        <v>46</v>
      </c>
      <c r="AK7" s="44">
        <v>110</v>
      </c>
      <c r="AL7" s="44">
        <v>165</v>
      </c>
      <c r="AM7" s="44">
        <v>161</v>
      </c>
      <c r="AN7" s="44">
        <v>165</v>
      </c>
      <c r="AO7" s="44">
        <v>170</v>
      </c>
      <c r="AP7" s="44">
        <v>270</v>
      </c>
      <c r="AQ7" s="44">
        <v>330</v>
      </c>
      <c r="AR7" s="44">
        <v>400</v>
      </c>
      <c r="AS7" s="44">
        <v>435</v>
      </c>
      <c r="AT7" s="44">
        <v>400</v>
      </c>
      <c r="AU7" s="44">
        <v>540</v>
      </c>
      <c r="AV7" s="44">
        <v>690</v>
      </c>
      <c r="AW7" s="44">
        <v>694</v>
      </c>
      <c r="AX7" s="44">
        <v>978</v>
      </c>
      <c r="AY7" s="44">
        <v>1208</v>
      </c>
      <c r="AZ7" s="44">
        <v>1251</v>
      </c>
      <c r="BA7" s="44">
        <v>1690</v>
      </c>
      <c r="BB7" s="44">
        <f>327000/1000</f>
        <v>327</v>
      </c>
      <c r="BC7" s="42"/>
      <c r="BD7" s="42"/>
    </row>
    <row r="8" spans="1:56" s="5" customFormat="1" x14ac:dyDescent="0.25">
      <c r="A8" s="14"/>
      <c r="B8" s="6"/>
      <c r="C8" s="6" t="s">
        <v>8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v>0</v>
      </c>
      <c r="O8" s="47">
        <v>0</v>
      </c>
      <c r="P8" s="47">
        <v>0</v>
      </c>
      <c r="Q8" s="47">
        <v>0</v>
      </c>
      <c r="R8" s="47">
        <v>0</v>
      </c>
      <c r="S8" s="47">
        <v>0</v>
      </c>
      <c r="T8" s="47">
        <v>0</v>
      </c>
      <c r="U8" s="47">
        <v>0</v>
      </c>
      <c r="V8" s="47">
        <v>0</v>
      </c>
      <c r="W8" s="47">
        <v>0</v>
      </c>
      <c r="X8" s="47">
        <v>0</v>
      </c>
      <c r="Y8" s="47">
        <v>0</v>
      </c>
      <c r="Z8" s="47">
        <v>0</v>
      </c>
      <c r="AA8" s="47">
        <v>0</v>
      </c>
      <c r="AB8" s="47">
        <v>0</v>
      </c>
      <c r="AC8" s="47">
        <v>5</v>
      </c>
      <c r="AD8" s="47">
        <v>15</v>
      </c>
      <c r="AE8" s="47">
        <v>20</v>
      </c>
      <c r="AF8" s="47">
        <v>20</v>
      </c>
      <c r="AG8" s="47">
        <v>0</v>
      </c>
      <c r="AH8" s="47">
        <v>0</v>
      </c>
      <c r="AI8" s="47">
        <v>0</v>
      </c>
      <c r="AJ8" s="47">
        <v>0</v>
      </c>
      <c r="AK8" s="47">
        <v>0</v>
      </c>
      <c r="AL8" s="47">
        <v>0</v>
      </c>
      <c r="AM8" s="47">
        <v>0</v>
      </c>
      <c r="AN8" s="47">
        <v>0</v>
      </c>
      <c r="AO8" s="47">
        <v>0</v>
      </c>
      <c r="AP8" s="47">
        <v>0</v>
      </c>
      <c r="AQ8" s="47">
        <v>0</v>
      </c>
      <c r="AR8" s="47">
        <v>0</v>
      </c>
      <c r="AS8" s="47">
        <v>0</v>
      </c>
      <c r="AT8" s="47">
        <v>0</v>
      </c>
      <c r="AU8" s="47">
        <v>0</v>
      </c>
      <c r="AV8" s="47">
        <v>0</v>
      </c>
      <c r="AW8" s="47">
        <v>0</v>
      </c>
      <c r="AX8" s="47">
        <v>0</v>
      </c>
      <c r="AY8" s="47">
        <v>0</v>
      </c>
      <c r="AZ8" s="47">
        <v>0</v>
      </c>
      <c r="BA8" s="47">
        <v>0</v>
      </c>
      <c r="BB8" s="47">
        <f>1756/1000</f>
        <v>1.756</v>
      </c>
      <c r="BC8" s="43"/>
      <c r="BD8" s="43"/>
    </row>
    <row r="9" spans="1:56" x14ac:dyDescent="0.25">
      <c r="A9" s="12"/>
      <c r="B9" s="2"/>
      <c r="C9" s="2" t="s">
        <v>9</v>
      </c>
      <c r="D9" s="44">
        <v>33</v>
      </c>
      <c r="E9" s="44">
        <v>41</v>
      </c>
      <c r="F9" s="44">
        <v>43</v>
      </c>
      <c r="G9" s="44">
        <v>73</v>
      </c>
      <c r="H9" s="44">
        <v>70</v>
      </c>
      <c r="I9" s="44">
        <v>85</v>
      </c>
      <c r="J9" s="44">
        <v>80</v>
      </c>
      <c r="K9" s="44">
        <v>65</v>
      </c>
      <c r="L9" s="44">
        <v>103</v>
      </c>
      <c r="M9" s="44">
        <v>115</v>
      </c>
      <c r="N9" s="44">
        <v>147</v>
      </c>
      <c r="O9" s="44">
        <v>145</v>
      </c>
      <c r="P9" s="44">
        <v>150</v>
      </c>
      <c r="Q9" s="44">
        <v>155</v>
      </c>
      <c r="R9" s="44">
        <v>100</v>
      </c>
      <c r="S9" s="44">
        <v>100</v>
      </c>
      <c r="T9" s="44">
        <v>105</v>
      </c>
      <c r="U9" s="44">
        <v>115</v>
      </c>
      <c r="V9" s="44">
        <v>145</v>
      </c>
      <c r="W9" s="44">
        <v>165</v>
      </c>
      <c r="X9" s="44">
        <v>165</v>
      </c>
      <c r="Y9" s="44">
        <v>179</v>
      </c>
      <c r="Z9" s="44">
        <v>185</v>
      </c>
      <c r="AA9" s="44">
        <v>200</v>
      </c>
      <c r="AB9" s="44">
        <v>215</v>
      </c>
      <c r="AC9" s="44">
        <v>239</v>
      </c>
      <c r="AD9" s="44">
        <v>261</v>
      </c>
      <c r="AE9" s="44">
        <v>271</v>
      </c>
      <c r="AF9" s="44">
        <v>261</v>
      </c>
      <c r="AG9" s="44">
        <v>261</v>
      </c>
      <c r="AH9" s="44">
        <v>188</v>
      </c>
      <c r="AI9" s="44">
        <v>115</v>
      </c>
      <c r="AJ9" s="44">
        <v>83</v>
      </c>
      <c r="AK9" s="44">
        <v>119</v>
      </c>
      <c r="AL9" s="44">
        <v>161</v>
      </c>
      <c r="AM9" s="44">
        <v>170</v>
      </c>
      <c r="AN9" s="44">
        <v>184</v>
      </c>
      <c r="AO9" s="44">
        <v>207</v>
      </c>
      <c r="AP9" s="44">
        <v>301</v>
      </c>
      <c r="AQ9" s="44">
        <v>350</v>
      </c>
      <c r="AR9" s="44">
        <v>430</v>
      </c>
      <c r="AS9" s="44">
        <v>460</v>
      </c>
      <c r="AT9" s="44">
        <v>450</v>
      </c>
      <c r="AU9" s="44">
        <v>575</v>
      </c>
      <c r="AV9" s="44">
        <v>700</v>
      </c>
      <c r="AW9" s="44">
        <v>750</v>
      </c>
      <c r="AX9" s="44">
        <v>975</v>
      </c>
      <c r="AY9" s="44">
        <v>1200</v>
      </c>
      <c r="AZ9" s="44">
        <v>1250</v>
      </c>
      <c r="BA9" s="44">
        <v>1600</v>
      </c>
      <c r="BB9" s="44">
        <f>BB6+BB7-BB8</f>
        <v>329.50400000000002</v>
      </c>
      <c r="BC9" s="42"/>
      <c r="BD9" s="42"/>
    </row>
    <row r="10" spans="1:56" s="5" customFormat="1" x14ac:dyDescent="0.25">
      <c r="A10" s="14"/>
      <c r="B10" s="6" t="s">
        <v>11</v>
      </c>
      <c r="C10" s="6" t="s">
        <v>6</v>
      </c>
      <c r="D10" s="47">
        <v>0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v>0</v>
      </c>
      <c r="O10" s="47">
        <v>0</v>
      </c>
      <c r="P10" s="47">
        <v>15</v>
      </c>
      <c r="Q10" s="47">
        <v>15</v>
      </c>
      <c r="R10" s="47">
        <v>15</v>
      </c>
      <c r="S10" s="47">
        <v>22</v>
      </c>
      <c r="T10" s="47">
        <v>20</v>
      </c>
      <c r="U10" s="47">
        <v>24</v>
      </c>
      <c r="V10" s="47">
        <v>20</v>
      </c>
      <c r="W10" s="47">
        <v>32</v>
      </c>
      <c r="X10" s="47">
        <v>56</v>
      </c>
      <c r="Y10" s="47">
        <v>76</v>
      </c>
      <c r="Z10" s="47">
        <v>64</v>
      </c>
      <c r="AA10" s="47">
        <v>67</v>
      </c>
      <c r="AB10" s="47">
        <v>86</v>
      </c>
      <c r="AC10" s="47">
        <v>79</v>
      </c>
      <c r="AD10" s="47">
        <v>85</v>
      </c>
      <c r="AE10" s="47">
        <v>96</v>
      </c>
      <c r="AF10" s="47">
        <v>85</v>
      </c>
      <c r="AG10" s="47">
        <v>82</v>
      </c>
      <c r="AH10" s="47">
        <v>87</v>
      </c>
      <c r="AI10" s="47">
        <v>80</v>
      </c>
      <c r="AJ10" s="47">
        <v>80</v>
      </c>
      <c r="AK10" s="47">
        <v>106</v>
      </c>
      <c r="AL10" s="47">
        <v>125</v>
      </c>
      <c r="AM10" s="47">
        <v>126</v>
      </c>
      <c r="AN10" s="47">
        <v>114</v>
      </c>
      <c r="AO10" s="47">
        <v>113</v>
      </c>
      <c r="AP10" s="47">
        <v>147</v>
      </c>
      <c r="AQ10" s="47">
        <v>147</v>
      </c>
      <c r="AR10" s="47">
        <v>149</v>
      </c>
      <c r="AS10" s="47">
        <v>174</v>
      </c>
      <c r="AT10" s="47">
        <v>206</v>
      </c>
      <c r="AU10" s="47">
        <v>220</v>
      </c>
      <c r="AV10" s="47">
        <v>246</v>
      </c>
      <c r="AW10" s="47">
        <v>292</v>
      </c>
      <c r="AX10" s="47">
        <v>258</v>
      </c>
      <c r="AY10" s="47">
        <v>276</v>
      </c>
      <c r="AZ10" s="47">
        <v>269</v>
      </c>
      <c r="BA10" s="47">
        <v>300</v>
      </c>
      <c r="BB10" s="47">
        <f>266538/1000</f>
        <v>266.53800000000001</v>
      </c>
      <c r="BC10" s="43">
        <f>175295/1000</f>
        <v>175.29499999999999</v>
      </c>
      <c r="BD10" s="43">
        <f>168296/1000</f>
        <v>168.29599999999999</v>
      </c>
    </row>
    <row r="11" spans="1:56" x14ac:dyDescent="0.25">
      <c r="A11" s="12"/>
      <c r="B11" s="2"/>
      <c r="C11" s="2" t="s">
        <v>7</v>
      </c>
      <c r="D11" s="44">
        <v>0</v>
      </c>
      <c r="E11" s="44">
        <v>0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4">
        <v>0</v>
      </c>
      <c r="M11" s="44">
        <v>0</v>
      </c>
      <c r="N11" s="44">
        <v>0</v>
      </c>
      <c r="O11" s="44">
        <v>0</v>
      </c>
      <c r="P11" s="44">
        <v>0</v>
      </c>
      <c r="Q11" s="44">
        <v>0</v>
      </c>
      <c r="R11" s="44">
        <v>2</v>
      </c>
      <c r="S11" s="44">
        <v>2</v>
      </c>
      <c r="T11" s="44">
        <v>2</v>
      </c>
      <c r="U11" s="44">
        <v>0</v>
      </c>
      <c r="V11" s="44">
        <v>0</v>
      </c>
      <c r="W11" s="44">
        <v>0</v>
      </c>
      <c r="X11" s="44">
        <v>0</v>
      </c>
      <c r="Y11" s="44">
        <v>3</v>
      </c>
      <c r="Z11" s="44">
        <v>0</v>
      </c>
      <c r="AA11" s="44">
        <v>0</v>
      </c>
      <c r="AB11" s="44">
        <v>0</v>
      </c>
      <c r="AC11" s="44">
        <v>0</v>
      </c>
      <c r="AD11" s="44">
        <v>0</v>
      </c>
      <c r="AE11" s="44">
        <v>0</v>
      </c>
      <c r="AF11" s="44">
        <v>0</v>
      </c>
      <c r="AG11" s="44">
        <v>0</v>
      </c>
      <c r="AH11" s="44">
        <v>0</v>
      </c>
      <c r="AI11" s="44">
        <v>0</v>
      </c>
      <c r="AJ11" s="44">
        <v>0</v>
      </c>
      <c r="AK11" s="44">
        <v>0</v>
      </c>
      <c r="AL11" s="44">
        <v>24</v>
      </c>
      <c r="AM11" s="44">
        <v>30</v>
      </c>
      <c r="AN11" s="44">
        <v>30</v>
      </c>
      <c r="AO11" s="44">
        <v>30</v>
      </c>
      <c r="AP11" s="44">
        <v>50</v>
      </c>
      <c r="AQ11" s="44">
        <v>50</v>
      </c>
      <c r="AR11" s="44">
        <v>32</v>
      </c>
      <c r="AS11" s="44">
        <v>27</v>
      </c>
      <c r="AT11" s="44">
        <v>34</v>
      </c>
      <c r="AU11" s="44">
        <v>39</v>
      </c>
      <c r="AV11" s="44">
        <v>6</v>
      </c>
      <c r="AW11" s="44">
        <v>46</v>
      </c>
      <c r="AX11" s="44">
        <v>74</v>
      </c>
      <c r="AY11" s="44">
        <v>120</v>
      </c>
      <c r="AZ11" s="44">
        <v>184</v>
      </c>
      <c r="BA11" s="44">
        <v>220</v>
      </c>
      <c r="BB11" s="44">
        <f>909042/1000</f>
        <v>909.04200000000003</v>
      </c>
      <c r="BC11" s="42"/>
      <c r="BD11" s="42"/>
    </row>
    <row r="12" spans="1:56" s="5" customFormat="1" x14ac:dyDescent="0.25">
      <c r="A12" s="14"/>
      <c r="B12" s="6"/>
      <c r="C12" s="6" t="s">
        <v>8</v>
      </c>
      <c r="D12" s="47">
        <v>0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v>0</v>
      </c>
      <c r="O12" s="47">
        <v>0</v>
      </c>
      <c r="P12" s="47">
        <v>0</v>
      </c>
      <c r="Q12" s="47">
        <v>0</v>
      </c>
      <c r="R12" s="47">
        <v>0</v>
      </c>
      <c r="S12" s="47">
        <v>0</v>
      </c>
      <c r="T12" s="47">
        <v>0</v>
      </c>
      <c r="U12" s="47">
        <v>0</v>
      </c>
      <c r="V12" s="47">
        <v>0</v>
      </c>
      <c r="W12" s="47">
        <v>0</v>
      </c>
      <c r="X12" s="47">
        <v>0</v>
      </c>
      <c r="Y12" s="47">
        <v>11</v>
      </c>
      <c r="Z12" s="47">
        <v>17</v>
      </c>
      <c r="AA12" s="47">
        <v>5</v>
      </c>
      <c r="AB12" s="47">
        <v>25</v>
      </c>
      <c r="AC12" s="47">
        <v>40</v>
      </c>
      <c r="AD12" s="47">
        <v>25</v>
      </c>
      <c r="AE12" s="47">
        <v>44</v>
      </c>
      <c r="AF12" s="47">
        <v>56</v>
      </c>
      <c r="AG12" s="47">
        <v>50</v>
      </c>
      <c r="AH12" s="47">
        <v>58</v>
      </c>
      <c r="AI12" s="47">
        <v>9</v>
      </c>
      <c r="AJ12" s="47">
        <v>3</v>
      </c>
      <c r="AK12" s="47">
        <v>26</v>
      </c>
      <c r="AL12" s="47">
        <v>42</v>
      </c>
      <c r="AM12" s="47">
        <v>50</v>
      </c>
      <c r="AN12" s="47">
        <v>37</v>
      </c>
      <c r="AO12" s="47">
        <v>30</v>
      </c>
      <c r="AP12" s="47">
        <v>15</v>
      </c>
      <c r="AQ12" s="47">
        <v>1</v>
      </c>
      <c r="AR12" s="47">
        <v>2</v>
      </c>
      <c r="AS12" s="47">
        <v>4</v>
      </c>
      <c r="AT12" s="47">
        <v>5</v>
      </c>
      <c r="AU12" s="47">
        <v>0</v>
      </c>
      <c r="AV12" s="47">
        <v>0</v>
      </c>
      <c r="AW12" s="47">
        <v>0</v>
      </c>
      <c r="AX12" s="47">
        <v>0</v>
      </c>
      <c r="AY12" s="47">
        <v>0</v>
      </c>
      <c r="AZ12" s="47">
        <v>0</v>
      </c>
      <c r="BA12" s="47">
        <v>0</v>
      </c>
      <c r="BB12" s="47">
        <f>34300/1000</f>
        <v>34.299999999999997</v>
      </c>
      <c r="BC12" s="43"/>
      <c r="BD12" s="43"/>
    </row>
    <row r="13" spans="1:56" x14ac:dyDescent="0.25">
      <c r="A13" s="12"/>
      <c r="B13" s="2"/>
      <c r="C13" s="2" t="s">
        <v>9</v>
      </c>
      <c r="D13" s="44">
        <v>0</v>
      </c>
      <c r="E13" s="44">
        <v>0</v>
      </c>
      <c r="F13" s="44">
        <v>0</v>
      </c>
      <c r="G13" s="44">
        <v>0</v>
      </c>
      <c r="H13" s="44">
        <v>0</v>
      </c>
      <c r="I13" s="44">
        <v>0</v>
      </c>
      <c r="J13" s="44">
        <v>0</v>
      </c>
      <c r="K13" s="44">
        <v>0</v>
      </c>
      <c r="L13" s="44">
        <v>0</v>
      </c>
      <c r="M13" s="44">
        <v>0</v>
      </c>
      <c r="N13" s="44">
        <v>0</v>
      </c>
      <c r="O13" s="44">
        <v>0</v>
      </c>
      <c r="P13" s="44">
        <v>15</v>
      </c>
      <c r="Q13" s="44">
        <v>15</v>
      </c>
      <c r="R13" s="44">
        <v>17</v>
      </c>
      <c r="S13" s="44">
        <v>24</v>
      </c>
      <c r="T13" s="44">
        <v>22</v>
      </c>
      <c r="U13" s="44">
        <v>24</v>
      </c>
      <c r="V13" s="44">
        <v>20</v>
      </c>
      <c r="W13" s="44">
        <v>32</v>
      </c>
      <c r="X13" s="44">
        <v>56</v>
      </c>
      <c r="Y13" s="44">
        <v>68</v>
      </c>
      <c r="Z13" s="44">
        <v>47</v>
      </c>
      <c r="AA13" s="44">
        <v>62</v>
      </c>
      <c r="AB13" s="44">
        <v>61</v>
      </c>
      <c r="AC13" s="44">
        <v>39</v>
      </c>
      <c r="AD13" s="44">
        <v>60</v>
      </c>
      <c r="AE13" s="44">
        <v>52</v>
      </c>
      <c r="AF13" s="44">
        <v>29</v>
      </c>
      <c r="AG13" s="44">
        <v>32</v>
      </c>
      <c r="AH13" s="44">
        <v>29</v>
      </c>
      <c r="AI13" s="44">
        <v>71</v>
      </c>
      <c r="AJ13" s="44">
        <v>77</v>
      </c>
      <c r="AK13" s="44">
        <v>80</v>
      </c>
      <c r="AL13" s="44">
        <v>107</v>
      </c>
      <c r="AM13" s="44">
        <v>106</v>
      </c>
      <c r="AN13" s="44">
        <v>107</v>
      </c>
      <c r="AO13" s="44">
        <v>113</v>
      </c>
      <c r="AP13" s="44">
        <v>182</v>
      </c>
      <c r="AQ13" s="44">
        <v>196</v>
      </c>
      <c r="AR13" s="44">
        <v>179</v>
      </c>
      <c r="AS13" s="44">
        <v>197</v>
      </c>
      <c r="AT13" s="44">
        <v>235</v>
      </c>
      <c r="AU13" s="44">
        <v>259</v>
      </c>
      <c r="AV13" s="44">
        <v>252</v>
      </c>
      <c r="AW13" s="44">
        <v>318</v>
      </c>
      <c r="AX13" s="44">
        <v>329</v>
      </c>
      <c r="AY13" s="44">
        <v>414</v>
      </c>
      <c r="AZ13" s="44">
        <v>445</v>
      </c>
      <c r="BA13" s="44">
        <v>505</v>
      </c>
      <c r="BB13" s="44">
        <f>BB10+BB11-BB12</f>
        <v>1141.28</v>
      </c>
      <c r="BC13" s="42"/>
      <c r="BD13" s="42"/>
    </row>
    <row r="14" spans="1:56" s="5" customFormat="1" x14ac:dyDescent="0.25">
      <c r="A14" s="14"/>
      <c r="B14" s="6" t="s">
        <v>12</v>
      </c>
      <c r="C14" s="6" t="s">
        <v>6</v>
      </c>
      <c r="D14" s="47">
        <v>5959</v>
      </c>
      <c r="E14" s="47">
        <v>6018</v>
      </c>
      <c r="F14" s="47">
        <v>6335</v>
      </c>
      <c r="G14" s="47">
        <v>6255</v>
      </c>
      <c r="H14" s="47">
        <v>6303</v>
      </c>
      <c r="I14" s="47">
        <v>6066</v>
      </c>
      <c r="J14" s="47">
        <v>5483</v>
      </c>
      <c r="K14" s="47">
        <v>5647</v>
      </c>
      <c r="L14" s="47">
        <v>5308</v>
      </c>
      <c r="M14" s="47">
        <v>5925</v>
      </c>
      <c r="N14" s="47">
        <v>6445</v>
      </c>
      <c r="O14" s="47">
        <v>6646</v>
      </c>
      <c r="P14" s="47">
        <v>6986</v>
      </c>
      <c r="Q14" s="47">
        <v>7231</v>
      </c>
      <c r="R14" s="47">
        <v>7165</v>
      </c>
      <c r="S14" s="47">
        <v>6850</v>
      </c>
      <c r="T14" s="47">
        <v>7849</v>
      </c>
      <c r="U14" s="47">
        <v>7075</v>
      </c>
      <c r="V14" s="47">
        <v>6526</v>
      </c>
      <c r="W14" s="47">
        <v>6993</v>
      </c>
      <c r="X14" s="47">
        <v>7697</v>
      </c>
      <c r="Y14" s="47">
        <v>8605</v>
      </c>
      <c r="Z14" s="47">
        <v>9901</v>
      </c>
      <c r="AA14" s="47">
        <v>10145</v>
      </c>
      <c r="AB14" s="47">
        <v>10633</v>
      </c>
      <c r="AC14" s="47">
        <v>10371</v>
      </c>
      <c r="AD14" s="47">
        <v>9688</v>
      </c>
      <c r="AE14" s="47">
        <v>11502</v>
      </c>
      <c r="AF14" s="47">
        <v>12044</v>
      </c>
      <c r="AG14" s="47">
        <v>12771</v>
      </c>
      <c r="AH14" s="47">
        <v>12393</v>
      </c>
      <c r="AI14" s="47">
        <v>14638</v>
      </c>
      <c r="AJ14" s="47">
        <v>14641</v>
      </c>
      <c r="AK14" s="47">
        <v>16049</v>
      </c>
      <c r="AL14" s="47">
        <v>16246</v>
      </c>
      <c r="AM14" s="47">
        <v>17683</v>
      </c>
      <c r="AN14" s="47">
        <v>18003</v>
      </c>
      <c r="AO14" s="47">
        <v>19094</v>
      </c>
      <c r="AP14" s="47">
        <v>20108</v>
      </c>
      <c r="AQ14" s="47">
        <v>20926</v>
      </c>
      <c r="AR14" s="47">
        <v>20473</v>
      </c>
      <c r="AS14" s="47">
        <v>21036</v>
      </c>
      <c r="AT14" s="47">
        <v>21527</v>
      </c>
      <c r="AU14" s="47">
        <v>22082</v>
      </c>
      <c r="AV14" s="47">
        <v>22716</v>
      </c>
      <c r="AW14" s="47">
        <v>22772</v>
      </c>
      <c r="AX14" s="47">
        <v>22922</v>
      </c>
      <c r="AY14" s="47">
        <v>24375</v>
      </c>
      <c r="AZ14" s="47">
        <v>24393</v>
      </c>
      <c r="BA14" s="47">
        <v>24979</v>
      </c>
      <c r="BB14" s="47">
        <f>42398346/1000</f>
        <v>42398.345999999998</v>
      </c>
      <c r="BC14" s="43">
        <f>43661570/1000</f>
        <v>43661.57</v>
      </c>
      <c r="BD14" s="43">
        <f>44039291/1000</f>
        <v>44039.290999999997</v>
      </c>
    </row>
    <row r="15" spans="1:56" x14ac:dyDescent="0.25">
      <c r="A15" s="12"/>
      <c r="B15" s="2"/>
      <c r="C15" s="2" t="s">
        <v>7</v>
      </c>
      <c r="D15" s="44">
        <v>12</v>
      </c>
      <c r="E15" s="44">
        <v>52</v>
      </c>
      <c r="F15" s="44">
        <v>10</v>
      </c>
      <c r="G15" s="44">
        <v>20</v>
      </c>
      <c r="H15" s="44">
        <v>170</v>
      </c>
      <c r="I15" s="44">
        <v>449</v>
      </c>
      <c r="J15" s="44">
        <v>775</v>
      </c>
      <c r="K15" s="44">
        <v>703</v>
      </c>
      <c r="L15" s="44">
        <v>900</v>
      </c>
      <c r="M15" s="44">
        <v>1075</v>
      </c>
      <c r="N15" s="44">
        <v>600</v>
      </c>
      <c r="O15" s="44">
        <v>910</v>
      </c>
      <c r="P15" s="44">
        <v>760</v>
      </c>
      <c r="Q15" s="44">
        <v>865</v>
      </c>
      <c r="R15" s="44">
        <v>640</v>
      </c>
      <c r="S15" s="44">
        <v>805</v>
      </c>
      <c r="T15" s="44">
        <v>265</v>
      </c>
      <c r="U15" s="44">
        <v>71</v>
      </c>
      <c r="V15" s="44">
        <v>247</v>
      </c>
      <c r="W15" s="44">
        <v>200</v>
      </c>
      <c r="X15" s="44">
        <v>30</v>
      </c>
      <c r="Y15" s="44">
        <v>150</v>
      </c>
      <c r="Z15" s="44">
        <v>30</v>
      </c>
      <c r="AA15" s="44">
        <v>322</v>
      </c>
      <c r="AB15" s="44">
        <v>336</v>
      </c>
      <c r="AC15" s="44">
        <v>482</v>
      </c>
      <c r="AD15" s="44">
        <v>150</v>
      </c>
      <c r="AE15" s="44">
        <v>11</v>
      </c>
      <c r="AF15" s="44">
        <v>2</v>
      </c>
      <c r="AG15" s="44">
        <v>0</v>
      </c>
      <c r="AH15" s="44">
        <v>0</v>
      </c>
      <c r="AI15" s="44">
        <v>0</v>
      </c>
      <c r="AJ15" s="44">
        <v>0</v>
      </c>
      <c r="AK15" s="44">
        <v>0</v>
      </c>
      <c r="AL15" s="44">
        <v>10</v>
      </c>
      <c r="AM15" s="44">
        <v>1</v>
      </c>
      <c r="AN15" s="44">
        <v>1</v>
      </c>
      <c r="AO15" s="44">
        <v>0</v>
      </c>
      <c r="AP15" s="44">
        <v>60</v>
      </c>
      <c r="AQ15" s="44">
        <v>40</v>
      </c>
      <c r="AR15" s="44">
        <v>40</v>
      </c>
      <c r="AS15" s="44">
        <v>40</v>
      </c>
      <c r="AT15" s="44">
        <v>40</v>
      </c>
      <c r="AU15" s="44">
        <v>300</v>
      </c>
      <c r="AV15" s="44">
        <v>320</v>
      </c>
      <c r="AW15" s="44">
        <v>350</v>
      </c>
      <c r="AX15" s="44">
        <v>450</v>
      </c>
      <c r="AY15" s="44">
        <v>300</v>
      </c>
      <c r="AZ15" s="44">
        <v>500</v>
      </c>
      <c r="BA15" s="44">
        <v>400</v>
      </c>
      <c r="BB15" s="44">
        <f>2409/100</f>
        <v>24.09</v>
      </c>
      <c r="BC15" s="42"/>
      <c r="BD15" s="42"/>
    </row>
    <row r="16" spans="1:56" s="5" customFormat="1" x14ac:dyDescent="0.25">
      <c r="A16" s="14"/>
      <c r="B16" s="6"/>
      <c r="C16" s="6" t="s">
        <v>8</v>
      </c>
      <c r="D16" s="47">
        <v>182</v>
      </c>
      <c r="E16" s="47">
        <v>90</v>
      </c>
      <c r="F16" s="47">
        <v>330</v>
      </c>
      <c r="G16" s="47">
        <v>60</v>
      </c>
      <c r="H16" s="47">
        <v>6</v>
      </c>
      <c r="I16" s="47">
        <v>13</v>
      </c>
      <c r="J16" s="47">
        <v>3</v>
      </c>
      <c r="K16" s="47">
        <v>2</v>
      </c>
      <c r="L16" s="47">
        <v>20</v>
      </c>
      <c r="M16" s="47">
        <v>18</v>
      </c>
      <c r="N16" s="47">
        <v>3</v>
      </c>
      <c r="O16" s="47">
        <v>3</v>
      </c>
      <c r="P16" s="47">
        <v>0</v>
      </c>
      <c r="Q16" s="47">
        <v>0</v>
      </c>
      <c r="R16" s="47">
        <v>1</v>
      </c>
      <c r="S16" s="47">
        <v>2</v>
      </c>
      <c r="T16" s="47">
        <v>6</v>
      </c>
      <c r="U16" s="47">
        <v>5</v>
      </c>
      <c r="V16" s="47">
        <v>0</v>
      </c>
      <c r="W16" s="47">
        <v>33</v>
      </c>
      <c r="X16" s="47">
        <v>5</v>
      </c>
      <c r="Y16" s="47">
        <v>15</v>
      </c>
      <c r="Z16" s="47">
        <v>140</v>
      </c>
      <c r="AA16" s="47">
        <v>83</v>
      </c>
      <c r="AB16" s="47">
        <v>60</v>
      </c>
      <c r="AC16" s="47">
        <v>125</v>
      </c>
      <c r="AD16" s="47">
        <v>153</v>
      </c>
      <c r="AE16" s="47">
        <v>97</v>
      </c>
      <c r="AF16" s="47">
        <v>1383</v>
      </c>
      <c r="AG16" s="47">
        <v>1670</v>
      </c>
      <c r="AH16" s="47">
        <v>1048</v>
      </c>
      <c r="AI16" s="47">
        <v>1914</v>
      </c>
      <c r="AJ16" s="47">
        <v>1592</v>
      </c>
      <c r="AK16" s="47">
        <v>2264</v>
      </c>
      <c r="AL16" s="47">
        <v>2314</v>
      </c>
      <c r="AM16" s="47">
        <v>3040</v>
      </c>
      <c r="AN16" s="47">
        <v>3327</v>
      </c>
      <c r="AO16" s="47">
        <v>3776</v>
      </c>
      <c r="AP16" s="47">
        <v>4555</v>
      </c>
      <c r="AQ16" s="47">
        <v>3370</v>
      </c>
      <c r="AR16" s="47">
        <v>3528</v>
      </c>
      <c r="AS16" s="47">
        <v>3245</v>
      </c>
      <c r="AT16" s="47">
        <v>3795</v>
      </c>
      <c r="AU16" s="47">
        <v>4295</v>
      </c>
      <c r="AV16" s="47">
        <v>5174</v>
      </c>
      <c r="AW16" s="47">
        <v>4705</v>
      </c>
      <c r="AX16" s="47">
        <v>4522</v>
      </c>
      <c r="AY16" s="47">
        <v>4649</v>
      </c>
      <c r="AZ16" s="47">
        <v>5950</v>
      </c>
      <c r="BA16" s="47">
        <v>6734</v>
      </c>
      <c r="BB16" s="47">
        <f>7112000/1000</f>
        <v>7112</v>
      </c>
      <c r="BC16" s="43"/>
      <c r="BD16" s="43"/>
    </row>
    <row r="17" spans="1:56" x14ac:dyDescent="0.25">
      <c r="A17" s="12"/>
      <c r="B17" s="2"/>
      <c r="C17" s="2" t="s">
        <v>9</v>
      </c>
      <c r="D17" s="44">
        <v>5789</v>
      </c>
      <c r="E17" s="44">
        <v>5980</v>
      </c>
      <c r="F17" s="44">
        <v>6015</v>
      </c>
      <c r="G17" s="44">
        <v>6215</v>
      </c>
      <c r="H17" s="44">
        <v>6467</v>
      </c>
      <c r="I17" s="44">
        <v>6502</v>
      </c>
      <c r="J17" s="44">
        <v>6255</v>
      </c>
      <c r="K17" s="44">
        <v>6348</v>
      </c>
      <c r="L17" s="44">
        <v>6188</v>
      </c>
      <c r="M17" s="44">
        <v>6982</v>
      </c>
      <c r="N17" s="44">
        <v>7042</v>
      </c>
      <c r="O17" s="44">
        <v>7553</v>
      </c>
      <c r="P17" s="44">
        <v>7746</v>
      </c>
      <c r="Q17" s="44">
        <v>8096</v>
      </c>
      <c r="R17" s="44">
        <v>7804</v>
      </c>
      <c r="S17" s="44">
        <v>7653</v>
      </c>
      <c r="T17" s="44">
        <v>8108</v>
      </c>
      <c r="U17" s="44">
        <v>7141</v>
      </c>
      <c r="V17" s="44">
        <v>6773</v>
      </c>
      <c r="W17" s="44">
        <v>7160</v>
      </c>
      <c r="X17" s="44">
        <v>7722</v>
      </c>
      <c r="Y17" s="44">
        <v>8740</v>
      </c>
      <c r="Z17" s="44">
        <v>9791</v>
      </c>
      <c r="AA17" s="44">
        <v>10384</v>
      </c>
      <c r="AB17" s="44">
        <v>10909</v>
      </c>
      <c r="AC17" s="44">
        <v>10728</v>
      </c>
      <c r="AD17" s="44">
        <v>9685</v>
      </c>
      <c r="AE17" s="44">
        <v>11416</v>
      </c>
      <c r="AF17" s="44">
        <v>10663</v>
      </c>
      <c r="AG17" s="44">
        <v>11101</v>
      </c>
      <c r="AH17" s="44">
        <v>11345</v>
      </c>
      <c r="AI17" s="44">
        <v>12724</v>
      </c>
      <c r="AJ17" s="44">
        <v>13049</v>
      </c>
      <c r="AK17" s="44">
        <v>13785</v>
      </c>
      <c r="AL17" s="44">
        <v>13942</v>
      </c>
      <c r="AM17" s="44">
        <v>14394</v>
      </c>
      <c r="AN17" s="44">
        <v>14477</v>
      </c>
      <c r="AO17" s="44">
        <v>15000</v>
      </c>
      <c r="AP17" s="44">
        <v>15500</v>
      </c>
      <c r="AQ17" s="44">
        <v>17552</v>
      </c>
      <c r="AR17" s="44">
        <v>16932</v>
      </c>
      <c r="AS17" s="44">
        <v>17966</v>
      </c>
      <c r="AT17" s="44">
        <v>17447</v>
      </c>
      <c r="AU17" s="44">
        <v>18230</v>
      </c>
      <c r="AV17" s="44">
        <v>17595</v>
      </c>
      <c r="AW17" s="44">
        <v>18392</v>
      </c>
      <c r="AX17" s="44">
        <v>18775</v>
      </c>
      <c r="AY17" s="44">
        <v>19400</v>
      </c>
      <c r="AZ17" s="44">
        <v>19000</v>
      </c>
      <c r="BA17" s="44">
        <v>19150</v>
      </c>
      <c r="BB17" s="44">
        <f>BB14+BB15-BB16</f>
        <v>35310.435999999994</v>
      </c>
      <c r="BC17" s="42"/>
      <c r="BD17" s="42"/>
    </row>
    <row r="18" spans="1:56" s="5" customFormat="1" x14ac:dyDescent="0.25">
      <c r="A18" s="12"/>
      <c r="B18" s="2" t="s">
        <v>14</v>
      </c>
      <c r="C18" s="2" t="s">
        <v>42</v>
      </c>
      <c r="D18" s="44">
        <f>1415900/1000</f>
        <v>1415.9</v>
      </c>
      <c r="E18" s="44">
        <f>1480000/1000</f>
        <v>1480</v>
      </c>
      <c r="F18" s="44">
        <f>1600000/1000</f>
        <v>1600</v>
      </c>
      <c r="G18" s="44">
        <f>1730000/1000</f>
        <v>1730</v>
      </c>
      <c r="H18" s="44">
        <f>1845400/1000</f>
        <v>1845.4</v>
      </c>
      <c r="I18" s="44">
        <f>1568700/1000</f>
        <v>1568.7</v>
      </c>
      <c r="J18" s="44">
        <f>1300000/1000</f>
        <v>1300</v>
      </c>
      <c r="K18" s="44">
        <f>1000000/1000</f>
        <v>1000</v>
      </c>
      <c r="L18" s="44">
        <f>886300/1000</f>
        <v>886.3</v>
      </c>
      <c r="M18" s="44">
        <f>1052100/1000</f>
        <v>1052.0999999999999</v>
      </c>
      <c r="N18" s="44">
        <f>1100000/1000</f>
        <v>1100</v>
      </c>
      <c r="O18" s="44">
        <f>1260000/1000</f>
        <v>1260</v>
      </c>
      <c r="P18" s="44">
        <f>1300000/1000</f>
        <v>1300</v>
      </c>
      <c r="Q18" s="44">
        <f>1450000/1000</f>
        <v>1450</v>
      </c>
      <c r="R18" s="44">
        <f>1956100/1000</f>
        <v>1956.1</v>
      </c>
      <c r="S18" s="44">
        <f>2986400/1000</f>
        <v>2986.4</v>
      </c>
      <c r="T18" s="44">
        <f>2816800/1000</f>
        <v>2816.8</v>
      </c>
      <c r="U18" s="44">
        <f>2372100/1000</f>
        <v>2372.1</v>
      </c>
      <c r="V18" s="44">
        <f>3490900/1000</f>
        <v>3490.9</v>
      </c>
      <c r="W18" s="44">
        <f>4359800/1000</f>
        <v>4359.8</v>
      </c>
      <c r="X18" s="44">
        <f>3694400/1000</f>
        <v>3694.4</v>
      </c>
      <c r="Y18" s="44">
        <f>4576900/1000</f>
        <v>4576.8999999999996</v>
      </c>
      <c r="Z18" s="44">
        <f>5689500/1000</f>
        <v>5689.5</v>
      </c>
      <c r="AA18" s="44">
        <f>6566600/1000</f>
        <v>6566.6</v>
      </c>
      <c r="AB18" s="44">
        <f>5559700/1000</f>
        <v>5559.7</v>
      </c>
      <c r="AC18" s="44">
        <f>4966400/1000</f>
        <v>4966.3999999999996</v>
      </c>
      <c r="AD18" s="44">
        <f>5467400/1000</f>
        <v>5467.4</v>
      </c>
      <c r="AE18" s="44">
        <f>5699600/1000</f>
        <v>5699.6</v>
      </c>
      <c r="AF18" s="44">
        <f>5344600/1000</f>
        <v>5344.6</v>
      </c>
      <c r="AG18" s="44">
        <f>5405600/1000</f>
        <v>5405.6</v>
      </c>
      <c r="AH18" s="44">
        <f>6162500/1000</f>
        <v>6162.5</v>
      </c>
      <c r="AI18" s="44">
        <f>6437000/1000</f>
        <v>6437</v>
      </c>
      <c r="AJ18" s="44">
        <f>6082700/1000</f>
        <v>6082.7</v>
      </c>
      <c r="AK18" s="44">
        <f>7550100/1000</f>
        <v>7550.1</v>
      </c>
      <c r="AL18" s="44">
        <f>10711100/1000</f>
        <v>10711.1</v>
      </c>
      <c r="AM18" s="44">
        <f>11371800/1000</f>
        <v>11371.8</v>
      </c>
      <c r="AN18" s="44">
        <f>11920900/1000</f>
        <v>11920.9</v>
      </c>
      <c r="AO18" s="44">
        <f>13843500/1000</f>
        <v>13843.5</v>
      </c>
      <c r="AP18" s="44">
        <f>17760300/1000</f>
        <v>17760.3</v>
      </c>
      <c r="AQ18" s="44">
        <f>15044300/1000</f>
        <v>15044.3</v>
      </c>
      <c r="AR18" s="44">
        <f>14656900/1000</f>
        <v>14656.9</v>
      </c>
      <c r="AS18" s="44">
        <f>17120000/1000</f>
        <v>17120</v>
      </c>
      <c r="AT18" s="44">
        <f>16854700/1000</f>
        <v>16854.7</v>
      </c>
      <c r="AU18" s="44">
        <f>15649300/1000</f>
        <v>15649.3</v>
      </c>
      <c r="AV18" s="44">
        <f>14948700/1000</f>
        <v>14948.7</v>
      </c>
      <c r="AW18" s="44">
        <f>16719500/1000</f>
        <v>16719.5</v>
      </c>
      <c r="AX18" s="44">
        <f>17396700/1000</f>
        <v>17396.7</v>
      </c>
      <c r="AY18" s="44">
        <f>16145500/1000</f>
        <v>16145.5</v>
      </c>
      <c r="AZ18" s="44">
        <f>15608300/1000</f>
        <v>15608.3</v>
      </c>
      <c r="BA18" s="44">
        <f>16161700/1000</f>
        <v>16161.7</v>
      </c>
      <c r="BB18" s="45">
        <f>17539572/1000</f>
        <v>17539.572</v>
      </c>
      <c r="BC18" s="43">
        <f>19040799/1000</f>
        <v>19040.798999999999</v>
      </c>
      <c r="BD18" s="43">
        <f>20131089/1000</f>
        <v>20131.089</v>
      </c>
    </row>
    <row r="19" spans="1:56" x14ac:dyDescent="0.25">
      <c r="A19" s="12"/>
      <c r="B19" s="6"/>
      <c r="C19" s="6" t="s">
        <v>45</v>
      </c>
      <c r="D19" s="47">
        <v>0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v>0</v>
      </c>
      <c r="O19" s="47">
        <v>0</v>
      </c>
      <c r="P19" s="47">
        <v>0</v>
      </c>
      <c r="Q19" s="47">
        <v>197</v>
      </c>
      <c r="R19" s="47">
        <v>125</v>
      </c>
      <c r="S19" s="47">
        <v>219</v>
      </c>
      <c r="T19" s="47">
        <v>168</v>
      </c>
      <c r="U19" s="47">
        <v>247</v>
      </c>
      <c r="V19" s="47">
        <v>205</v>
      </c>
      <c r="W19" s="47">
        <v>145</v>
      </c>
      <c r="X19" s="47">
        <v>30</v>
      </c>
      <c r="Y19" s="47">
        <v>30</v>
      </c>
      <c r="Z19" s="47">
        <v>40</v>
      </c>
      <c r="AA19" s="47">
        <v>25</v>
      </c>
      <c r="AB19" s="47">
        <v>14</v>
      </c>
      <c r="AC19" s="47">
        <v>0</v>
      </c>
      <c r="AD19" s="47">
        <v>0</v>
      </c>
      <c r="AE19" s="47">
        <v>75</v>
      </c>
      <c r="AF19" s="47">
        <v>75</v>
      </c>
      <c r="AG19" s="47">
        <v>50</v>
      </c>
      <c r="AH19" s="47">
        <v>50</v>
      </c>
      <c r="AI19" s="47">
        <v>35</v>
      </c>
      <c r="AJ19" s="47">
        <v>65</v>
      </c>
      <c r="AK19" s="47">
        <v>160</v>
      </c>
      <c r="AL19" s="47">
        <v>40</v>
      </c>
      <c r="AM19" s="47">
        <v>40</v>
      </c>
      <c r="AN19" s="47">
        <v>55</v>
      </c>
      <c r="AO19" s="47">
        <v>105</v>
      </c>
      <c r="AP19" s="47">
        <v>95</v>
      </c>
      <c r="AQ19" s="47">
        <v>50</v>
      </c>
      <c r="AR19" s="47">
        <v>70</v>
      </c>
      <c r="AS19" s="47">
        <v>50</v>
      </c>
      <c r="AT19" s="47">
        <v>85</v>
      </c>
      <c r="AU19" s="47">
        <v>80</v>
      </c>
      <c r="AV19" s="47">
        <v>300</v>
      </c>
      <c r="AW19" s="47">
        <v>585</v>
      </c>
      <c r="AX19" s="47">
        <v>350</v>
      </c>
      <c r="AY19" s="47">
        <v>308</v>
      </c>
      <c r="AZ19" s="47">
        <v>505</v>
      </c>
      <c r="BA19" s="47">
        <v>579</v>
      </c>
      <c r="BB19" s="48">
        <v>336</v>
      </c>
      <c r="BC19" s="42"/>
      <c r="BD19" s="42"/>
    </row>
    <row r="20" spans="1:56" s="5" customFormat="1" x14ac:dyDescent="0.25">
      <c r="A20" s="12"/>
      <c r="B20" s="2"/>
      <c r="C20" s="2" t="s">
        <v>44</v>
      </c>
      <c r="D20" s="44">
        <v>0</v>
      </c>
      <c r="E20" s="44">
        <v>0</v>
      </c>
      <c r="F20" s="44">
        <v>0</v>
      </c>
      <c r="G20" s="44">
        <v>0</v>
      </c>
      <c r="H20" s="44">
        <v>0</v>
      </c>
      <c r="I20" s="44">
        <v>0</v>
      </c>
      <c r="J20" s="44">
        <v>0</v>
      </c>
      <c r="K20" s="44">
        <v>0</v>
      </c>
      <c r="L20" s="44">
        <v>0</v>
      </c>
      <c r="M20" s="44">
        <v>0</v>
      </c>
      <c r="N20" s="44">
        <v>0</v>
      </c>
      <c r="O20" s="44">
        <v>0</v>
      </c>
      <c r="P20" s="44">
        <v>0</v>
      </c>
      <c r="Q20" s="44">
        <v>12</v>
      </c>
      <c r="R20" s="44">
        <v>9</v>
      </c>
      <c r="S20" s="44">
        <v>4</v>
      </c>
      <c r="T20" s="44">
        <v>3</v>
      </c>
      <c r="U20" s="44">
        <v>8</v>
      </c>
      <c r="V20" s="44">
        <v>5</v>
      </c>
      <c r="W20" s="44">
        <v>5</v>
      </c>
      <c r="X20" s="44">
        <v>5</v>
      </c>
      <c r="Y20" s="44">
        <v>0</v>
      </c>
      <c r="Z20" s="44">
        <v>10</v>
      </c>
      <c r="AA20" s="44">
        <v>10</v>
      </c>
      <c r="AB20" s="44">
        <v>15</v>
      </c>
      <c r="AC20" s="44">
        <v>10</v>
      </c>
      <c r="AD20" s="44">
        <v>25</v>
      </c>
      <c r="AE20" s="44">
        <v>0</v>
      </c>
      <c r="AF20" s="44">
        <v>6</v>
      </c>
      <c r="AG20" s="44">
        <v>0</v>
      </c>
      <c r="AH20" s="44">
        <v>0</v>
      </c>
      <c r="AI20" s="44">
        <v>0</v>
      </c>
      <c r="AJ20" s="44">
        <v>0</v>
      </c>
      <c r="AK20" s="44">
        <v>0</v>
      </c>
      <c r="AL20" s="44">
        <v>0</v>
      </c>
      <c r="AM20" s="44">
        <v>0</v>
      </c>
      <c r="AN20" s="44">
        <v>10</v>
      </c>
      <c r="AO20" s="44">
        <v>10</v>
      </c>
      <c r="AP20" s="44">
        <v>17</v>
      </c>
      <c r="AQ20" s="44">
        <v>55</v>
      </c>
      <c r="AR20" s="44">
        <v>100</v>
      </c>
      <c r="AS20" s="44">
        <v>70</v>
      </c>
      <c r="AT20" s="44">
        <v>55</v>
      </c>
      <c r="AU20" s="44">
        <v>55</v>
      </c>
      <c r="AV20" s="44">
        <v>15</v>
      </c>
      <c r="AW20" s="44">
        <v>5</v>
      </c>
      <c r="AX20" s="44">
        <v>20</v>
      </c>
      <c r="AY20" s="44">
        <v>20</v>
      </c>
      <c r="AZ20" s="44">
        <v>15</v>
      </c>
      <c r="BA20" s="44">
        <v>0</v>
      </c>
      <c r="BB20" s="45">
        <v>0</v>
      </c>
      <c r="BC20" s="43"/>
      <c r="BD20" s="43"/>
    </row>
    <row r="21" spans="1:56" ht="30" x14ac:dyDescent="0.25">
      <c r="A21" s="12"/>
      <c r="B21" s="6"/>
      <c r="C21" s="6" t="s">
        <v>43</v>
      </c>
      <c r="D21" s="47">
        <f>D18+D19-D20</f>
        <v>1415.9</v>
      </c>
      <c r="E21" s="47">
        <f t="shared" ref="E21:BB21" si="0">E18+E19-E20</f>
        <v>1480</v>
      </c>
      <c r="F21" s="47">
        <f t="shared" si="0"/>
        <v>1600</v>
      </c>
      <c r="G21" s="47">
        <f t="shared" si="0"/>
        <v>1730</v>
      </c>
      <c r="H21" s="47">
        <f t="shared" si="0"/>
        <v>1845.4</v>
      </c>
      <c r="I21" s="47">
        <f t="shared" si="0"/>
        <v>1568.7</v>
      </c>
      <c r="J21" s="47">
        <f t="shared" si="0"/>
        <v>1300</v>
      </c>
      <c r="K21" s="47">
        <f t="shared" si="0"/>
        <v>1000</v>
      </c>
      <c r="L21" s="47">
        <f t="shared" si="0"/>
        <v>886.3</v>
      </c>
      <c r="M21" s="47">
        <f t="shared" si="0"/>
        <v>1052.0999999999999</v>
      </c>
      <c r="N21" s="47">
        <f t="shared" si="0"/>
        <v>1100</v>
      </c>
      <c r="O21" s="47">
        <f t="shared" si="0"/>
        <v>1260</v>
      </c>
      <c r="P21" s="47">
        <f t="shared" si="0"/>
        <v>1300</v>
      </c>
      <c r="Q21" s="47">
        <f t="shared" si="0"/>
        <v>1635</v>
      </c>
      <c r="R21" s="47">
        <f t="shared" si="0"/>
        <v>2072.1</v>
      </c>
      <c r="S21" s="47">
        <f t="shared" si="0"/>
        <v>3201.4</v>
      </c>
      <c r="T21" s="47">
        <f t="shared" si="0"/>
        <v>2981.8</v>
      </c>
      <c r="U21" s="47">
        <f t="shared" si="0"/>
        <v>2611.1</v>
      </c>
      <c r="V21" s="47">
        <f t="shared" si="0"/>
        <v>3690.9</v>
      </c>
      <c r="W21" s="47">
        <f t="shared" si="0"/>
        <v>4499.8</v>
      </c>
      <c r="X21" s="47">
        <f t="shared" si="0"/>
        <v>3719.4</v>
      </c>
      <c r="Y21" s="47">
        <f t="shared" si="0"/>
        <v>4606.8999999999996</v>
      </c>
      <c r="Z21" s="47">
        <f t="shared" si="0"/>
        <v>5719.5</v>
      </c>
      <c r="AA21" s="47">
        <f t="shared" si="0"/>
        <v>6581.6</v>
      </c>
      <c r="AB21" s="47">
        <f t="shared" si="0"/>
        <v>5558.7</v>
      </c>
      <c r="AC21" s="47">
        <f t="shared" si="0"/>
        <v>4956.3999999999996</v>
      </c>
      <c r="AD21" s="47">
        <f t="shared" si="0"/>
        <v>5442.4</v>
      </c>
      <c r="AE21" s="47">
        <f t="shared" si="0"/>
        <v>5774.6</v>
      </c>
      <c r="AF21" s="47">
        <f t="shared" si="0"/>
        <v>5413.6</v>
      </c>
      <c r="AG21" s="47">
        <f t="shared" si="0"/>
        <v>5455.6</v>
      </c>
      <c r="AH21" s="47">
        <f t="shared" si="0"/>
        <v>6212.5</v>
      </c>
      <c r="AI21" s="47">
        <f t="shared" si="0"/>
        <v>6472</v>
      </c>
      <c r="AJ21" s="47">
        <f t="shared" si="0"/>
        <v>6147.7</v>
      </c>
      <c r="AK21" s="47">
        <f t="shared" si="0"/>
        <v>7710.1</v>
      </c>
      <c r="AL21" s="47">
        <f t="shared" si="0"/>
        <v>10751.1</v>
      </c>
      <c r="AM21" s="47">
        <f t="shared" si="0"/>
        <v>11411.8</v>
      </c>
      <c r="AN21" s="47">
        <f t="shared" si="0"/>
        <v>11965.9</v>
      </c>
      <c r="AO21" s="47">
        <f t="shared" si="0"/>
        <v>13938.5</v>
      </c>
      <c r="AP21" s="47">
        <f t="shared" si="0"/>
        <v>17838.3</v>
      </c>
      <c r="AQ21" s="47">
        <f t="shared" si="0"/>
        <v>15039.3</v>
      </c>
      <c r="AR21" s="47">
        <f t="shared" si="0"/>
        <v>14626.9</v>
      </c>
      <c r="AS21" s="47">
        <f t="shared" si="0"/>
        <v>17100</v>
      </c>
      <c r="AT21" s="47">
        <f t="shared" si="0"/>
        <v>16884.7</v>
      </c>
      <c r="AU21" s="47">
        <f t="shared" si="0"/>
        <v>15674.3</v>
      </c>
      <c r="AV21" s="47">
        <f t="shared" si="0"/>
        <v>15233.7</v>
      </c>
      <c r="AW21" s="47">
        <f t="shared" si="0"/>
        <v>17299.5</v>
      </c>
      <c r="AX21" s="47">
        <f t="shared" si="0"/>
        <v>17726.7</v>
      </c>
      <c r="AY21" s="47">
        <f t="shared" si="0"/>
        <v>16433.5</v>
      </c>
      <c r="AZ21" s="47">
        <f t="shared" si="0"/>
        <v>16098.3</v>
      </c>
      <c r="BA21" s="47">
        <f t="shared" si="0"/>
        <v>16740.7</v>
      </c>
      <c r="BB21" s="47">
        <f t="shared" si="0"/>
        <v>17875.572</v>
      </c>
      <c r="BC21" s="42"/>
      <c r="BD21" s="42"/>
    </row>
    <row r="22" spans="1:56" x14ac:dyDescent="0.25">
      <c r="A22" s="12"/>
      <c r="B22" s="2" t="s">
        <v>15</v>
      </c>
      <c r="C22" s="2" t="s">
        <v>7</v>
      </c>
      <c r="D22" s="44">
        <v>0</v>
      </c>
      <c r="E22" s="44">
        <v>0</v>
      </c>
      <c r="F22" s="44">
        <v>0</v>
      </c>
      <c r="G22" s="44">
        <v>108</v>
      </c>
      <c r="H22" s="44">
        <v>90</v>
      </c>
      <c r="I22" s="44">
        <v>83</v>
      </c>
      <c r="J22" s="44">
        <v>152</v>
      </c>
      <c r="K22" s="44">
        <v>211</v>
      </c>
      <c r="L22" s="44">
        <v>733</v>
      </c>
      <c r="M22" s="44">
        <v>1024</v>
      </c>
      <c r="N22" s="44">
        <v>705</v>
      </c>
      <c r="O22" s="44">
        <v>607</v>
      </c>
      <c r="P22" s="44">
        <v>629</v>
      </c>
      <c r="Q22" s="44">
        <v>549</v>
      </c>
      <c r="R22" s="44">
        <v>621</v>
      </c>
      <c r="S22" s="44">
        <v>550</v>
      </c>
      <c r="T22" s="44">
        <v>550</v>
      </c>
      <c r="U22" s="44">
        <v>1536</v>
      </c>
      <c r="V22" s="44">
        <v>289</v>
      </c>
      <c r="W22" s="44">
        <v>837</v>
      </c>
      <c r="X22" s="44">
        <v>618</v>
      </c>
      <c r="Y22" s="44">
        <v>332</v>
      </c>
      <c r="Z22" s="44">
        <v>149</v>
      </c>
      <c r="AA22" s="44">
        <v>70</v>
      </c>
      <c r="AB22" s="44">
        <v>56</v>
      </c>
      <c r="AC22" s="44">
        <v>25</v>
      </c>
      <c r="AD22" s="44">
        <v>188</v>
      </c>
      <c r="AE22" s="44">
        <v>231</v>
      </c>
      <c r="AF22" s="44">
        <v>275</v>
      </c>
      <c r="AG22" s="44">
        <v>280</v>
      </c>
      <c r="AH22" s="44">
        <v>256</v>
      </c>
      <c r="AI22" s="44">
        <v>370</v>
      </c>
      <c r="AJ22" s="44">
        <v>389</v>
      </c>
      <c r="AK22" s="44">
        <v>444</v>
      </c>
      <c r="AL22" s="44">
        <v>581</v>
      </c>
      <c r="AM22" s="44">
        <v>478</v>
      </c>
      <c r="AN22" s="44">
        <v>507</v>
      </c>
      <c r="AO22" s="44">
        <v>618</v>
      </c>
      <c r="AP22" s="44">
        <v>604</v>
      </c>
      <c r="AQ22" s="44">
        <v>550</v>
      </c>
      <c r="AR22" s="44">
        <v>650</v>
      </c>
      <c r="AS22" s="44">
        <v>916</v>
      </c>
      <c r="AT22" s="44">
        <v>875</v>
      </c>
      <c r="AU22" s="44">
        <v>830</v>
      </c>
      <c r="AV22" s="44">
        <v>1226</v>
      </c>
      <c r="AW22" s="44">
        <v>1238</v>
      </c>
      <c r="AX22" s="44">
        <v>1228</v>
      </c>
      <c r="AY22" s="44">
        <v>1144</v>
      </c>
      <c r="AZ22" s="44">
        <v>925</v>
      </c>
      <c r="BA22" s="44">
        <v>1925</v>
      </c>
      <c r="BB22" s="44">
        <f>2421217/1000</f>
        <v>2421.2170000000001</v>
      </c>
      <c r="BC22" s="42"/>
      <c r="BD22" s="42"/>
    </row>
    <row r="23" spans="1:56" s="5" customFormat="1" x14ac:dyDescent="0.25">
      <c r="A23" s="14"/>
      <c r="B23" s="6"/>
      <c r="C23" s="6" t="s">
        <v>8</v>
      </c>
      <c r="D23" s="47">
        <v>0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v>0</v>
      </c>
      <c r="P23" s="47">
        <v>0</v>
      </c>
      <c r="Q23" s="47">
        <v>0</v>
      </c>
      <c r="R23" s="47">
        <v>0</v>
      </c>
      <c r="S23" s="47">
        <v>0</v>
      </c>
      <c r="T23" s="47">
        <v>0</v>
      </c>
      <c r="U23" s="47">
        <v>0</v>
      </c>
      <c r="V23" s="47">
        <v>0</v>
      </c>
      <c r="W23" s="47">
        <v>0</v>
      </c>
      <c r="X23" s="47">
        <v>0</v>
      </c>
      <c r="Y23" s="47">
        <v>0</v>
      </c>
      <c r="Z23" s="47">
        <v>0</v>
      </c>
      <c r="AA23" s="47">
        <v>0</v>
      </c>
      <c r="AB23" s="47">
        <v>0</v>
      </c>
      <c r="AC23" s="47">
        <v>0</v>
      </c>
      <c r="AD23" s="47">
        <v>0</v>
      </c>
      <c r="AE23" s="47">
        <v>0</v>
      </c>
      <c r="AF23" s="47">
        <v>0</v>
      </c>
      <c r="AG23" s="47">
        <v>0</v>
      </c>
      <c r="AH23" s="47">
        <v>0</v>
      </c>
      <c r="AI23" s="47">
        <v>0</v>
      </c>
      <c r="AJ23" s="47">
        <v>0</v>
      </c>
      <c r="AK23" s="47">
        <v>0</v>
      </c>
      <c r="AL23" s="47">
        <v>0</v>
      </c>
      <c r="AM23" s="47">
        <v>2</v>
      </c>
      <c r="AN23" s="47">
        <v>0</v>
      </c>
      <c r="AO23" s="47">
        <v>0</v>
      </c>
      <c r="AP23" s="47">
        <v>0</v>
      </c>
      <c r="AQ23" s="47">
        <v>0</v>
      </c>
      <c r="AR23" s="47">
        <v>0</v>
      </c>
      <c r="AS23" s="47">
        <v>0</v>
      </c>
      <c r="AT23" s="47">
        <v>0</v>
      </c>
      <c r="AU23" s="47">
        <v>0</v>
      </c>
      <c r="AV23" s="47">
        <v>0</v>
      </c>
      <c r="AW23" s="47">
        <v>0</v>
      </c>
      <c r="AX23" s="47">
        <v>0</v>
      </c>
      <c r="AY23" s="47">
        <v>0</v>
      </c>
      <c r="AZ23" s="47">
        <v>0</v>
      </c>
      <c r="BA23" s="47">
        <v>0</v>
      </c>
      <c r="BB23" s="47">
        <v>0</v>
      </c>
      <c r="BC23" s="43"/>
      <c r="BD23" s="43"/>
    </row>
    <row r="24" spans="1:56" x14ac:dyDescent="0.25">
      <c r="A24" s="12"/>
      <c r="B24" s="2"/>
      <c r="C24" s="2" t="s">
        <v>9</v>
      </c>
      <c r="D24" s="44">
        <v>0</v>
      </c>
      <c r="E24" s="44">
        <v>0</v>
      </c>
      <c r="F24" s="44">
        <v>0</v>
      </c>
      <c r="G24" s="44">
        <v>108</v>
      </c>
      <c r="H24" s="44">
        <v>90</v>
      </c>
      <c r="I24" s="44">
        <v>83</v>
      </c>
      <c r="J24" s="44">
        <v>152</v>
      </c>
      <c r="K24" s="44">
        <v>211</v>
      </c>
      <c r="L24" s="44">
        <v>733</v>
      </c>
      <c r="M24" s="44">
        <v>1024</v>
      </c>
      <c r="N24" s="44">
        <v>705</v>
      </c>
      <c r="O24" s="44">
        <v>607</v>
      </c>
      <c r="P24" s="44">
        <v>629</v>
      </c>
      <c r="Q24" s="44">
        <v>549</v>
      </c>
      <c r="R24" s="44">
        <v>621</v>
      </c>
      <c r="S24" s="44">
        <v>550</v>
      </c>
      <c r="T24" s="44">
        <v>550</v>
      </c>
      <c r="U24" s="44">
        <v>1536</v>
      </c>
      <c r="V24" s="44">
        <v>289</v>
      </c>
      <c r="W24" s="44">
        <v>837</v>
      </c>
      <c r="X24" s="44">
        <v>618</v>
      </c>
      <c r="Y24" s="44">
        <v>332</v>
      </c>
      <c r="Z24" s="44">
        <v>149</v>
      </c>
      <c r="AA24" s="44">
        <v>70</v>
      </c>
      <c r="AB24" s="44">
        <v>56</v>
      </c>
      <c r="AC24" s="44">
        <v>25</v>
      </c>
      <c r="AD24" s="44">
        <v>188</v>
      </c>
      <c r="AE24" s="44">
        <v>231</v>
      </c>
      <c r="AF24" s="44">
        <v>275</v>
      </c>
      <c r="AG24" s="44">
        <v>280</v>
      </c>
      <c r="AH24" s="44">
        <v>256</v>
      </c>
      <c r="AI24" s="44">
        <v>370</v>
      </c>
      <c r="AJ24" s="44">
        <v>389</v>
      </c>
      <c r="AK24" s="44">
        <v>444</v>
      </c>
      <c r="AL24" s="44">
        <v>581</v>
      </c>
      <c r="AM24" s="44">
        <v>476</v>
      </c>
      <c r="AN24" s="44">
        <v>507</v>
      </c>
      <c r="AO24" s="44">
        <v>618</v>
      </c>
      <c r="AP24" s="44">
        <v>604</v>
      </c>
      <c r="AQ24" s="44">
        <v>550</v>
      </c>
      <c r="AR24" s="44">
        <v>650</v>
      </c>
      <c r="AS24" s="44">
        <v>825</v>
      </c>
      <c r="AT24" s="44">
        <v>875</v>
      </c>
      <c r="AU24" s="44">
        <v>825</v>
      </c>
      <c r="AV24" s="44">
        <v>1175</v>
      </c>
      <c r="AW24" s="44">
        <v>1225</v>
      </c>
      <c r="AX24" s="44">
        <v>1300</v>
      </c>
      <c r="AY24" s="44">
        <v>1100</v>
      </c>
      <c r="AZ24" s="44">
        <v>1000</v>
      </c>
      <c r="BA24" s="44">
        <v>1700</v>
      </c>
      <c r="BB24" s="44">
        <f>BB22-BB23</f>
        <v>2421.2170000000001</v>
      </c>
      <c r="BC24" s="42"/>
      <c r="BD24" s="42"/>
    </row>
    <row r="31" spans="1:56" s="5" customFormat="1" x14ac:dyDescent="0.25">
      <c r="A31" s="32"/>
      <c r="B31" s="32"/>
      <c r="C31" s="32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6"/>
      <c r="AD31" s="36"/>
      <c r="AE31" s="33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</row>
    <row r="32" spans="1:56" x14ac:dyDescent="0.25">
      <c r="A32" s="34"/>
      <c r="B32" s="34"/>
      <c r="C32" s="34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35"/>
      <c r="BA32" s="35"/>
      <c r="BB32" s="35"/>
    </row>
    <row r="33" spans="1:54" s="5" customFormat="1" x14ac:dyDescent="0.25">
      <c r="A33" s="32"/>
      <c r="B33" s="32"/>
      <c r="C33" s="32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</row>
    <row r="34" spans="1:54" x14ac:dyDescent="0.25">
      <c r="A34" s="34"/>
      <c r="B34" s="34"/>
      <c r="C34" s="34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</row>
    <row r="35" spans="1:54" s="5" customFormat="1" x14ac:dyDescent="0.25">
      <c r="A35" s="32"/>
      <c r="B35" s="32"/>
      <c r="C35" s="32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</row>
    <row r="36" spans="1:54" x14ac:dyDescent="0.25">
      <c r="A36" s="34"/>
      <c r="B36" s="34"/>
      <c r="C36" s="34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</row>
    <row r="37" spans="1:54" s="5" customFormat="1" x14ac:dyDescent="0.25">
      <c r="A37" s="32"/>
      <c r="B37" s="32"/>
      <c r="C37" s="32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6"/>
      <c r="AS37" s="33"/>
      <c r="AT37" s="33"/>
      <c r="AU37" s="33"/>
      <c r="AV37" s="33"/>
      <c r="AW37" s="33"/>
      <c r="AX37" s="33"/>
      <c r="AY37" s="33"/>
      <c r="AZ37" s="33"/>
      <c r="BA37" s="33"/>
      <c r="BB37" s="33"/>
    </row>
    <row r="38" spans="1:54" x14ac:dyDescent="0.25">
      <c r="A38" s="34"/>
      <c r="B38" s="34"/>
      <c r="C38" s="34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  <c r="AM38" s="35"/>
      <c r="AN38" s="35"/>
      <c r="AO38" s="35"/>
      <c r="AP38" s="35"/>
      <c r="AQ38" s="35"/>
      <c r="AR38" s="35"/>
      <c r="AS38" s="35"/>
      <c r="AT38" s="35"/>
      <c r="AU38" s="35"/>
      <c r="AV38" s="35"/>
      <c r="AW38" s="35"/>
      <c r="AX38" s="35"/>
      <c r="AY38" s="35"/>
      <c r="AZ38" s="35"/>
      <c r="BA38" s="35"/>
      <c r="BB38" s="35"/>
    </row>
    <row r="39" spans="1:54" s="5" customFormat="1" x14ac:dyDescent="0.25">
      <c r="A39" s="32"/>
      <c r="B39" s="32"/>
      <c r="C39" s="32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  <c r="AN39" s="33"/>
      <c r="AO39" s="33"/>
      <c r="AP39" s="33"/>
      <c r="AQ39" s="33"/>
      <c r="AR39" s="33"/>
      <c r="AS39" s="33"/>
      <c r="AT39" s="33"/>
      <c r="AU39" s="33"/>
      <c r="AV39" s="33"/>
      <c r="AW39" s="33"/>
      <c r="AX39" s="33"/>
      <c r="AY39" s="33"/>
      <c r="AZ39" s="33"/>
      <c r="BA39" s="33"/>
      <c r="BB39" s="33"/>
    </row>
    <row r="40" spans="1:54" x14ac:dyDescent="0.25">
      <c r="A40" s="34"/>
      <c r="B40" s="34"/>
      <c r="C40" s="34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  <c r="AN40" s="35"/>
      <c r="AO40" s="35"/>
      <c r="AP40" s="35"/>
      <c r="AQ40" s="35"/>
      <c r="AR40" s="35"/>
      <c r="AS40" s="35"/>
      <c r="AT40" s="35"/>
      <c r="AU40" s="35"/>
      <c r="AV40" s="35"/>
      <c r="AW40" s="35"/>
      <c r="AX40" s="35"/>
      <c r="AY40" s="35"/>
      <c r="AZ40" s="35"/>
      <c r="BA40" s="35"/>
      <c r="BB40" s="35"/>
    </row>
    <row r="41" spans="1:54" s="5" customFormat="1" x14ac:dyDescent="0.25">
      <c r="A41" s="32"/>
      <c r="B41" s="32"/>
      <c r="C41" s="32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6"/>
      <c r="O41" s="36"/>
      <c r="P41" s="36"/>
      <c r="Q41" s="36"/>
      <c r="R41" s="33"/>
      <c r="S41" s="36"/>
      <c r="T41" s="33"/>
      <c r="U41" s="33"/>
      <c r="V41" s="36"/>
      <c r="W41" s="33"/>
      <c r="X41" s="36"/>
      <c r="Y41" s="36"/>
      <c r="Z41" s="33"/>
      <c r="AA41" s="36"/>
      <c r="AB41" s="36"/>
      <c r="AC41" s="36"/>
      <c r="AD41" s="36"/>
      <c r="AE41" s="36"/>
      <c r="AF41" s="36"/>
      <c r="AG41" s="33"/>
      <c r="AH41" s="33"/>
      <c r="AI41" s="36"/>
      <c r="AJ41" s="33"/>
      <c r="AK41" s="33"/>
      <c r="AL41" s="36"/>
      <c r="AM41" s="36"/>
      <c r="AN41" s="36"/>
      <c r="AO41" s="36"/>
      <c r="AP41" s="36"/>
      <c r="AQ41" s="36"/>
      <c r="AR41" s="36"/>
      <c r="AS41" s="36"/>
      <c r="AT41" s="36"/>
      <c r="AU41" s="36"/>
      <c r="AV41" s="36"/>
      <c r="AW41" s="36"/>
      <c r="AX41" s="36"/>
      <c r="AY41" s="36"/>
      <c r="AZ41" s="36"/>
      <c r="BA41" s="36"/>
      <c r="BB41" s="36"/>
    </row>
    <row r="42" spans="1:54" x14ac:dyDescent="0.25">
      <c r="A42" s="34"/>
      <c r="B42" s="34"/>
      <c r="C42" s="34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5"/>
      <c r="AX42" s="35"/>
      <c r="AY42" s="35"/>
      <c r="AZ42" s="35"/>
      <c r="BA42" s="35"/>
      <c r="BB42" s="35"/>
    </row>
    <row r="43" spans="1:54" s="5" customFormat="1" x14ac:dyDescent="0.25">
      <c r="A43" s="32"/>
      <c r="B43" s="32"/>
      <c r="C43" s="32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6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6"/>
      <c r="AB43" s="36"/>
      <c r="AC43" s="36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  <c r="AU43" s="33"/>
      <c r="AV43" s="33"/>
      <c r="AW43" s="33"/>
      <c r="AX43" s="33"/>
      <c r="AY43" s="33"/>
      <c r="AZ43" s="36"/>
      <c r="BA43" s="33"/>
      <c r="BB43" s="36"/>
    </row>
    <row r="44" spans="1:54" x14ac:dyDescent="0.25">
      <c r="A44" s="34"/>
      <c r="B44" s="34"/>
      <c r="C44" s="34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7"/>
      <c r="AF44" s="35"/>
      <c r="AG44" s="35"/>
      <c r="AH44" s="35"/>
      <c r="AI44" s="37"/>
      <c r="AJ44" s="35"/>
      <c r="AK44" s="35"/>
      <c r="AL44" s="37"/>
      <c r="AM44" s="37"/>
      <c r="AN44" s="37"/>
      <c r="AO44" s="35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37"/>
      <c r="BA44" s="37"/>
      <c r="BB44" s="37"/>
    </row>
    <row r="45" spans="1:54" s="5" customFormat="1" x14ac:dyDescent="0.25">
      <c r="A45" s="34"/>
      <c r="B45" s="34"/>
      <c r="C45" s="34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</row>
    <row r="46" spans="1:54" x14ac:dyDescent="0.25">
      <c r="A46" s="34"/>
      <c r="B46" s="32"/>
      <c r="C46" s="32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3"/>
      <c r="BA46" s="33"/>
      <c r="BB46" s="33"/>
    </row>
    <row r="47" spans="1:54" s="5" customFormat="1" x14ac:dyDescent="0.25">
      <c r="A47" s="34"/>
      <c r="B47" s="34"/>
      <c r="C47" s="34"/>
      <c r="D47" s="35"/>
      <c r="E47" s="35"/>
      <c r="F47" s="35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7"/>
      <c r="AO47" s="37"/>
      <c r="AP47" s="37"/>
      <c r="AQ47" s="37"/>
      <c r="AR47" s="37"/>
      <c r="AS47" s="37"/>
      <c r="AT47" s="37"/>
      <c r="AU47" s="37"/>
      <c r="AV47" s="37"/>
      <c r="AW47" s="37"/>
      <c r="AX47" s="37"/>
      <c r="AY47" s="37"/>
      <c r="AZ47" s="37"/>
      <c r="BA47" s="37"/>
      <c r="BB47" s="37"/>
    </row>
    <row r="48" spans="1:54" x14ac:dyDescent="0.25">
      <c r="A48" s="34"/>
      <c r="B48" s="32"/>
      <c r="C48" s="32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6"/>
      <c r="AT48" s="36"/>
      <c r="AU48" s="36"/>
      <c r="AV48" s="36"/>
      <c r="AW48" s="36"/>
      <c r="AX48" s="36"/>
      <c r="AY48" s="36"/>
      <c r="AZ48" s="36"/>
      <c r="BA48" s="36"/>
      <c r="BB48" s="36"/>
    </row>
    <row r="49" spans="1:54" x14ac:dyDescent="0.25">
      <c r="A49" s="34"/>
      <c r="B49" s="34"/>
      <c r="C49" s="34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7"/>
      <c r="AU49" s="37"/>
      <c r="AV49" s="37"/>
      <c r="AW49" s="37"/>
      <c r="AX49" s="37"/>
      <c r="AY49" s="37"/>
      <c r="AZ49" s="37"/>
      <c r="BA49" s="37"/>
      <c r="BB49" s="37"/>
    </row>
    <row r="50" spans="1:54" s="5" customFormat="1" x14ac:dyDescent="0.25">
      <c r="A50" s="32"/>
      <c r="B50" s="32"/>
      <c r="C50" s="32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3"/>
      <c r="AR50" s="33"/>
      <c r="AS50" s="33"/>
      <c r="AT50" s="33"/>
      <c r="AU50" s="33"/>
      <c r="AV50" s="33"/>
      <c r="AW50" s="33"/>
      <c r="AX50" s="33"/>
      <c r="AY50" s="33"/>
      <c r="AZ50" s="33"/>
      <c r="BA50" s="33"/>
      <c r="BB50" s="33"/>
    </row>
    <row r="51" spans="1:54" x14ac:dyDescent="0.25">
      <c r="A51" s="34"/>
      <c r="B51" s="34"/>
      <c r="C51" s="34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  <c r="AP51" s="37"/>
      <c r="AQ51" s="37"/>
      <c r="AR51" s="37"/>
      <c r="AS51" s="37"/>
      <c r="AT51" s="37"/>
      <c r="AU51" s="37"/>
      <c r="AV51" s="37"/>
      <c r="AW51" s="37"/>
      <c r="AX51" s="37"/>
      <c r="AY51" s="37"/>
      <c r="AZ51" s="37"/>
      <c r="BA51" s="37"/>
      <c r="BB51" s="37"/>
    </row>
    <row r="52" spans="1:54" s="5" customFormat="1" x14ac:dyDescent="0.25">
      <c r="A52" s="32"/>
      <c r="B52" s="32"/>
      <c r="C52" s="32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36"/>
      <c r="AJ52" s="36"/>
      <c r="AK52" s="36"/>
      <c r="AL52" s="36"/>
      <c r="AM52" s="36"/>
      <c r="AN52" s="36"/>
      <c r="AO52" s="36"/>
      <c r="AP52" s="36"/>
      <c r="AQ52" s="36"/>
      <c r="AR52" s="36"/>
      <c r="AS52" s="36"/>
      <c r="AT52" s="36"/>
      <c r="AU52" s="36"/>
      <c r="AV52" s="36"/>
      <c r="AW52" s="36"/>
      <c r="AX52" s="36"/>
      <c r="AY52" s="36"/>
      <c r="AZ52" s="36"/>
      <c r="BA52" s="36"/>
      <c r="BB52" s="36"/>
    </row>
    <row r="53" spans="1:54" x14ac:dyDescent="0.25">
      <c r="A53" s="34"/>
      <c r="B53" s="34"/>
      <c r="C53" s="34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7"/>
      <c r="AO53" s="37"/>
      <c r="AP53" s="37"/>
      <c r="AQ53" s="37"/>
      <c r="AR53" s="37"/>
      <c r="AS53" s="37"/>
      <c r="AT53" s="37"/>
      <c r="AU53" s="37"/>
      <c r="AV53" s="37"/>
      <c r="AW53" s="37"/>
      <c r="AX53" s="37"/>
      <c r="AY53" s="37"/>
      <c r="AZ53" s="37"/>
      <c r="BA53" s="37"/>
      <c r="BB53" s="37"/>
    </row>
    <row r="54" spans="1:54" s="5" customFormat="1" x14ac:dyDescent="0.25">
      <c r="A54" s="32"/>
      <c r="B54" s="32"/>
      <c r="C54" s="32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6"/>
      <c r="V54" s="36"/>
      <c r="W54" s="36"/>
      <c r="X54" s="33"/>
      <c r="Y54" s="33"/>
      <c r="Z54" s="33"/>
      <c r="AA54" s="33"/>
      <c r="AB54" s="36"/>
      <c r="AC54" s="36"/>
      <c r="AD54" s="33"/>
      <c r="AE54" s="33"/>
      <c r="AF54" s="33"/>
      <c r="AG54" s="33"/>
      <c r="AH54" s="33"/>
      <c r="AI54" s="33"/>
      <c r="AJ54" s="36"/>
      <c r="AK54" s="36"/>
      <c r="AL54" s="36"/>
      <c r="AM54" s="33"/>
      <c r="AN54" s="33"/>
      <c r="AO54" s="36"/>
      <c r="AP54" s="36"/>
      <c r="AQ54" s="36"/>
      <c r="AR54" s="33"/>
      <c r="AS54" s="33"/>
      <c r="AT54" s="33"/>
      <c r="AU54" s="33"/>
      <c r="AV54" s="33"/>
      <c r="AW54" s="36"/>
      <c r="AX54" s="36"/>
      <c r="AY54" s="33"/>
      <c r="AZ54" s="36"/>
      <c r="BA54" s="33"/>
      <c r="BB54" s="36"/>
    </row>
    <row r="55" spans="1:54" x14ac:dyDescent="0.25">
      <c r="A55" s="34"/>
      <c r="B55" s="34"/>
      <c r="C55" s="34"/>
      <c r="D55" s="35"/>
      <c r="E55" s="35"/>
      <c r="F55" s="35"/>
      <c r="G55" s="35"/>
      <c r="H55" s="35"/>
      <c r="I55" s="35"/>
      <c r="J55" s="35"/>
      <c r="K55" s="37"/>
      <c r="L55" s="35"/>
      <c r="M55" s="37"/>
      <c r="N55" s="35"/>
      <c r="O55" s="35"/>
      <c r="P55" s="35"/>
      <c r="Q55" s="37"/>
      <c r="R55" s="35"/>
      <c r="S55" s="37"/>
      <c r="T55" s="37"/>
      <c r="U55" s="35"/>
      <c r="V55" s="35"/>
      <c r="W55" s="35"/>
      <c r="X55" s="35"/>
      <c r="Y55" s="35"/>
      <c r="Z55" s="35"/>
      <c r="AA55" s="35"/>
      <c r="AB55" s="35"/>
      <c r="AC55" s="35"/>
      <c r="AD55" s="35"/>
      <c r="AE55" s="35"/>
      <c r="AF55" s="35"/>
      <c r="AG55" s="35"/>
      <c r="AH55" s="35"/>
      <c r="AI55" s="35"/>
      <c r="AJ55" s="35"/>
      <c r="AK55" s="35"/>
      <c r="AL55" s="35"/>
      <c r="AM55" s="35"/>
      <c r="AN55" s="35"/>
      <c r="AO55" s="35"/>
      <c r="AP55" s="35"/>
      <c r="AQ55" s="35"/>
      <c r="AR55" s="37"/>
      <c r="AS55" s="37"/>
      <c r="AT55" s="37"/>
      <c r="AU55" s="37"/>
      <c r="AV55" s="35"/>
      <c r="AW55" s="37"/>
      <c r="AX55" s="37"/>
      <c r="AY55" s="37"/>
      <c r="AZ55" s="37"/>
      <c r="BA55" s="37"/>
      <c r="BB55" s="37"/>
    </row>
    <row r="56" spans="1:54" s="5" customFormat="1" x14ac:dyDescent="0.25">
      <c r="A56" s="32"/>
      <c r="B56" s="32"/>
      <c r="C56" s="32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36"/>
      <c r="AJ56" s="36"/>
      <c r="AK56" s="36"/>
      <c r="AL56" s="36"/>
      <c r="AM56" s="36"/>
      <c r="AN56" s="36"/>
      <c r="AO56" s="36"/>
      <c r="AP56" s="36"/>
      <c r="AQ56" s="36"/>
      <c r="AR56" s="36"/>
      <c r="AS56" s="36"/>
      <c r="AT56" s="36"/>
      <c r="AU56" s="36"/>
      <c r="AV56" s="36"/>
      <c r="AW56" s="36"/>
      <c r="AX56" s="36"/>
      <c r="AY56" s="36"/>
      <c r="AZ56" s="36"/>
      <c r="BA56" s="36"/>
      <c r="BB56" s="36"/>
    </row>
    <row r="57" spans="1:54" x14ac:dyDescent="0.25">
      <c r="A57" s="34"/>
      <c r="B57" s="34"/>
      <c r="C57" s="34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37"/>
      <c r="AF57" s="37"/>
      <c r="AG57" s="37"/>
      <c r="AH57" s="37"/>
      <c r="AI57" s="37"/>
      <c r="AJ57" s="37"/>
      <c r="AK57" s="37"/>
      <c r="AL57" s="37"/>
      <c r="AM57" s="37"/>
      <c r="AN57" s="37"/>
      <c r="AO57" s="37"/>
      <c r="AP57" s="37"/>
      <c r="AQ57" s="37"/>
      <c r="AR57" s="37"/>
      <c r="AS57" s="37"/>
      <c r="AT57" s="37"/>
      <c r="AU57" s="37"/>
      <c r="AV57" s="37"/>
      <c r="AW57" s="37"/>
      <c r="AX57" s="37"/>
      <c r="AY57" s="37"/>
      <c r="AZ57" s="37"/>
      <c r="BA57" s="37"/>
      <c r="BB57" s="37"/>
    </row>
    <row r="58" spans="1:54" s="5" customFormat="1" x14ac:dyDescent="0.25">
      <c r="A58" s="32"/>
      <c r="B58" s="32"/>
      <c r="C58" s="32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33"/>
      <c r="AJ58" s="36"/>
      <c r="AK58" s="36"/>
      <c r="AL58" s="36"/>
      <c r="AM58" s="36"/>
      <c r="AN58" s="36"/>
      <c r="AO58" s="36"/>
      <c r="AP58" s="36"/>
      <c r="AQ58" s="36"/>
      <c r="AR58" s="33"/>
      <c r="AS58" s="33"/>
      <c r="AT58" s="33"/>
      <c r="AU58" s="33"/>
      <c r="AV58" s="33"/>
      <c r="AW58" s="33"/>
      <c r="AX58" s="33"/>
      <c r="AY58" s="33"/>
      <c r="AZ58" s="33"/>
      <c r="BA58" s="33"/>
      <c r="BB58" s="33"/>
    </row>
    <row r="59" spans="1:54" x14ac:dyDescent="0.25">
      <c r="A59" s="34"/>
      <c r="B59" s="34"/>
      <c r="C59" s="34"/>
      <c r="D59" s="35"/>
      <c r="E59" s="35"/>
      <c r="F59" s="37"/>
      <c r="G59" s="37"/>
      <c r="H59" s="37"/>
      <c r="I59" s="35"/>
      <c r="J59" s="37"/>
      <c r="K59" s="35"/>
      <c r="L59" s="37"/>
      <c r="M59" s="37"/>
      <c r="N59" s="37"/>
      <c r="O59" s="37"/>
      <c r="P59" s="37"/>
      <c r="Q59" s="35"/>
      <c r="R59" s="35"/>
      <c r="S59" s="35"/>
      <c r="T59" s="35"/>
      <c r="U59" s="35"/>
      <c r="V59" s="35"/>
      <c r="W59" s="35"/>
      <c r="X59" s="35"/>
      <c r="Y59" s="35"/>
      <c r="Z59" s="37"/>
      <c r="AA59" s="35"/>
      <c r="AB59" s="35"/>
      <c r="AC59" s="35"/>
      <c r="AD59" s="35"/>
      <c r="AE59" s="35"/>
      <c r="AF59" s="35"/>
      <c r="AG59" s="35"/>
      <c r="AH59" s="35"/>
      <c r="AI59" s="35"/>
      <c r="AJ59" s="35"/>
      <c r="AK59" s="35"/>
      <c r="AL59" s="35"/>
      <c r="AM59" s="35"/>
      <c r="AN59" s="35"/>
      <c r="AO59" s="35"/>
      <c r="AP59" s="35"/>
      <c r="AQ59" s="35"/>
      <c r="AR59" s="35"/>
      <c r="AS59" s="35"/>
      <c r="AT59" s="35"/>
      <c r="AU59" s="35"/>
      <c r="AV59" s="37"/>
      <c r="AW59" s="37"/>
      <c r="AX59" s="37"/>
      <c r="AY59" s="37"/>
      <c r="AZ59" s="37"/>
      <c r="BA59" s="37"/>
      <c r="BB59" s="37"/>
    </row>
    <row r="60" spans="1:54" s="5" customFormat="1" x14ac:dyDescent="0.25">
      <c r="A60" s="32"/>
      <c r="B60" s="32"/>
      <c r="C60" s="32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6"/>
      <c r="AO60" s="36"/>
      <c r="AP60" s="36"/>
      <c r="AQ60" s="36"/>
      <c r="AR60" s="36"/>
      <c r="AS60" s="36"/>
      <c r="AT60" s="36"/>
      <c r="AU60" s="36"/>
      <c r="AV60" s="36"/>
      <c r="AW60" s="36"/>
      <c r="AX60" s="36"/>
      <c r="AY60" s="36"/>
      <c r="AZ60" s="36"/>
      <c r="BA60" s="36"/>
      <c r="BB60" s="36"/>
    </row>
    <row r="61" spans="1:54" x14ac:dyDescent="0.25">
      <c r="A61" s="34"/>
      <c r="B61" s="34"/>
      <c r="C61" s="34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5"/>
      <c r="AC61" s="35"/>
      <c r="AD61" s="37"/>
      <c r="AE61" s="37"/>
      <c r="AF61" s="37"/>
      <c r="AG61" s="37"/>
      <c r="AH61" s="37"/>
      <c r="AI61" s="37"/>
      <c r="AJ61" s="37"/>
      <c r="AK61" s="37"/>
      <c r="AL61" s="37"/>
      <c r="AM61" s="37"/>
      <c r="AN61" s="37"/>
      <c r="AO61" s="37"/>
      <c r="AP61" s="37"/>
      <c r="AQ61" s="37"/>
      <c r="AR61" s="37"/>
      <c r="AS61" s="37"/>
      <c r="AT61" s="37"/>
      <c r="AU61" s="37"/>
      <c r="AV61" s="37"/>
      <c r="AW61" s="37"/>
      <c r="AX61" s="37"/>
      <c r="AY61" s="37"/>
      <c r="AZ61" s="37"/>
      <c r="BA61" s="37"/>
      <c r="BB61" s="37"/>
    </row>
    <row r="62" spans="1:54" s="5" customFormat="1" x14ac:dyDescent="0.25">
      <c r="A62" s="32"/>
      <c r="B62" s="32"/>
      <c r="C62" s="32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  <c r="AG62" s="33"/>
      <c r="AH62" s="33"/>
      <c r="AI62" s="33"/>
      <c r="AJ62" s="33"/>
      <c r="AK62" s="33"/>
      <c r="AL62" s="36"/>
      <c r="AM62" s="36"/>
      <c r="AN62" s="33"/>
      <c r="AO62" s="36"/>
      <c r="AP62" s="33"/>
      <c r="AQ62" s="33"/>
      <c r="AR62" s="33"/>
      <c r="AS62" s="36"/>
      <c r="AT62" s="36"/>
      <c r="AU62" s="33"/>
      <c r="AV62" s="33"/>
      <c r="AW62" s="33"/>
      <c r="AX62" s="33"/>
      <c r="AY62" s="33"/>
      <c r="AZ62" s="33"/>
      <c r="BA62" s="33"/>
      <c r="BB62" s="33"/>
    </row>
    <row r="63" spans="1:54" x14ac:dyDescent="0.25">
      <c r="A63" s="34"/>
      <c r="B63" s="34"/>
      <c r="C63" s="34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  <c r="AE63" s="37"/>
      <c r="AF63" s="37"/>
      <c r="AG63" s="37"/>
      <c r="AH63" s="37"/>
      <c r="AI63" s="37"/>
      <c r="AJ63" s="37"/>
      <c r="AK63" s="37"/>
      <c r="AL63" s="37"/>
      <c r="AM63" s="37"/>
      <c r="AN63" s="37"/>
      <c r="AO63" s="37"/>
      <c r="AP63" s="37"/>
      <c r="AQ63" s="37"/>
      <c r="AR63" s="37"/>
      <c r="AS63" s="37"/>
      <c r="AT63" s="37"/>
      <c r="AU63" s="37"/>
      <c r="AV63" s="37"/>
      <c r="AW63" s="37"/>
      <c r="AX63" s="37"/>
      <c r="AY63" s="37"/>
      <c r="AZ63" s="37"/>
      <c r="BA63" s="37"/>
      <c r="BB63" s="37"/>
    </row>
    <row r="64" spans="1:54" s="5" customFormat="1" x14ac:dyDescent="0.25">
      <c r="A64" s="32"/>
      <c r="B64" s="32"/>
      <c r="C64" s="32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6"/>
      <c r="AE64" s="36"/>
      <c r="AF64" s="36"/>
      <c r="AG64" s="36"/>
      <c r="AH64" s="36"/>
      <c r="AI64" s="36"/>
      <c r="AJ64" s="36"/>
      <c r="AK64" s="36"/>
      <c r="AL64" s="36"/>
      <c r="AM64" s="36"/>
      <c r="AN64" s="36"/>
      <c r="AO64" s="36"/>
      <c r="AP64" s="36"/>
      <c r="AQ64" s="36"/>
      <c r="AR64" s="36"/>
      <c r="AS64" s="36"/>
      <c r="AT64" s="36"/>
      <c r="AU64" s="36"/>
      <c r="AV64" s="36"/>
      <c r="AW64" s="36"/>
      <c r="AX64" s="36"/>
      <c r="AY64" s="36"/>
      <c r="AZ64" s="36"/>
      <c r="BA64" s="36"/>
      <c r="BB64" s="36"/>
    </row>
    <row r="65" spans="1:54" x14ac:dyDescent="0.25">
      <c r="A65" s="34"/>
      <c r="B65" s="34"/>
      <c r="C65" s="34"/>
      <c r="D65" s="37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7"/>
      <c r="AF65" s="37"/>
      <c r="AG65" s="37"/>
      <c r="AH65" s="37"/>
      <c r="AI65" s="37"/>
      <c r="AJ65" s="37"/>
      <c r="AK65" s="37"/>
      <c r="AL65" s="37"/>
      <c r="AM65" s="37"/>
      <c r="AN65" s="37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</row>
    <row r="66" spans="1:54" s="5" customFormat="1" x14ac:dyDescent="0.25">
      <c r="A66" s="32"/>
      <c r="B66" s="32"/>
      <c r="C66" s="32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6"/>
      <c r="AD66" s="33"/>
      <c r="AE66" s="33"/>
      <c r="AF66" s="33"/>
      <c r="AG66" s="33"/>
      <c r="AH66" s="33"/>
      <c r="AI66" s="33"/>
      <c r="AJ66" s="33"/>
      <c r="AK66" s="33"/>
      <c r="AL66" s="33"/>
      <c r="AM66" s="33"/>
      <c r="AN66" s="33"/>
      <c r="AO66" s="36"/>
      <c r="AP66" s="33"/>
      <c r="AQ66" s="33"/>
      <c r="AR66" s="33"/>
      <c r="AS66" s="33"/>
      <c r="AT66" s="36"/>
      <c r="AU66" s="33"/>
      <c r="AV66" s="33"/>
      <c r="AW66" s="33"/>
      <c r="AX66" s="33"/>
      <c r="AY66" s="33"/>
      <c r="AZ66" s="33"/>
      <c r="BA66" s="33"/>
      <c r="BB66" s="33"/>
    </row>
    <row r="67" spans="1:54" x14ac:dyDescent="0.25">
      <c r="A67" s="34"/>
      <c r="B67" s="34"/>
      <c r="C67" s="34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5"/>
      <c r="AF67" s="35"/>
      <c r="AG67" s="35"/>
      <c r="AH67" s="35"/>
      <c r="AI67" s="35"/>
      <c r="AJ67" s="35"/>
      <c r="AK67" s="35"/>
      <c r="AL67" s="35"/>
      <c r="AM67" s="35"/>
      <c r="AN67" s="35"/>
      <c r="AO67" s="35"/>
      <c r="AP67" s="35"/>
      <c r="AQ67" s="35"/>
      <c r="AR67" s="35"/>
      <c r="AS67" s="35"/>
      <c r="AT67" s="35"/>
      <c r="AU67" s="35"/>
      <c r="AV67" s="35"/>
      <c r="AW67" s="35"/>
      <c r="AX67" s="35"/>
      <c r="AY67" s="35"/>
      <c r="AZ67" s="35"/>
      <c r="BA67" s="35"/>
      <c r="BB67" s="35"/>
    </row>
    <row r="68" spans="1:54" s="5" customFormat="1" x14ac:dyDescent="0.25">
      <c r="A68" s="32"/>
      <c r="B68" s="32"/>
      <c r="C68" s="32"/>
      <c r="D68" s="36"/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6"/>
      <c r="AF68" s="36"/>
      <c r="AG68" s="36"/>
      <c r="AH68" s="36"/>
      <c r="AI68" s="36"/>
      <c r="AJ68" s="36"/>
      <c r="AK68" s="36"/>
      <c r="AL68" s="36"/>
      <c r="AM68" s="36"/>
      <c r="AN68" s="36"/>
      <c r="AO68" s="36"/>
      <c r="AP68" s="36"/>
      <c r="AQ68" s="36"/>
      <c r="AR68" s="36"/>
      <c r="AS68" s="36"/>
      <c r="AT68" s="36"/>
      <c r="AU68" s="36"/>
      <c r="AV68" s="36"/>
      <c r="AW68" s="36"/>
      <c r="AX68" s="36"/>
      <c r="AY68" s="36"/>
      <c r="AZ68" s="36"/>
      <c r="BA68" s="36"/>
      <c r="BB68" s="36"/>
    </row>
    <row r="69" spans="1:54" x14ac:dyDescent="0.25">
      <c r="A69" s="34"/>
      <c r="B69" s="34"/>
      <c r="C69" s="34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35"/>
      <c r="AE69" s="35"/>
      <c r="AF69" s="35"/>
      <c r="AG69" s="35"/>
      <c r="AH69" s="35"/>
      <c r="AI69" s="35"/>
      <c r="AJ69" s="35"/>
      <c r="AK69" s="35"/>
      <c r="AL69" s="35"/>
      <c r="AM69" s="35"/>
      <c r="AN69" s="35"/>
      <c r="AO69" s="35"/>
      <c r="AP69" s="35"/>
      <c r="AQ69" s="35"/>
      <c r="AR69" s="35"/>
      <c r="AS69" s="35"/>
      <c r="AT69" s="35"/>
      <c r="AU69" s="37"/>
      <c r="AV69" s="37"/>
      <c r="AW69" s="37"/>
      <c r="AX69" s="37"/>
      <c r="AY69" s="37"/>
      <c r="AZ69" s="37"/>
      <c r="BA69" s="37"/>
      <c r="BB69" s="37"/>
    </row>
    <row r="70" spans="1:54" s="5" customFormat="1" x14ac:dyDescent="0.25">
      <c r="A70" s="32"/>
      <c r="B70" s="32"/>
      <c r="C70" s="32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  <c r="AG70" s="33"/>
      <c r="AH70" s="33"/>
      <c r="AI70" s="33"/>
      <c r="AJ70" s="33"/>
      <c r="AK70" s="33"/>
      <c r="AL70" s="33"/>
      <c r="AM70" s="33"/>
      <c r="AN70" s="33"/>
      <c r="AO70" s="33"/>
      <c r="AP70" s="33"/>
      <c r="AQ70" s="33"/>
      <c r="AR70" s="33"/>
      <c r="AS70" s="33"/>
      <c r="AT70" s="33"/>
      <c r="AU70" s="33"/>
      <c r="AV70" s="33"/>
      <c r="AW70" s="33"/>
      <c r="AX70" s="33"/>
      <c r="AY70" s="33"/>
      <c r="AZ70" s="33"/>
      <c r="BA70" s="33"/>
      <c r="BB70" s="33"/>
    </row>
    <row r="71" spans="1:54" x14ac:dyDescent="0.25">
      <c r="A71" s="34"/>
      <c r="B71" s="34"/>
      <c r="C71" s="34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35"/>
      <c r="AE71" s="35"/>
      <c r="AF71" s="35"/>
      <c r="AG71" s="35"/>
      <c r="AH71" s="35"/>
      <c r="AI71" s="35"/>
      <c r="AJ71" s="35"/>
      <c r="AK71" s="35"/>
      <c r="AL71" s="35"/>
      <c r="AM71" s="35"/>
      <c r="AN71" s="35"/>
      <c r="AO71" s="35"/>
      <c r="AP71" s="35"/>
      <c r="AQ71" s="35"/>
      <c r="AR71" s="35"/>
      <c r="AS71" s="35"/>
      <c r="AT71" s="35"/>
      <c r="AU71" s="35"/>
      <c r="AV71" s="35"/>
      <c r="AW71" s="35"/>
      <c r="AX71" s="35"/>
      <c r="AY71" s="35"/>
      <c r="AZ71" s="35"/>
      <c r="BA71" s="35"/>
      <c r="BB71" s="35"/>
    </row>
    <row r="72" spans="1:54" s="5" customFormat="1" x14ac:dyDescent="0.25">
      <c r="A72" s="32"/>
      <c r="B72" s="32"/>
      <c r="C72" s="32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  <c r="AG72" s="33"/>
      <c r="AH72" s="33"/>
      <c r="AI72" s="33"/>
      <c r="AJ72" s="33"/>
      <c r="AK72" s="33"/>
      <c r="AL72" s="33"/>
      <c r="AM72" s="33"/>
      <c r="AN72" s="33"/>
      <c r="AO72" s="33"/>
      <c r="AP72" s="33"/>
      <c r="AQ72" s="36"/>
      <c r="AR72" s="33"/>
      <c r="AS72" s="33"/>
      <c r="AT72" s="33"/>
      <c r="AU72" s="36"/>
      <c r="AV72" s="36"/>
      <c r="AW72" s="36"/>
      <c r="AX72" s="36"/>
      <c r="AY72" s="36"/>
      <c r="AZ72" s="36"/>
      <c r="BA72" s="36"/>
      <c r="BB72" s="36"/>
    </row>
    <row r="73" spans="1:54" s="5" customFormat="1" x14ac:dyDescent="0.25">
      <c r="A73" s="34"/>
      <c r="B73" s="34"/>
      <c r="C73" s="34"/>
      <c r="D73" s="37"/>
      <c r="E73" s="37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  <c r="AE73" s="37"/>
      <c r="AF73" s="37"/>
      <c r="AG73" s="37"/>
      <c r="AH73" s="37"/>
      <c r="AI73" s="37"/>
      <c r="AJ73" s="37"/>
      <c r="AK73" s="37"/>
      <c r="AL73" s="37"/>
      <c r="AM73" s="37"/>
      <c r="AN73" s="37"/>
      <c r="AO73" s="37"/>
      <c r="AP73" s="37"/>
      <c r="AQ73" s="37"/>
      <c r="AR73" s="37"/>
      <c r="AS73" s="37"/>
      <c r="AT73" s="37"/>
      <c r="AU73" s="37"/>
      <c r="AV73" s="37"/>
      <c r="AW73" s="37"/>
      <c r="AX73" s="37"/>
      <c r="AY73" s="37"/>
      <c r="AZ73" s="37"/>
      <c r="BA73" s="37"/>
      <c r="BB73" s="37"/>
    </row>
    <row r="74" spans="1:54" x14ac:dyDescent="0.25">
      <c r="A74" s="34"/>
      <c r="B74" s="32"/>
      <c r="C74" s="32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3"/>
      <c r="AR74" s="33"/>
      <c r="AS74" s="33"/>
      <c r="AT74" s="33"/>
      <c r="AU74" s="33"/>
      <c r="AV74" s="33"/>
      <c r="AW74" s="33"/>
      <c r="AX74" s="33"/>
      <c r="AY74" s="33"/>
      <c r="AZ74" s="33"/>
      <c r="BA74" s="33"/>
      <c r="BB74" s="33"/>
    </row>
    <row r="75" spans="1:54" s="5" customFormat="1" x14ac:dyDescent="0.25">
      <c r="A75" s="34"/>
      <c r="B75" s="34"/>
      <c r="C75" s="34"/>
      <c r="D75" s="35"/>
      <c r="E75" s="35"/>
      <c r="F75" s="35"/>
      <c r="G75" s="35"/>
      <c r="H75" s="35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  <c r="AK75" s="37"/>
      <c r="AL75" s="37"/>
      <c r="AM75" s="37"/>
      <c r="AN75" s="37"/>
      <c r="AO75" s="37"/>
      <c r="AP75" s="37"/>
      <c r="AQ75" s="37"/>
      <c r="AR75" s="37"/>
      <c r="AS75" s="37"/>
      <c r="AT75" s="37"/>
      <c r="AU75" s="37"/>
      <c r="AV75" s="37"/>
      <c r="AW75" s="37"/>
      <c r="AX75" s="37"/>
      <c r="AY75" s="37"/>
      <c r="AZ75" s="37"/>
      <c r="BA75" s="37"/>
      <c r="BB75" s="37"/>
    </row>
    <row r="76" spans="1:54" x14ac:dyDescent="0.25">
      <c r="A76" s="34"/>
      <c r="B76" s="32"/>
      <c r="C76" s="32"/>
      <c r="D76" s="36"/>
      <c r="E76" s="36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6"/>
      <c r="Z76" s="36"/>
      <c r="AA76" s="36"/>
      <c r="AB76" s="36"/>
      <c r="AC76" s="36"/>
      <c r="AD76" s="36"/>
      <c r="AE76" s="36"/>
      <c r="AF76" s="36"/>
      <c r="AG76" s="36"/>
      <c r="AH76" s="36"/>
      <c r="AI76" s="36"/>
      <c r="AJ76" s="36"/>
      <c r="AK76" s="36"/>
      <c r="AL76" s="36"/>
      <c r="AM76" s="36"/>
      <c r="AN76" s="36"/>
      <c r="AO76" s="36"/>
      <c r="AP76" s="36"/>
      <c r="AQ76" s="36"/>
      <c r="AR76" s="36"/>
      <c r="AS76" s="36"/>
      <c r="AT76" s="36"/>
      <c r="AU76" s="36"/>
      <c r="AV76" s="36"/>
      <c r="AW76" s="36"/>
      <c r="AX76" s="36"/>
      <c r="AY76" s="36"/>
      <c r="AZ76" s="36"/>
      <c r="BA76" s="36"/>
      <c r="BB76" s="36"/>
    </row>
    <row r="77" spans="1:54" s="5" customFormat="1" x14ac:dyDescent="0.25">
      <c r="A77" s="32"/>
      <c r="B77" s="32"/>
      <c r="C77" s="32"/>
      <c r="D77" s="33"/>
      <c r="E77" s="33"/>
      <c r="F77" s="33"/>
      <c r="G77" s="33"/>
      <c r="H77" s="33"/>
      <c r="I77" s="33"/>
      <c r="J77" s="33"/>
      <c r="K77" s="33"/>
      <c r="L77" s="33"/>
      <c r="M77" s="36"/>
      <c r="N77" s="36"/>
      <c r="O77" s="36"/>
      <c r="P77" s="33"/>
      <c r="Q77" s="36"/>
      <c r="R77" s="36"/>
      <c r="S77" s="36"/>
      <c r="T77" s="36"/>
      <c r="U77" s="36"/>
      <c r="V77" s="36"/>
      <c r="W77" s="36"/>
      <c r="X77" s="36"/>
      <c r="Y77" s="36"/>
      <c r="Z77" s="36"/>
      <c r="AA77" s="36"/>
      <c r="AB77" s="36"/>
      <c r="AC77" s="36"/>
      <c r="AD77" s="36"/>
      <c r="AE77" s="36"/>
      <c r="AF77" s="36"/>
      <c r="AG77" s="36"/>
      <c r="AH77" s="36"/>
      <c r="AI77" s="36"/>
      <c r="AJ77" s="36"/>
      <c r="AK77" s="36"/>
      <c r="AL77" s="36"/>
      <c r="AM77" s="36"/>
      <c r="AN77" s="36"/>
      <c r="AO77" s="36"/>
      <c r="AP77" s="36"/>
      <c r="AQ77" s="36"/>
      <c r="AR77" s="36"/>
      <c r="AS77" s="36"/>
      <c r="AT77" s="36"/>
      <c r="AU77" s="36"/>
      <c r="AV77" s="36"/>
      <c r="AW77" s="36"/>
      <c r="AX77" s="36"/>
      <c r="AY77" s="36"/>
      <c r="AZ77" s="36"/>
      <c r="BA77" s="36"/>
      <c r="BB77" s="36"/>
    </row>
    <row r="78" spans="1:54" x14ac:dyDescent="0.25">
      <c r="A78" s="34"/>
      <c r="B78" s="34"/>
      <c r="C78" s="34"/>
      <c r="D78" s="37"/>
      <c r="E78" s="37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  <c r="AP78" s="37"/>
      <c r="AQ78" s="37"/>
      <c r="AR78" s="37"/>
      <c r="AS78" s="37"/>
      <c r="AT78" s="37"/>
      <c r="AU78" s="37"/>
      <c r="AV78" s="37"/>
      <c r="AW78" s="37"/>
      <c r="AX78" s="37"/>
      <c r="AY78" s="37"/>
      <c r="AZ78" s="37"/>
      <c r="BA78" s="37"/>
      <c r="BB78" s="37"/>
    </row>
    <row r="79" spans="1:54" s="5" customFormat="1" x14ac:dyDescent="0.25">
      <c r="A79" s="32"/>
      <c r="B79" s="32"/>
      <c r="C79" s="32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6"/>
      <c r="AV79" s="33"/>
      <c r="AW79" s="33"/>
      <c r="AX79" s="33"/>
      <c r="AY79" s="33"/>
      <c r="AZ79" s="33"/>
      <c r="BA79" s="36"/>
      <c r="BB79" s="36"/>
    </row>
    <row r="80" spans="1:54" x14ac:dyDescent="0.25">
      <c r="A80" s="34"/>
      <c r="B80" s="34"/>
      <c r="C80" s="34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37"/>
      <c r="AP80" s="37"/>
      <c r="AQ80" s="37"/>
      <c r="AR80" s="37"/>
      <c r="AS80" s="37"/>
      <c r="AT80" s="37"/>
      <c r="AU80" s="37"/>
      <c r="AV80" s="37"/>
      <c r="AW80" s="37"/>
      <c r="AX80" s="37"/>
      <c r="AY80" s="37"/>
      <c r="AZ80" s="37"/>
      <c r="BA80" s="37"/>
      <c r="BB80" s="37"/>
    </row>
    <row r="81" spans="1:54" s="5" customFormat="1" x14ac:dyDescent="0.25">
      <c r="A81" s="32"/>
      <c r="B81" s="32"/>
      <c r="C81" s="32"/>
      <c r="D81" s="33"/>
      <c r="E81" s="33"/>
      <c r="F81" s="33"/>
      <c r="G81" s="33"/>
      <c r="H81" s="36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36"/>
      <c r="AE81" s="36"/>
      <c r="AF81" s="36"/>
      <c r="AG81" s="36"/>
      <c r="AH81" s="36"/>
      <c r="AI81" s="36"/>
      <c r="AJ81" s="36"/>
      <c r="AK81" s="36"/>
      <c r="AL81" s="36"/>
      <c r="AM81" s="36"/>
      <c r="AN81" s="36"/>
      <c r="AO81" s="36"/>
      <c r="AP81" s="36"/>
      <c r="AQ81" s="36"/>
      <c r="AR81" s="36"/>
      <c r="AS81" s="36"/>
      <c r="AT81" s="36"/>
      <c r="AU81" s="36"/>
      <c r="AV81" s="36"/>
      <c r="AW81" s="36"/>
      <c r="AX81" s="36"/>
      <c r="AY81" s="36"/>
      <c r="AZ81" s="36"/>
      <c r="BA81" s="36"/>
      <c r="BB81" s="36"/>
    </row>
    <row r="82" spans="1:54" x14ac:dyDescent="0.25">
      <c r="A82" s="34"/>
      <c r="B82" s="34"/>
      <c r="C82" s="34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7"/>
      <c r="R82" s="37"/>
      <c r="S82" s="35"/>
      <c r="T82" s="35"/>
      <c r="U82" s="35"/>
      <c r="V82" s="35"/>
      <c r="W82" s="35"/>
      <c r="X82" s="37"/>
      <c r="Y82" s="35"/>
      <c r="Z82" s="35"/>
      <c r="AA82" s="35"/>
      <c r="AB82" s="35"/>
      <c r="AC82" s="35"/>
      <c r="AD82" s="35"/>
      <c r="AE82" s="35"/>
      <c r="AF82" s="35"/>
      <c r="AG82" s="35"/>
      <c r="AH82" s="35"/>
      <c r="AI82" s="35"/>
      <c r="AJ82" s="37"/>
      <c r="AK82" s="35"/>
      <c r="AL82" s="37"/>
      <c r="AM82" s="35"/>
      <c r="AN82" s="35"/>
      <c r="AO82" s="37"/>
      <c r="AP82" s="35"/>
      <c r="AQ82" s="37"/>
      <c r="AR82" s="37"/>
      <c r="AS82" s="37"/>
      <c r="AT82" s="37"/>
      <c r="AU82" s="37"/>
      <c r="AV82" s="37"/>
      <c r="AW82" s="37"/>
      <c r="AX82" s="37"/>
      <c r="AY82" s="37"/>
      <c r="AZ82" s="37"/>
      <c r="BA82" s="37"/>
      <c r="BB82" s="37"/>
    </row>
    <row r="83" spans="1:54" s="5" customFormat="1" x14ac:dyDescent="0.25">
      <c r="A83" s="32"/>
      <c r="B83" s="32"/>
      <c r="C83" s="32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36"/>
      <c r="Y83" s="36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33"/>
      <c r="AV83" s="33"/>
      <c r="AW83" s="33"/>
      <c r="AX83" s="33"/>
      <c r="AY83" s="33"/>
      <c r="AZ83" s="33"/>
      <c r="BA83" s="33"/>
      <c r="BB83" s="36"/>
    </row>
    <row r="84" spans="1:54" x14ac:dyDescent="0.25">
      <c r="A84" s="34"/>
      <c r="B84" s="34"/>
      <c r="C84" s="34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  <c r="AK84" s="37"/>
      <c r="AL84" s="37"/>
      <c r="AM84" s="37"/>
      <c r="AN84" s="37"/>
      <c r="AO84" s="37"/>
      <c r="AP84" s="37"/>
      <c r="AQ84" s="37"/>
      <c r="AR84" s="37"/>
      <c r="AS84" s="37"/>
      <c r="AT84" s="37"/>
      <c r="AU84" s="37"/>
      <c r="AV84" s="37"/>
      <c r="AW84" s="37"/>
      <c r="AX84" s="37"/>
      <c r="AY84" s="37"/>
      <c r="AZ84" s="37"/>
      <c r="BA84" s="37"/>
      <c r="BB84" s="37"/>
    </row>
    <row r="85" spans="1:54" s="5" customFormat="1" x14ac:dyDescent="0.25">
      <c r="A85" s="32"/>
      <c r="B85" s="32"/>
      <c r="C85" s="32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3"/>
      <c r="AY85" s="33"/>
      <c r="AZ85" s="33"/>
      <c r="BA85" s="33"/>
      <c r="BB85" s="33"/>
    </row>
    <row r="86" spans="1:54" x14ac:dyDescent="0.25">
      <c r="A86" s="34"/>
      <c r="B86" s="34"/>
      <c r="C86" s="34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  <c r="X86" s="35"/>
      <c r="Y86" s="35"/>
      <c r="Z86" s="35"/>
      <c r="AA86" s="35"/>
      <c r="AB86" s="35"/>
      <c r="AC86" s="35"/>
      <c r="AD86" s="35"/>
      <c r="AE86" s="35"/>
      <c r="AF86" s="35"/>
      <c r="AG86" s="35"/>
      <c r="AH86" s="35"/>
      <c r="AI86" s="35"/>
      <c r="AJ86" s="35"/>
      <c r="AK86" s="35"/>
      <c r="AL86" s="35"/>
      <c r="AM86" s="35"/>
      <c r="AN86" s="35"/>
      <c r="AO86" s="35"/>
      <c r="AP86" s="35"/>
      <c r="AQ86" s="35"/>
      <c r="AR86" s="35"/>
      <c r="AS86" s="35"/>
      <c r="AT86" s="35"/>
      <c r="AU86" s="35"/>
      <c r="AV86" s="35"/>
      <c r="AW86" s="35"/>
      <c r="AX86" s="35"/>
      <c r="AY86" s="35"/>
      <c r="AZ86" s="35"/>
      <c r="BA86" s="35"/>
      <c r="BB86" s="35"/>
    </row>
    <row r="87" spans="1:54" s="5" customFormat="1" x14ac:dyDescent="0.25">
      <c r="A87" s="32"/>
      <c r="B87" s="32"/>
      <c r="C87" s="32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3"/>
      <c r="AY87" s="33"/>
      <c r="AZ87" s="33"/>
      <c r="BA87" s="33"/>
      <c r="BB87" s="33"/>
    </row>
    <row r="88" spans="1:54" x14ac:dyDescent="0.25">
      <c r="A88" s="34"/>
      <c r="B88" s="34"/>
      <c r="C88" s="34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  <c r="X88" s="35"/>
      <c r="Y88" s="35"/>
      <c r="Z88" s="35"/>
      <c r="AA88" s="35"/>
      <c r="AB88" s="35"/>
      <c r="AC88" s="37"/>
      <c r="AD88" s="35"/>
      <c r="AE88" s="37"/>
      <c r="AF88" s="37"/>
      <c r="AG88" s="37"/>
      <c r="AH88" s="37"/>
      <c r="AI88" s="37"/>
      <c r="AJ88" s="37"/>
      <c r="AK88" s="37"/>
      <c r="AL88" s="37"/>
      <c r="AM88" s="37"/>
      <c r="AN88" s="37"/>
      <c r="AO88" s="37"/>
      <c r="AP88" s="37"/>
      <c r="AQ88" s="37"/>
      <c r="AR88" s="37"/>
      <c r="AS88" s="37"/>
      <c r="AT88" s="37"/>
      <c r="AU88" s="37"/>
      <c r="AV88" s="37"/>
      <c r="AW88" s="37"/>
      <c r="AX88" s="37"/>
      <c r="AY88" s="37"/>
      <c r="AZ88" s="37"/>
      <c r="BA88" s="37"/>
      <c r="BB88" s="37"/>
    </row>
    <row r="89" spans="1:54" s="5" customFormat="1" x14ac:dyDescent="0.25">
      <c r="A89" s="32"/>
      <c r="B89" s="32"/>
      <c r="C89" s="32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3"/>
      <c r="AY89" s="33"/>
      <c r="AZ89" s="33"/>
      <c r="BA89" s="33"/>
      <c r="BB89" s="33"/>
    </row>
    <row r="90" spans="1:54" x14ac:dyDescent="0.25">
      <c r="A90" s="34"/>
      <c r="B90" s="34"/>
      <c r="C90" s="34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  <c r="X90" s="35"/>
      <c r="Y90" s="35"/>
      <c r="Z90" s="35"/>
      <c r="AA90" s="35"/>
      <c r="AB90" s="35"/>
      <c r="AC90" s="35"/>
      <c r="AD90" s="35"/>
      <c r="AE90" s="35"/>
      <c r="AF90" s="35"/>
      <c r="AG90" s="35"/>
      <c r="AH90" s="35"/>
      <c r="AI90" s="35"/>
      <c r="AJ90" s="35"/>
      <c r="AK90" s="35"/>
      <c r="AL90" s="35"/>
      <c r="AM90" s="35"/>
      <c r="AN90" s="35"/>
      <c r="AO90" s="35"/>
      <c r="AP90" s="35"/>
      <c r="AQ90" s="35"/>
      <c r="AR90" s="35"/>
      <c r="AS90" s="35"/>
      <c r="AT90" s="35"/>
      <c r="AU90" s="35"/>
      <c r="AV90" s="37"/>
      <c r="AW90" s="37"/>
      <c r="AX90" s="37"/>
      <c r="AY90" s="37"/>
      <c r="AZ90" s="37"/>
      <c r="BA90" s="37"/>
      <c r="BB90" s="37"/>
    </row>
    <row r="91" spans="1:54" s="5" customFormat="1" x14ac:dyDescent="0.25">
      <c r="A91" s="32"/>
      <c r="B91" s="32"/>
      <c r="C91" s="32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6"/>
      <c r="AA91" s="33"/>
      <c r="AB91" s="33"/>
      <c r="AC91" s="33"/>
      <c r="AD91" s="36"/>
      <c r="AE91" s="36"/>
      <c r="AF91" s="36"/>
      <c r="AG91" s="36"/>
      <c r="AH91" s="36"/>
      <c r="AI91" s="36"/>
      <c r="AJ91" s="36"/>
      <c r="AK91" s="36"/>
      <c r="AL91" s="36"/>
      <c r="AM91" s="36"/>
      <c r="AN91" s="36"/>
      <c r="AO91" s="36"/>
      <c r="AP91" s="36"/>
      <c r="AQ91" s="36"/>
      <c r="AR91" s="36"/>
      <c r="AS91" s="36"/>
      <c r="AT91" s="36"/>
      <c r="AU91" s="36"/>
      <c r="AV91" s="36"/>
      <c r="AW91" s="36"/>
      <c r="AX91" s="36"/>
      <c r="AY91" s="36"/>
      <c r="AZ91" s="36"/>
      <c r="BA91" s="36"/>
      <c r="BB91" s="36"/>
    </row>
    <row r="92" spans="1:54" x14ac:dyDescent="0.25">
      <c r="A92" s="34"/>
      <c r="B92" s="34"/>
      <c r="C92" s="34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  <c r="AB92" s="35"/>
      <c r="AC92" s="35"/>
      <c r="AD92" s="35"/>
      <c r="AE92" s="35"/>
      <c r="AF92" s="35"/>
      <c r="AG92" s="35"/>
      <c r="AH92" s="35"/>
      <c r="AI92" s="35"/>
      <c r="AJ92" s="35"/>
      <c r="AK92" s="35"/>
      <c r="AL92" s="35"/>
      <c r="AM92" s="35"/>
      <c r="AN92" s="35"/>
      <c r="AO92" s="35"/>
      <c r="AP92" s="35"/>
      <c r="AQ92" s="35"/>
      <c r="AR92" s="35"/>
      <c r="AS92" s="35"/>
      <c r="AT92" s="35"/>
      <c r="AU92" s="35"/>
      <c r="AV92" s="35"/>
      <c r="AW92" s="35"/>
      <c r="AX92" s="35"/>
      <c r="AY92" s="35"/>
      <c r="AZ92" s="35"/>
      <c r="BA92" s="35"/>
      <c r="BB92" s="35"/>
    </row>
    <row r="93" spans="1:54" s="5" customFormat="1" x14ac:dyDescent="0.25">
      <c r="A93" s="32"/>
      <c r="B93" s="32"/>
      <c r="C93" s="32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3"/>
      <c r="AY93" s="33"/>
      <c r="AZ93" s="33"/>
      <c r="BA93" s="33"/>
      <c r="BB93" s="33"/>
    </row>
    <row r="94" spans="1:54" s="5" customFormat="1" x14ac:dyDescent="0.25">
      <c r="A94" s="34"/>
      <c r="B94" s="34"/>
      <c r="C94" s="34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35"/>
      <c r="AE94" s="35"/>
      <c r="AF94" s="35"/>
      <c r="AG94" s="35"/>
      <c r="AH94" s="35"/>
      <c r="AI94" s="35"/>
      <c r="AJ94" s="35"/>
      <c r="AK94" s="35"/>
      <c r="AL94" s="35"/>
      <c r="AM94" s="35"/>
      <c r="AN94" s="35"/>
      <c r="AO94" s="35"/>
      <c r="AP94" s="35"/>
      <c r="AQ94" s="35"/>
      <c r="AR94" s="35"/>
      <c r="AS94" s="35"/>
      <c r="AT94" s="35"/>
      <c r="AU94" s="35"/>
      <c r="AV94" s="35"/>
      <c r="AW94" s="35"/>
      <c r="AX94" s="35"/>
      <c r="AY94" s="35"/>
      <c r="AZ94" s="35"/>
      <c r="BA94" s="35"/>
      <c r="BB94" s="35"/>
    </row>
    <row r="95" spans="1:54" x14ac:dyDescent="0.25">
      <c r="A95" s="34"/>
      <c r="B95" s="32"/>
      <c r="C95" s="32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6"/>
      <c r="T95" s="36"/>
      <c r="U95" s="36"/>
      <c r="V95" s="36"/>
      <c r="W95" s="33"/>
      <c r="X95" s="33"/>
      <c r="Y95" s="33"/>
      <c r="Z95" s="36"/>
      <c r="AA95" s="33"/>
      <c r="AB95" s="36"/>
      <c r="AC95" s="36"/>
      <c r="AD95" s="36"/>
      <c r="AE95" s="33"/>
      <c r="AF95" s="33"/>
      <c r="AG95" s="33"/>
      <c r="AH95" s="36"/>
      <c r="AI95" s="33"/>
      <c r="AJ95" s="36"/>
      <c r="AK95" s="36"/>
      <c r="AL95" s="36"/>
      <c r="AM95" s="36"/>
      <c r="AN95" s="36"/>
      <c r="AO95" s="36"/>
      <c r="AP95" s="36"/>
      <c r="AQ95" s="36"/>
      <c r="AR95" s="36"/>
      <c r="AS95" s="36"/>
      <c r="AT95" s="36"/>
      <c r="AU95" s="36"/>
      <c r="AV95" s="36"/>
      <c r="AW95" s="36"/>
      <c r="AX95" s="36"/>
      <c r="AY95" s="36"/>
      <c r="AZ95" s="36"/>
      <c r="BA95" s="36"/>
      <c r="BB95" s="36"/>
    </row>
    <row r="96" spans="1:54" s="5" customFormat="1" x14ac:dyDescent="0.25">
      <c r="A96" s="34"/>
      <c r="B96" s="34"/>
      <c r="C96" s="34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AU96" s="35"/>
      <c r="AV96" s="35"/>
      <c r="AW96" s="35"/>
      <c r="AX96" s="35"/>
      <c r="AY96" s="35"/>
      <c r="AZ96" s="35"/>
      <c r="BA96" s="35"/>
      <c r="BB96" s="35"/>
    </row>
    <row r="97" spans="1:54" x14ac:dyDescent="0.25">
      <c r="A97" s="34"/>
      <c r="B97" s="32"/>
      <c r="C97" s="32"/>
      <c r="D97" s="33"/>
      <c r="E97" s="33"/>
      <c r="F97" s="33"/>
      <c r="G97" s="33"/>
      <c r="H97" s="33"/>
      <c r="I97" s="33"/>
      <c r="J97" s="36"/>
      <c r="K97" s="33"/>
      <c r="L97" s="36"/>
      <c r="M97" s="36"/>
      <c r="N97" s="36"/>
      <c r="O97" s="36"/>
      <c r="P97" s="36"/>
      <c r="Q97" s="36"/>
      <c r="R97" s="33"/>
      <c r="S97" s="36"/>
      <c r="T97" s="36"/>
      <c r="U97" s="36"/>
      <c r="V97" s="36"/>
      <c r="W97" s="36"/>
      <c r="X97" s="36"/>
      <c r="Y97" s="33"/>
      <c r="Z97" s="36"/>
      <c r="AA97" s="36"/>
      <c r="AB97" s="36"/>
      <c r="AC97" s="36"/>
      <c r="AD97" s="36"/>
      <c r="AE97" s="36"/>
      <c r="AF97" s="33"/>
      <c r="AG97" s="33"/>
      <c r="AH97" s="36"/>
      <c r="AI97" s="36"/>
      <c r="AJ97" s="36"/>
      <c r="AK97" s="36"/>
      <c r="AL97" s="36"/>
      <c r="AM97" s="36"/>
      <c r="AN97" s="36"/>
      <c r="AO97" s="36"/>
      <c r="AP97" s="36"/>
      <c r="AQ97" s="36"/>
      <c r="AR97" s="36"/>
      <c r="AS97" s="36"/>
      <c r="AT97" s="36"/>
      <c r="AU97" s="36"/>
      <c r="AV97" s="36"/>
      <c r="AW97" s="36"/>
      <c r="AX97" s="36"/>
      <c r="AY97" s="36"/>
      <c r="AZ97" s="36"/>
      <c r="BA97" s="36"/>
      <c r="BB97" s="36"/>
    </row>
    <row r="98" spans="1:54" s="5" customFormat="1" x14ac:dyDescent="0.25">
      <c r="A98" s="32"/>
      <c r="B98" s="32"/>
      <c r="C98" s="32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  <c r="AA98" s="36"/>
      <c r="AB98" s="36"/>
      <c r="AC98" s="36"/>
      <c r="AD98" s="36"/>
      <c r="AE98" s="36"/>
      <c r="AF98" s="36"/>
      <c r="AG98" s="36"/>
      <c r="AH98" s="36"/>
      <c r="AI98" s="36"/>
      <c r="AJ98" s="36"/>
      <c r="AK98" s="36"/>
      <c r="AL98" s="36"/>
      <c r="AM98" s="36"/>
      <c r="AN98" s="36"/>
      <c r="AO98" s="36"/>
      <c r="AP98" s="36"/>
      <c r="AQ98" s="36"/>
      <c r="AR98" s="36"/>
      <c r="AS98" s="36"/>
      <c r="AT98" s="36"/>
      <c r="AU98" s="36"/>
      <c r="AV98" s="36"/>
      <c r="AW98" s="36"/>
      <c r="AX98" s="36"/>
      <c r="AY98" s="36"/>
      <c r="AZ98" s="36"/>
      <c r="BA98" s="36"/>
      <c r="BB98" s="36"/>
    </row>
    <row r="99" spans="1:54" x14ac:dyDescent="0.25">
      <c r="A99" s="34"/>
      <c r="B99" s="34"/>
      <c r="C99" s="34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</row>
    <row r="100" spans="1:54" s="5" customFormat="1" x14ac:dyDescent="0.25">
      <c r="A100" s="32"/>
      <c r="B100" s="32"/>
      <c r="C100" s="32"/>
      <c r="D100" s="36"/>
      <c r="E100" s="36"/>
      <c r="F100" s="36"/>
      <c r="G100" s="36"/>
      <c r="H100" s="36"/>
      <c r="I100" s="36"/>
      <c r="J100" s="36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6"/>
      <c r="W100" s="36"/>
      <c r="X100" s="36"/>
      <c r="Y100" s="36"/>
      <c r="Z100" s="36"/>
      <c r="AA100" s="36"/>
      <c r="AB100" s="36"/>
      <c r="AC100" s="36"/>
      <c r="AD100" s="36"/>
      <c r="AE100" s="36"/>
      <c r="AF100" s="36"/>
      <c r="AG100" s="36"/>
      <c r="AH100" s="36"/>
      <c r="AI100" s="36"/>
      <c r="AJ100" s="36"/>
      <c r="AK100" s="36"/>
      <c r="AL100" s="36"/>
      <c r="AM100" s="36"/>
      <c r="AN100" s="36"/>
      <c r="AO100" s="36"/>
      <c r="AP100" s="36"/>
      <c r="AQ100" s="36"/>
      <c r="AR100" s="36"/>
      <c r="AS100" s="36"/>
      <c r="AT100" s="36"/>
      <c r="AU100" s="36"/>
      <c r="AV100" s="36"/>
      <c r="AW100" s="36"/>
      <c r="AX100" s="36"/>
      <c r="AY100" s="36"/>
      <c r="AZ100" s="36"/>
      <c r="BA100" s="36"/>
      <c r="BB100" s="36"/>
    </row>
    <row r="101" spans="1:54" x14ac:dyDescent="0.25">
      <c r="A101" s="34"/>
      <c r="B101" s="34"/>
      <c r="C101" s="34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7"/>
      <c r="R101" s="37"/>
      <c r="S101" s="37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  <c r="AD101" s="37"/>
      <c r="AE101" s="37"/>
      <c r="AF101" s="37"/>
      <c r="AG101" s="37"/>
      <c r="AH101" s="37"/>
      <c r="AI101" s="37"/>
      <c r="AJ101" s="37"/>
      <c r="AK101" s="37"/>
      <c r="AL101" s="37"/>
      <c r="AM101" s="37"/>
      <c r="AN101" s="37"/>
      <c r="AO101" s="37"/>
      <c r="AP101" s="37"/>
      <c r="AQ101" s="37"/>
      <c r="AR101" s="37"/>
      <c r="AS101" s="37"/>
      <c r="AT101" s="37"/>
      <c r="AU101" s="37"/>
      <c r="AV101" s="37"/>
      <c r="AW101" s="37"/>
      <c r="AX101" s="37"/>
      <c r="AY101" s="37"/>
      <c r="AZ101" s="37"/>
      <c r="BA101" s="37"/>
      <c r="BB101" s="37"/>
    </row>
    <row r="102" spans="1:54" s="5" customFormat="1" x14ac:dyDescent="0.25">
      <c r="A102" s="32"/>
      <c r="B102" s="32"/>
      <c r="C102" s="32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  <c r="AJ102" s="36"/>
      <c r="AK102" s="36"/>
      <c r="AL102" s="36"/>
      <c r="AM102" s="36"/>
      <c r="AN102" s="36"/>
      <c r="AO102" s="36"/>
      <c r="AP102" s="36"/>
      <c r="AQ102" s="36"/>
      <c r="AR102" s="36"/>
      <c r="AS102" s="36"/>
      <c r="AT102" s="36"/>
      <c r="AU102" s="36"/>
      <c r="AV102" s="36"/>
      <c r="AW102" s="36"/>
      <c r="AX102" s="36"/>
      <c r="AY102" s="36"/>
      <c r="AZ102" s="36"/>
      <c r="BA102" s="36"/>
      <c r="BB102" s="36"/>
    </row>
    <row r="103" spans="1:54" x14ac:dyDescent="0.25">
      <c r="A103" s="34"/>
      <c r="B103" s="34"/>
      <c r="C103" s="34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7"/>
      <c r="R103" s="35"/>
      <c r="S103" s="35"/>
      <c r="T103" s="35"/>
      <c r="U103" s="35"/>
      <c r="V103" s="37"/>
      <c r="W103" s="37"/>
      <c r="X103" s="35"/>
      <c r="Y103" s="37"/>
      <c r="Z103" s="37"/>
      <c r="AA103" s="35"/>
      <c r="AB103" s="35"/>
      <c r="AC103" s="35"/>
      <c r="AD103" s="37"/>
      <c r="AE103" s="35"/>
      <c r="AF103" s="35"/>
      <c r="AG103" s="35"/>
      <c r="AH103" s="35"/>
      <c r="AI103" s="35"/>
      <c r="AJ103" s="35"/>
      <c r="AK103" s="35"/>
      <c r="AL103" s="37"/>
      <c r="AM103" s="37"/>
      <c r="AN103" s="35"/>
      <c r="AO103" s="35"/>
      <c r="AP103" s="35"/>
      <c r="AQ103" s="35"/>
      <c r="AR103" s="35"/>
      <c r="AS103" s="35"/>
      <c r="AT103" s="35"/>
      <c r="AU103" s="35"/>
      <c r="AV103" s="35"/>
      <c r="AW103" s="35"/>
      <c r="AX103" s="35"/>
      <c r="AY103" s="35"/>
      <c r="AZ103" s="35"/>
      <c r="BA103" s="37"/>
      <c r="BB103" s="37"/>
    </row>
    <row r="104" spans="1:54" s="5" customFormat="1" x14ac:dyDescent="0.25">
      <c r="A104" s="32"/>
      <c r="B104" s="32"/>
      <c r="C104" s="32"/>
      <c r="D104" s="33"/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  <c r="AA104" s="33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3"/>
      <c r="AN104" s="36"/>
      <c r="AO104" s="36"/>
      <c r="AP104" s="36"/>
      <c r="AQ104" s="36"/>
      <c r="AR104" s="36"/>
      <c r="AS104" s="36"/>
      <c r="AT104" s="36"/>
      <c r="AU104" s="36"/>
      <c r="AV104" s="36"/>
      <c r="AW104" s="36"/>
      <c r="AX104" s="36"/>
      <c r="AY104" s="33"/>
      <c r="AZ104" s="33"/>
      <c r="BA104" s="33"/>
      <c r="BB104" s="33"/>
    </row>
    <row r="105" spans="1:54" x14ac:dyDescent="0.25">
      <c r="A105" s="34"/>
      <c r="B105" s="34"/>
      <c r="C105" s="34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V105" s="37"/>
      <c r="W105" s="37"/>
      <c r="X105" s="37"/>
      <c r="Y105" s="37"/>
      <c r="Z105" s="37"/>
      <c r="AA105" s="37"/>
      <c r="AB105" s="37"/>
      <c r="AC105" s="37"/>
      <c r="AD105" s="37"/>
      <c r="AE105" s="37"/>
      <c r="AF105" s="37"/>
      <c r="AG105" s="37"/>
      <c r="AH105" s="37"/>
      <c r="AI105" s="37"/>
      <c r="AJ105" s="37"/>
      <c r="AK105" s="37"/>
      <c r="AL105" s="37"/>
      <c r="AM105" s="37"/>
      <c r="AN105" s="37"/>
      <c r="AO105" s="37"/>
      <c r="AP105" s="37"/>
      <c r="AQ105" s="37"/>
      <c r="AR105" s="37"/>
      <c r="AS105" s="37"/>
      <c r="AT105" s="37"/>
      <c r="AU105" s="37"/>
      <c r="AV105" s="37"/>
      <c r="AW105" s="37"/>
      <c r="AX105" s="37"/>
      <c r="AY105" s="37"/>
      <c r="AZ105" s="37"/>
      <c r="BA105" s="37"/>
      <c r="BB105" s="37"/>
    </row>
    <row r="106" spans="1:54" s="5" customFormat="1" x14ac:dyDescent="0.25">
      <c r="A106" s="32"/>
      <c r="B106" s="32"/>
      <c r="C106" s="32"/>
      <c r="D106" s="36"/>
      <c r="E106" s="36"/>
      <c r="F106" s="36"/>
      <c r="G106" s="36"/>
      <c r="H106" s="36"/>
      <c r="I106" s="36"/>
      <c r="J106" s="36"/>
      <c r="K106" s="36"/>
      <c r="L106" s="36"/>
      <c r="M106" s="36"/>
      <c r="N106" s="36"/>
      <c r="O106" s="36"/>
      <c r="P106" s="36"/>
      <c r="Q106" s="36"/>
      <c r="R106" s="36"/>
      <c r="S106" s="36"/>
      <c r="T106" s="36"/>
      <c r="U106" s="36"/>
      <c r="V106" s="36"/>
      <c r="W106" s="36"/>
      <c r="X106" s="36"/>
      <c r="Y106" s="36"/>
      <c r="Z106" s="36"/>
      <c r="AA106" s="36"/>
      <c r="AB106" s="36"/>
      <c r="AC106" s="36"/>
      <c r="AD106" s="36"/>
      <c r="AE106" s="36"/>
      <c r="AF106" s="36"/>
      <c r="AG106" s="36"/>
      <c r="AH106" s="36"/>
      <c r="AI106" s="36"/>
      <c r="AJ106" s="36"/>
      <c r="AK106" s="36"/>
      <c r="AL106" s="36"/>
      <c r="AM106" s="36"/>
      <c r="AN106" s="36"/>
      <c r="AO106" s="36"/>
      <c r="AP106" s="36"/>
      <c r="AQ106" s="36"/>
      <c r="AR106" s="36"/>
      <c r="AS106" s="36"/>
      <c r="AT106" s="36"/>
      <c r="AU106" s="36"/>
      <c r="AV106" s="36"/>
      <c r="AW106" s="36"/>
      <c r="AX106" s="36"/>
      <c r="AY106" s="36"/>
      <c r="AZ106" s="36"/>
      <c r="BA106" s="36"/>
      <c r="BB106" s="36"/>
    </row>
    <row r="107" spans="1:54" x14ac:dyDescent="0.25">
      <c r="A107" s="34"/>
      <c r="B107" s="34"/>
      <c r="C107" s="34"/>
      <c r="D107" s="35"/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7"/>
      <c r="Q107" s="37"/>
      <c r="R107" s="35"/>
      <c r="S107" s="35"/>
      <c r="T107" s="35"/>
      <c r="U107" s="37"/>
      <c r="V107" s="37"/>
      <c r="W107" s="37"/>
      <c r="X107" s="37"/>
      <c r="Y107" s="37"/>
      <c r="Z107" s="37"/>
      <c r="AA107" s="35"/>
      <c r="AB107" s="35"/>
      <c r="AC107" s="35"/>
      <c r="AD107" s="35"/>
      <c r="AE107" s="35"/>
      <c r="AF107" s="37"/>
      <c r="AG107" s="37"/>
      <c r="AH107" s="37"/>
      <c r="AI107" s="37"/>
      <c r="AJ107" s="35"/>
      <c r="AK107" s="35"/>
      <c r="AL107" s="37"/>
      <c r="AM107" s="37"/>
      <c r="AN107" s="37"/>
      <c r="AO107" s="37"/>
      <c r="AP107" s="35"/>
      <c r="AQ107" s="35"/>
      <c r="AR107" s="35"/>
      <c r="AS107" s="35"/>
      <c r="AT107" s="37"/>
      <c r="AU107" s="37"/>
      <c r="AV107" s="37"/>
      <c r="AW107" s="37"/>
      <c r="AX107" s="37"/>
      <c r="AY107" s="37"/>
      <c r="AZ107" s="37"/>
      <c r="BA107" s="37"/>
      <c r="BB107" s="37"/>
    </row>
    <row r="108" spans="1:54" s="5" customFormat="1" x14ac:dyDescent="0.25">
      <c r="A108" s="32"/>
      <c r="B108" s="32"/>
      <c r="C108" s="32"/>
      <c r="D108" s="33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6"/>
      <c r="AD108" s="36"/>
      <c r="AE108" s="36"/>
      <c r="AF108" s="36"/>
      <c r="AG108" s="33"/>
      <c r="AH108" s="33"/>
      <c r="AI108" s="33"/>
      <c r="AJ108" s="33"/>
      <c r="AK108" s="33"/>
      <c r="AL108" s="33"/>
      <c r="AM108" s="33"/>
      <c r="AN108" s="33"/>
      <c r="AO108" s="33"/>
      <c r="AP108" s="33"/>
      <c r="AQ108" s="36"/>
      <c r="AR108" s="33"/>
      <c r="AS108" s="33"/>
      <c r="AT108" s="33"/>
      <c r="AU108" s="33"/>
      <c r="AV108" s="33"/>
      <c r="AW108" s="33"/>
      <c r="AX108" s="33"/>
      <c r="AY108" s="33"/>
      <c r="AZ108" s="33"/>
      <c r="BA108" s="33"/>
      <c r="BB108" s="33"/>
    </row>
    <row r="109" spans="1:54" x14ac:dyDescent="0.25">
      <c r="A109" s="34"/>
      <c r="B109" s="34"/>
      <c r="C109" s="34"/>
      <c r="D109" s="37"/>
      <c r="E109" s="37"/>
      <c r="F109" s="37"/>
      <c r="G109" s="37"/>
      <c r="H109" s="37"/>
      <c r="I109" s="37"/>
      <c r="J109" s="37"/>
      <c r="K109" s="37"/>
      <c r="L109" s="37"/>
      <c r="M109" s="37"/>
      <c r="N109" s="37"/>
      <c r="O109" s="37"/>
      <c r="P109" s="37"/>
      <c r="Q109" s="37"/>
      <c r="R109" s="37"/>
      <c r="S109" s="37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  <c r="AD109" s="37"/>
      <c r="AE109" s="37"/>
      <c r="AF109" s="37"/>
      <c r="AG109" s="37"/>
      <c r="AH109" s="37"/>
      <c r="AI109" s="37"/>
      <c r="AJ109" s="37"/>
      <c r="AK109" s="37"/>
      <c r="AL109" s="37"/>
      <c r="AM109" s="37"/>
      <c r="AN109" s="37"/>
      <c r="AO109" s="37"/>
      <c r="AP109" s="37"/>
      <c r="AQ109" s="37"/>
      <c r="AR109" s="37"/>
      <c r="AS109" s="37"/>
      <c r="AT109" s="37"/>
      <c r="AU109" s="37"/>
      <c r="AV109" s="37"/>
      <c r="AW109" s="37"/>
      <c r="AX109" s="37"/>
      <c r="AY109" s="37"/>
      <c r="AZ109" s="37"/>
      <c r="BA109" s="37"/>
      <c r="BB109" s="37"/>
    </row>
    <row r="110" spans="1:54" s="5" customFormat="1" x14ac:dyDescent="0.25">
      <c r="A110" s="32"/>
      <c r="B110" s="32"/>
      <c r="C110" s="32"/>
      <c r="D110" s="33"/>
      <c r="E110" s="33"/>
      <c r="F110" s="33"/>
      <c r="G110" s="33"/>
      <c r="H110" s="36"/>
      <c r="I110" s="36"/>
      <c r="J110" s="36"/>
      <c r="K110" s="36"/>
      <c r="L110" s="36"/>
      <c r="M110" s="36"/>
      <c r="N110" s="36"/>
      <c r="O110" s="36"/>
      <c r="P110" s="36"/>
      <c r="Q110" s="36"/>
      <c r="R110" s="36"/>
      <c r="S110" s="36"/>
      <c r="T110" s="36"/>
      <c r="U110" s="36"/>
      <c r="V110" s="36"/>
      <c r="W110" s="36"/>
      <c r="X110" s="36"/>
      <c r="Y110" s="36"/>
      <c r="Z110" s="36"/>
      <c r="AA110" s="36"/>
      <c r="AB110" s="36"/>
      <c r="AC110" s="36"/>
      <c r="AD110" s="36"/>
      <c r="AE110" s="36"/>
      <c r="AF110" s="36"/>
      <c r="AG110" s="36"/>
      <c r="AH110" s="36"/>
      <c r="AI110" s="36"/>
      <c r="AJ110" s="36"/>
      <c r="AK110" s="36"/>
      <c r="AL110" s="36"/>
      <c r="AM110" s="36"/>
      <c r="AN110" s="36"/>
      <c r="AO110" s="36"/>
      <c r="AP110" s="36"/>
      <c r="AQ110" s="36"/>
      <c r="AR110" s="36"/>
      <c r="AS110" s="36"/>
      <c r="AT110" s="36"/>
      <c r="AU110" s="36"/>
      <c r="AV110" s="36"/>
      <c r="AW110" s="36"/>
      <c r="AX110" s="36"/>
      <c r="AY110" s="36"/>
      <c r="AZ110" s="36"/>
      <c r="BA110" s="36"/>
      <c r="BB110" s="36"/>
    </row>
    <row r="111" spans="1:54" x14ac:dyDescent="0.25">
      <c r="A111" s="34"/>
      <c r="B111" s="34"/>
      <c r="C111" s="34"/>
      <c r="D111" s="35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5"/>
      <c r="U111" s="35"/>
      <c r="V111" s="35"/>
      <c r="W111" s="35"/>
      <c r="X111" s="35"/>
      <c r="Y111" s="35"/>
      <c r="Z111" s="35"/>
      <c r="AA111" s="35"/>
      <c r="AB111" s="35"/>
      <c r="AC111" s="35"/>
      <c r="AD111" s="35"/>
      <c r="AE111" s="35"/>
      <c r="AF111" s="35"/>
      <c r="AG111" s="35"/>
      <c r="AH111" s="35"/>
      <c r="AI111" s="35"/>
      <c r="AJ111" s="35"/>
      <c r="AK111" s="35"/>
      <c r="AL111" s="35"/>
      <c r="AM111" s="35"/>
      <c r="AN111" s="37"/>
      <c r="AO111" s="37"/>
      <c r="AP111" s="37"/>
      <c r="AQ111" s="37"/>
      <c r="AR111" s="37"/>
      <c r="AS111" s="37"/>
      <c r="AT111" s="37"/>
      <c r="AU111" s="37"/>
      <c r="AV111" s="37"/>
      <c r="AW111" s="37"/>
      <c r="AX111" s="37"/>
      <c r="AY111" s="37"/>
      <c r="AZ111" s="37"/>
      <c r="BA111" s="37"/>
      <c r="BB111" s="37"/>
    </row>
    <row r="112" spans="1:54" s="5" customFormat="1" x14ac:dyDescent="0.25">
      <c r="A112" s="32"/>
      <c r="B112" s="32"/>
      <c r="C112" s="32"/>
      <c r="D112" s="33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  <c r="AA112" s="33"/>
      <c r="AB112" s="36"/>
      <c r="AC112" s="36"/>
      <c r="AD112" s="36"/>
      <c r="AE112" s="36"/>
      <c r="AF112" s="36"/>
      <c r="AG112" s="36"/>
      <c r="AH112" s="36"/>
      <c r="AI112" s="36"/>
      <c r="AJ112" s="33"/>
      <c r="AK112" s="36"/>
      <c r="AL112" s="33"/>
      <c r="AM112" s="33"/>
      <c r="AN112" s="33"/>
      <c r="AO112" s="33"/>
      <c r="AP112" s="33"/>
      <c r="AQ112" s="33"/>
      <c r="AR112" s="33"/>
      <c r="AS112" s="33"/>
      <c r="AT112" s="33"/>
      <c r="AU112" s="33"/>
      <c r="AV112" s="33"/>
      <c r="AW112" s="33"/>
      <c r="AX112" s="33"/>
      <c r="AY112" s="33"/>
      <c r="AZ112" s="33"/>
      <c r="BA112" s="33"/>
      <c r="BB112" s="33"/>
    </row>
    <row r="113" spans="1:54" x14ac:dyDescent="0.25">
      <c r="A113" s="34"/>
      <c r="B113" s="34"/>
      <c r="C113" s="34"/>
      <c r="D113" s="35"/>
      <c r="E113" s="35"/>
      <c r="F113" s="35"/>
      <c r="G113" s="35"/>
      <c r="H113" s="37"/>
      <c r="I113" s="37"/>
      <c r="J113" s="37"/>
      <c r="K113" s="37"/>
      <c r="L113" s="37"/>
      <c r="M113" s="37"/>
      <c r="N113" s="37"/>
      <c r="O113" s="37"/>
      <c r="P113" s="37"/>
      <c r="Q113" s="37"/>
      <c r="R113" s="37"/>
      <c r="S113" s="37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  <c r="AD113" s="37"/>
      <c r="AE113" s="37"/>
      <c r="AF113" s="37"/>
      <c r="AG113" s="37"/>
      <c r="AH113" s="37"/>
      <c r="AI113" s="37"/>
      <c r="AJ113" s="37"/>
      <c r="AK113" s="37"/>
      <c r="AL113" s="37"/>
      <c r="AM113" s="37"/>
      <c r="AN113" s="37"/>
      <c r="AO113" s="37"/>
      <c r="AP113" s="37"/>
      <c r="AQ113" s="37"/>
      <c r="AR113" s="37"/>
      <c r="AS113" s="37"/>
      <c r="AT113" s="37"/>
      <c r="AU113" s="37"/>
      <c r="AV113" s="37"/>
      <c r="AW113" s="37"/>
      <c r="AX113" s="37"/>
      <c r="AY113" s="37"/>
      <c r="AZ113" s="37"/>
      <c r="BA113" s="37"/>
      <c r="BB113" s="37"/>
    </row>
    <row r="114" spans="1:54" s="5" customFormat="1" x14ac:dyDescent="0.25">
      <c r="A114" s="32"/>
      <c r="B114" s="32"/>
      <c r="C114" s="32"/>
      <c r="D114" s="36"/>
      <c r="E114" s="36"/>
      <c r="F114" s="36"/>
      <c r="G114" s="36"/>
      <c r="H114" s="36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6"/>
      <c r="V114" s="36"/>
      <c r="W114" s="36"/>
      <c r="X114" s="36"/>
      <c r="Y114" s="36"/>
      <c r="Z114" s="36"/>
      <c r="AA114" s="36"/>
      <c r="AB114" s="36"/>
      <c r="AC114" s="36"/>
      <c r="AD114" s="36"/>
      <c r="AE114" s="36"/>
      <c r="AF114" s="36"/>
      <c r="AG114" s="36"/>
      <c r="AH114" s="36"/>
      <c r="AI114" s="36"/>
      <c r="AJ114" s="36"/>
      <c r="AK114" s="36"/>
      <c r="AL114" s="36"/>
      <c r="AM114" s="36"/>
      <c r="AN114" s="36"/>
      <c r="AO114" s="36"/>
      <c r="AP114" s="36"/>
      <c r="AQ114" s="36"/>
      <c r="AR114" s="36"/>
      <c r="AS114" s="36"/>
      <c r="AT114" s="36"/>
      <c r="AU114" s="36"/>
      <c r="AV114" s="36"/>
      <c r="AW114" s="36"/>
      <c r="AX114" s="36"/>
      <c r="AY114" s="36"/>
      <c r="AZ114" s="36"/>
      <c r="BA114" s="36"/>
      <c r="BB114" s="36"/>
    </row>
    <row r="115" spans="1:54" x14ac:dyDescent="0.25">
      <c r="A115" s="34"/>
      <c r="B115" s="34"/>
      <c r="C115" s="34"/>
      <c r="D115" s="35"/>
      <c r="E115" s="35"/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35"/>
      <c r="AE115" s="35"/>
      <c r="AF115" s="37"/>
      <c r="AG115" s="35"/>
      <c r="AH115" s="35"/>
      <c r="AI115" s="35"/>
      <c r="AJ115" s="35"/>
      <c r="AK115" s="35"/>
      <c r="AL115" s="37"/>
      <c r="AM115" s="35"/>
      <c r="AN115" s="35"/>
      <c r="AO115" s="35"/>
      <c r="AP115" s="35"/>
      <c r="AQ115" s="35"/>
      <c r="AR115" s="35"/>
      <c r="AS115" s="35"/>
      <c r="AT115" s="35"/>
      <c r="AU115" s="37"/>
      <c r="AV115" s="35"/>
      <c r="AW115" s="35"/>
      <c r="AX115" s="35"/>
      <c r="AY115" s="35"/>
      <c r="AZ115" s="35"/>
      <c r="BA115" s="35"/>
      <c r="BB115" s="35"/>
    </row>
    <row r="116" spans="1:54" s="5" customFormat="1" x14ac:dyDescent="0.25">
      <c r="A116" s="32"/>
      <c r="B116" s="32"/>
      <c r="C116" s="32"/>
      <c r="D116" s="33"/>
      <c r="E116" s="33"/>
      <c r="F116" s="33"/>
      <c r="G116" s="33"/>
      <c r="H116" s="33"/>
      <c r="I116" s="36"/>
      <c r="J116" s="36"/>
      <c r="K116" s="36"/>
      <c r="L116" s="36"/>
      <c r="M116" s="36"/>
      <c r="N116" s="36"/>
      <c r="O116" s="36"/>
      <c r="P116" s="36"/>
      <c r="Q116" s="36"/>
      <c r="R116" s="36"/>
      <c r="S116" s="33"/>
      <c r="T116" s="36"/>
      <c r="U116" s="36"/>
      <c r="V116" s="36"/>
      <c r="W116" s="36"/>
      <c r="X116" s="33"/>
      <c r="Y116" s="33"/>
      <c r="Z116" s="33"/>
      <c r="AA116" s="36"/>
      <c r="AB116" s="36"/>
      <c r="AC116" s="33"/>
      <c r="AD116" s="36"/>
      <c r="AE116" s="33"/>
      <c r="AF116" s="33"/>
      <c r="AG116" s="33"/>
      <c r="AH116" s="33"/>
      <c r="AI116" s="33"/>
      <c r="AJ116" s="36"/>
      <c r="AK116" s="36"/>
      <c r="AL116" s="33"/>
      <c r="AM116" s="33"/>
      <c r="AN116" s="33"/>
      <c r="AO116" s="36"/>
      <c r="AP116" s="36"/>
      <c r="AQ116" s="36"/>
      <c r="AR116" s="36"/>
      <c r="AS116" s="36"/>
      <c r="AT116" s="36"/>
      <c r="AU116" s="33"/>
      <c r="AV116" s="33"/>
      <c r="AW116" s="36"/>
      <c r="AX116" s="36"/>
      <c r="AY116" s="33"/>
      <c r="AZ116" s="33"/>
      <c r="BA116" s="33"/>
      <c r="BB116" s="33"/>
    </row>
    <row r="117" spans="1:54" x14ac:dyDescent="0.25">
      <c r="A117" s="34"/>
      <c r="B117" s="34"/>
      <c r="C117" s="34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  <c r="AD117" s="37"/>
      <c r="AE117" s="37"/>
      <c r="AF117" s="37"/>
      <c r="AG117" s="37"/>
      <c r="AH117" s="37"/>
      <c r="AI117" s="37"/>
      <c r="AJ117" s="37"/>
      <c r="AK117" s="37"/>
      <c r="AL117" s="37"/>
      <c r="AM117" s="37"/>
      <c r="AN117" s="37"/>
      <c r="AO117" s="37"/>
      <c r="AP117" s="37"/>
      <c r="AQ117" s="37"/>
      <c r="AR117" s="37"/>
      <c r="AS117" s="37"/>
      <c r="AT117" s="37"/>
      <c r="AU117" s="37"/>
      <c r="AV117" s="37"/>
      <c r="AW117" s="37"/>
      <c r="AX117" s="37"/>
      <c r="AY117" s="37"/>
      <c r="AZ117" s="37"/>
      <c r="BA117" s="37"/>
      <c r="BB117" s="37"/>
    </row>
    <row r="118" spans="1:54" s="5" customFormat="1" x14ac:dyDescent="0.25">
      <c r="A118" s="32"/>
      <c r="B118" s="32"/>
      <c r="C118" s="32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  <c r="AE118" s="36"/>
      <c r="AF118" s="36"/>
      <c r="AG118" s="36"/>
      <c r="AH118" s="36"/>
      <c r="AI118" s="36"/>
      <c r="AJ118" s="36"/>
      <c r="AK118" s="36"/>
      <c r="AL118" s="36"/>
      <c r="AM118" s="36"/>
      <c r="AN118" s="36"/>
      <c r="AO118" s="36"/>
      <c r="AP118" s="36"/>
      <c r="AQ118" s="36"/>
      <c r="AR118" s="36"/>
      <c r="AS118" s="36"/>
      <c r="AT118" s="36"/>
      <c r="AU118" s="36"/>
      <c r="AV118" s="36"/>
      <c r="AW118" s="36"/>
      <c r="AX118" s="36"/>
      <c r="AY118" s="36"/>
      <c r="AZ118" s="36"/>
      <c r="BA118" s="36"/>
      <c r="BB118" s="36"/>
    </row>
    <row r="119" spans="1:54" x14ac:dyDescent="0.25">
      <c r="A119" s="34"/>
      <c r="B119" s="34"/>
      <c r="C119" s="34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  <c r="Y119" s="35"/>
      <c r="Z119" s="35"/>
      <c r="AA119" s="35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  <c r="AM119" s="35"/>
      <c r="AN119" s="35"/>
      <c r="AO119" s="35"/>
      <c r="AP119" s="35"/>
      <c r="AQ119" s="35"/>
      <c r="AR119" s="35"/>
      <c r="AS119" s="35"/>
      <c r="AT119" s="35"/>
      <c r="AU119" s="35"/>
      <c r="AV119" s="35"/>
      <c r="AW119" s="35"/>
      <c r="AX119" s="35"/>
      <c r="AY119" s="35"/>
      <c r="AZ119" s="35"/>
      <c r="BA119" s="35"/>
      <c r="BB119" s="35"/>
    </row>
    <row r="120" spans="1:54" s="5" customFormat="1" x14ac:dyDescent="0.25">
      <c r="A120" s="32"/>
      <c r="B120" s="32"/>
      <c r="C120" s="32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  <c r="AM120" s="33"/>
      <c r="AN120" s="33"/>
      <c r="AO120" s="33"/>
      <c r="AP120" s="33"/>
      <c r="AQ120" s="33"/>
      <c r="AR120" s="33"/>
      <c r="AS120" s="33"/>
      <c r="AT120" s="33"/>
      <c r="AU120" s="33"/>
      <c r="AV120" s="36"/>
      <c r="AW120" s="33"/>
      <c r="AX120" s="36"/>
      <c r="AY120" s="33"/>
      <c r="AZ120" s="33"/>
      <c r="BA120" s="33"/>
      <c r="BB120" s="33"/>
    </row>
    <row r="121" spans="1:54" x14ac:dyDescent="0.25">
      <c r="A121" s="34"/>
      <c r="B121" s="34"/>
      <c r="C121" s="34"/>
      <c r="D121" s="35"/>
      <c r="E121" s="35"/>
      <c r="F121" s="35"/>
      <c r="G121" s="35"/>
      <c r="H121" s="37"/>
      <c r="I121" s="35"/>
      <c r="J121" s="35"/>
      <c r="K121" s="35"/>
      <c r="L121" s="35"/>
      <c r="M121" s="37"/>
      <c r="N121" s="37"/>
      <c r="O121" s="37"/>
      <c r="P121" s="37"/>
      <c r="Q121" s="37"/>
      <c r="R121" s="37"/>
      <c r="S121" s="37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  <c r="AD121" s="37"/>
      <c r="AE121" s="37"/>
      <c r="AF121" s="37"/>
      <c r="AG121" s="37"/>
      <c r="AH121" s="37"/>
      <c r="AI121" s="37"/>
      <c r="AJ121" s="37"/>
      <c r="AK121" s="37"/>
      <c r="AL121" s="37"/>
      <c r="AM121" s="37"/>
      <c r="AN121" s="37"/>
      <c r="AO121" s="37"/>
      <c r="AP121" s="37"/>
      <c r="AQ121" s="37"/>
      <c r="AR121" s="37"/>
      <c r="AS121" s="37"/>
      <c r="AT121" s="37"/>
      <c r="AU121" s="37"/>
      <c r="AV121" s="37"/>
      <c r="AW121" s="37"/>
      <c r="AX121" s="37"/>
      <c r="AY121" s="37"/>
      <c r="AZ121" s="37"/>
      <c r="BA121" s="37"/>
      <c r="BB121" s="37"/>
    </row>
    <row r="122" spans="1:54" s="5" customFormat="1" x14ac:dyDescent="0.25">
      <c r="A122" s="32"/>
      <c r="B122" s="32"/>
      <c r="C122" s="32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  <c r="AM122" s="33"/>
      <c r="AN122" s="33"/>
      <c r="AO122" s="33"/>
      <c r="AP122" s="33"/>
      <c r="AQ122" s="33"/>
      <c r="AR122" s="33"/>
      <c r="AS122" s="33"/>
      <c r="AT122" s="33"/>
      <c r="AU122" s="33"/>
      <c r="AV122" s="33"/>
      <c r="AW122" s="33"/>
      <c r="AX122" s="33"/>
      <c r="AY122" s="33"/>
      <c r="AZ122" s="33"/>
      <c r="BA122" s="33"/>
      <c r="BB122" s="33"/>
    </row>
    <row r="123" spans="1:54" x14ac:dyDescent="0.25">
      <c r="A123" s="34"/>
      <c r="B123" s="34"/>
      <c r="C123" s="34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  <c r="AM123" s="35"/>
      <c r="AN123" s="35"/>
      <c r="AO123" s="35"/>
      <c r="AP123" s="35"/>
      <c r="AQ123" s="35"/>
      <c r="AR123" s="35"/>
      <c r="AS123" s="35"/>
      <c r="AT123" s="35"/>
      <c r="AU123" s="35"/>
      <c r="AV123" s="35"/>
      <c r="AW123" s="35"/>
      <c r="AX123" s="35"/>
      <c r="AY123" s="35"/>
      <c r="AZ123" s="35"/>
      <c r="BA123" s="35"/>
      <c r="BB123" s="35"/>
    </row>
    <row r="124" spans="1:54" s="5" customFormat="1" x14ac:dyDescent="0.25">
      <c r="A124" s="32"/>
      <c r="B124" s="32"/>
      <c r="C124" s="32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  <c r="AM124" s="33"/>
      <c r="AN124" s="33"/>
      <c r="AO124" s="33"/>
      <c r="AP124" s="33"/>
      <c r="AQ124" s="33"/>
      <c r="AR124" s="33"/>
      <c r="AS124" s="33"/>
      <c r="AT124" s="33"/>
      <c r="AU124" s="33"/>
      <c r="AV124" s="33"/>
      <c r="AW124" s="33"/>
      <c r="AX124" s="33"/>
      <c r="AY124" s="33"/>
      <c r="AZ124" s="33"/>
      <c r="BA124" s="33"/>
      <c r="BB124" s="33"/>
    </row>
    <row r="125" spans="1:54" x14ac:dyDescent="0.25">
      <c r="A125" s="34"/>
      <c r="B125" s="34"/>
      <c r="C125" s="34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  <c r="AA125" s="35"/>
      <c r="AB125" s="35"/>
      <c r="AC125" s="35"/>
      <c r="AD125" s="35"/>
      <c r="AE125" s="35"/>
      <c r="AF125" s="35"/>
      <c r="AG125" s="35"/>
      <c r="AH125" s="35"/>
      <c r="AI125" s="35"/>
      <c r="AJ125" s="35"/>
      <c r="AK125" s="35"/>
      <c r="AL125" s="35"/>
      <c r="AM125" s="35"/>
      <c r="AN125" s="35"/>
      <c r="AO125" s="35"/>
      <c r="AP125" s="35"/>
      <c r="AQ125" s="35"/>
      <c r="AR125" s="35"/>
      <c r="AS125" s="35"/>
      <c r="AT125" s="35"/>
      <c r="AU125" s="35"/>
      <c r="AV125" s="35"/>
      <c r="AW125" s="35"/>
      <c r="AX125" s="35"/>
      <c r="AY125" s="35"/>
      <c r="AZ125" s="35"/>
      <c r="BA125" s="35"/>
      <c r="BB125" s="35"/>
    </row>
    <row r="126" spans="1:54" s="5" customFormat="1" x14ac:dyDescent="0.25">
      <c r="A126" s="34"/>
      <c r="B126" s="34"/>
      <c r="C126" s="34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35"/>
      <c r="AE126" s="35"/>
      <c r="AF126" s="35"/>
      <c r="AG126" s="35"/>
      <c r="AH126" s="35"/>
      <c r="AI126" s="35"/>
      <c r="AJ126" s="37"/>
      <c r="AK126" s="37"/>
      <c r="AL126" s="37"/>
      <c r="AM126" s="37"/>
      <c r="AN126" s="37"/>
      <c r="AO126" s="37"/>
      <c r="AP126" s="37"/>
      <c r="AQ126" s="37"/>
      <c r="AR126" s="37"/>
      <c r="AS126" s="37"/>
      <c r="AT126" s="37"/>
      <c r="AU126" s="37"/>
      <c r="AV126" s="37"/>
      <c r="AW126" s="37"/>
      <c r="AX126" s="37"/>
      <c r="AY126" s="37"/>
      <c r="AZ126" s="37"/>
      <c r="BA126" s="37"/>
      <c r="BB126" s="37"/>
    </row>
    <row r="127" spans="1:54" x14ac:dyDescent="0.25">
      <c r="A127" s="34"/>
      <c r="B127" s="32"/>
      <c r="C127" s="32"/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  <c r="AF127" s="33"/>
      <c r="AG127" s="33"/>
      <c r="AH127" s="33"/>
      <c r="AI127" s="33"/>
      <c r="AJ127" s="33"/>
      <c r="AK127" s="33"/>
      <c r="AL127" s="33"/>
      <c r="AM127" s="33"/>
      <c r="AN127" s="36"/>
      <c r="AO127" s="33"/>
      <c r="AP127" s="33"/>
      <c r="AQ127" s="33"/>
      <c r="AR127" s="33"/>
      <c r="AS127" s="36"/>
      <c r="AT127" s="36"/>
      <c r="AU127" s="33"/>
      <c r="AV127" s="33"/>
      <c r="AW127" s="36"/>
      <c r="AX127" s="33"/>
      <c r="AY127" s="36"/>
      <c r="AZ127" s="36"/>
      <c r="BA127" s="33"/>
      <c r="BB127" s="36"/>
    </row>
    <row r="128" spans="1:54" s="5" customFormat="1" x14ac:dyDescent="0.25">
      <c r="A128" s="34"/>
      <c r="B128" s="34"/>
      <c r="C128" s="34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35"/>
      <c r="AE128" s="35"/>
      <c r="AF128" s="35"/>
      <c r="AG128" s="35"/>
      <c r="AH128" s="35"/>
      <c r="AI128" s="35"/>
      <c r="AJ128" s="35"/>
      <c r="AK128" s="35"/>
      <c r="AL128" s="35"/>
      <c r="AM128" s="35"/>
      <c r="AN128" s="35"/>
      <c r="AO128" s="35"/>
      <c r="AP128" s="35"/>
      <c r="AQ128" s="35"/>
      <c r="AR128" s="35"/>
      <c r="AS128" s="35"/>
      <c r="AT128" s="35"/>
      <c r="AU128" s="35"/>
      <c r="AV128" s="35"/>
      <c r="AW128" s="35"/>
      <c r="AX128" s="35"/>
      <c r="AY128" s="35"/>
      <c r="AZ128" s="35"/>
      <c r="BA128" s="35"/>
      <c r="BB128" s="35"/>
    </row>
    <row r="129" spans="1:54" x14ac:dyDescent="0.25">
      <c r="A129" s="34"/>
      <c r="B129" s="32"/>
      <c r="C129" s="32"/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6"/>
      <c r="W129" s="36"/>
      <c r="X129" s="36"/>
      <c r="Y129" s="36"/>
      <c r="Z129" s="36"/>
      <c r="AA129" s="36"/>
      <c r="AB129" s="36"/>
      <c r="AC129" s="36"/>
      <c r="AD129" s="36"/>
      <c r="AE129" s="36"/>
      <c r="AF129" s="36"/>
      <c r="AG129" s="36"/>
      <c r="AH129" s="36"/>
      <c r="AI129" s="36"/>
      <c r="AJ129" s="36"/>
      <c r="AK129" s="36"/>
      <c r="AL129" s="36"/>
      <c r="AM129" s="36"/>
      <c r="AN129" s="36"/>
      <c r="AO129" s="36"/>
      <c r="AP129" s="36"/>
      <c r="AQ129" s="36"/>
      <c r="AR129" s="36"/>
      <c r="AS129" s="36"/>
      <c r="AT129" s="36"/>
      <c r="AU129" s="36"/>
      <c r="AV129" s="36"/>
      <c r="AW129" s="36"/>
      <c r="AX129" s="36"/>
      <c r="AY129" s="36"/>
      <c r="AZ129" s="36"/>
      <c r="BA129" s="36"/>
      <c r="BB129" s="36"/>
    </row>
    <row r="130" spans="1:54" x14ac:dyDescent="0.25">
      <c r="A130" s="34"/>
      <c r="B130" s="34"/>
      <c r="C130" s="34"/>
      <c r="D130" s="37"/>
      <c r="E130" s="37"/>
      <c r="F130" s="37"/>
      <c r="G130" s="37"/>
      <c r="H130" s="37"/>
      <c r="I130" s="37"/>
      <c r="J130" s="37"/>
      <c r="K130" s="37"/>
      <c r="L130" s="37"/>
      <c r="M130" s="37"/>
      <c r="N130" s="37"/>
      <c r="O130" s="37"/>
      <c r="P130" s="37"/>
      <c r="Q130" s="37"/>
      <c r="R130" s="37"/>
      <c r="S130" s="37"/>
      <c r="T130" s="37"/>
      <c r="U130" s="37"/>
      <c r="V130" s="37"/>
      <c r="W130" s="37"/>
      <c r="X130" s="37"/>
      <c r="Y130" s="37"/>
      <c r="Z130" s="37"/>
      <c r="AA130" s="37"/>
      <c r="AB130" s="37"/>
      <c r="AC130" s="37"/>
      <c r="AD130" s="37"/>
      <c r="AE130" s="37"/>
      <c r="AF130" s="37"/>
      <c r="AG130" s="37"/>
      <c r="AH130" s="37"/>
      <c r="AI130" s="37"/>
      <c r="AJ130" s="37"/>
      <c r="AK130" s="37"/>
      <c r="AL130" s="37"/>
      <c r="AM130" s="37"/>
      <c r="AN130" s="37"/>
      <c r="AO130" s="37"/>
      <c r="AP130" s="37"/>
      <c r="AQ130" s="37"/>
      <c r="AR130" s="37"/>
      <c r="AS130" s="37"/>
      <c r="AT130" s="37"/>
      <c r="AU130" s="37"/>
      <c r="AV130" s="37"/>
      <c r="AW130" s="37"/>
      <c r="AX130" s="37"/>
      <c r="AY130" s="37"/>
      <c r="AZ130" s="37"/>
      <c r="BA130" s="37"/>
      <c r="BB130" s="37"/>
    </row>
    <row r="131" spans="1:54" s="5" customFormat="1" x14ac:dyDescent="0.25">
      <c r="A131" s="32"/>
      <c r="B131" s="32"/>
      <c r="C131" s="32"/>
      <c r="D131" s="33"/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  <c r="AA131" s="36"/>
      <c r="AB131" s="36"/>
      <c r="AC131" s="36"/>
      <c r="AD131" s="36"/>
      <c r="AE131" s="36"/>
      <c r="AF131" s="36"/>
      <c r="AG131" s="36"/>
      <c r="AH131" s="36"/>
      <c r="AI131" s="36"/>
      <c r="AJ131" s="36"/>
      <c r="AK131" s="36"/>
      <c r="AL131" s="36"/>
      <c r="AM131" s="36"/>
      <c r="AN131" s="36"/>
      <c r="AO131" s="36"/>
      <c r="AP131" s="36"/>
      <c r="AQ131" s="36"/>
      <c r="AR131" s="36"/>
      <c r="AS131" s="36"/>
      <c r="AT131" s="36"/>
      <c r="AU131" s="36"/>
      <c r="AV131" s="36"/>
      <c r="AW131" s="36"/>
      <c r="AX131" s="36"/>
      <c r="AY131" s="36"/>
      <c r="AZ131" s="36"/>
      <c r="BA131" s="36"/>
      <c r="BB131" s="36"/>
    </row>
    <row r="132" spans="1:54" x14ac:dyDescent="0.25">
      <c r="A132" s="34"/>
      <c r="B132" s="34"/>
      <c r="C132" s="34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35"/>
      <c r="AE132" s="35"/>
      <c r="AF132" s="35"/>
      <c r="AG132" s="35"/>
      <c r="AH132" s="35"/>
      <c r="AI132" s="35"/>
      <c r="AJ132" s="35"/>
      <c r="AK132" s="35"/>
      <c r="AL132" s="35"/>
      <c r="AM132" s="35"/>
      <c r="AN132" s="35"/>
      <c r="AO132" s="35"/>
      <c r="AP132" s="35"/>
      <c r="AQ132" s="35"/>
      <c r="AR132" s="35"/>
      <c r="AS132" s="35"/>
      <c r="AT132" s="35"/>
      <c r="AU132" s="35"/>
      <c r="AV132" s="35"/>
      <c r="AW132" s="35"/>
      <c r="AX132" s="35"/>
      <c r="AY132" s="35"/>
      <c r="AZ132" s="35"/>
      <c r="BA132" s="35"/>
      <c r="BB132" s="35"/>
    </row>
    <row r="133" spans="1:54" s="5" customFormat="1" x14ac:dyDescent="0.25">
      <c r="A133" s="32"/>
      <c r="B133" s="32"/>
      <c r="C133" s="32"/>
      <c r="D133" s="36"/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6"/>
      <c r="W133" s="36"/>
      <c r="X133" s="36"/>
      <c r="Y133" s="36"/>
      <c r="Z133" s="36"/>
      <c r="AA133" s="36"/>
      <c r="AB133" s="36"/>
      <c r="AC133" s="36"/>
      <c r="AD133" s="36"/>
      <c r="AE133" s="36"/>
      <c r="AF133" s="36"/>
      <c r="AG133" s="36"/>
      <c r="AH133" s="36"/>
      <c r="AI133" s="36"/>
      <c r="AJ133" s="36"/>
      <c r="AK133" s="36"/>
      <c r="AL133" s="36"/>
      <c r="AM133" s="36"/>
      <c r="AN133" s="36"/>
      <c r="AO133" s="36"/>
      <c r="AP133" s="36"/>
      <c r="AQ133" s="36"/>
      <c r="AR133" s="36"/>
      <c r="AS133" s="36"/>
      <c r="AT133" s="36"/>
      <c r="AU133" s="36"/>
      <c r="AV133" s="36"/>
      <c r="AW133" s="36"/>
      <c r="AX133" s="36"/>
      <c r="AY133" s="36"/>
      <c r="AZ133" s="36"/>
      <c r="BA133" s="36"/>
      <c r="BB133" s="36"/>
    </row>
    <row r="134" spans="1:54" x14ac:dyDescent="0.25">
      <c r="A134" s="34"/>
      <c r="B134" s="34"/>
      <c r="C134" s="34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35"/>
      <c r="AE134" s="35"/>
      <c r="AF134" s="35"/>
      <c r="AG134" s="35"/>
      <c r="AH134" s="35"/>
      <c r="AI134" s="35"/>
      <c r="AJ134" s="35"/>
      <c r="AK134" s="35"/>
      <c r="AL134" s="35"/>
      <c r="AM134" s="35"/>
      <c r="AN134" s="35"/>
      <c r="AO134" s="35"/>
      <c r="AP134" s="35"/>
      <c r="AQ134" s="37"/>
      <c r="AR134" s="37"/>
      <c r="AS134" s="37"/>
      <c r="AT134" s="37"/>
      <c r="AU134" s="37"/>
      <c r="AV134" s="37"/>
      <c r="AW134" s="37"/>
      <c r="AX134" s="37"/>
      <c r="AY134" s="37"/>
      <c r="AZ134" s="37"/>
      <c r="BA134" s="37"/>
      <c r="BB134" s="37"/>
    </row>
    <row r="135" spans="1:54" s="5" customFormat="1" x14ac:dyDescent="0.25">
      <c r="A135" s="32"/>
      <c r="B135" s="32"/>
      <c r="C135" s="32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F135" s="33"/>
      <c r="AG135" s="33"/>
      <c r="AH135" s="33"/>
      <c r="AI135" s="33"/>
      <c r="AJ135" s="33"/>
      <c r="AK135" s="33"/>
      <c r="AL135" s="33"/>
      <c r="AM135" s="33"/>
      <c r="AN135" s="33"/>
      <c r="AO135" s="33"/>
      <c r="AP135" s="33"/>
      <c r="AQ135" s="36"/>
      <c r="AR135" s="36"/>
      <c r="AS135" s="36"/>
      <c r="AT135" s="36"/>
      <c r="AU135" s="36"/>
      <c r="AV135" s="36"/>
      <c r="AW135" s="36"/>
      <c r="AX135" s="36"/>
      <c r="AY135" s="36"/>
      <c r="AZ135" s="36"/>
      <c r="BA135" s="36"/>
      <c r="BB135" s="36"/>
    </row>
    <row r="136" spans="1:54" x14ac:dyDescent="0.25">
      <c r="A136" s="34"/>
      <c r="B136" s="34"/>
      <c r="C136" s="34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35"/>
      <c r="AE136" s="35"/>
      <c r="AF136" s="35"/>
      <c r="AG136" s="35"/>
      <c r="AH136" s="35"/>
      <c r="AI136" s="35"/>
      <c r="AJ136" s="35"/>
      <c r="AK136" s="35"/>
      <c r="AL136" s="35"/>
      <c r="AM136" s="35"/>
      <c r="AN136" s="35"/>
      <c r="AO136" s="35"/>
      <c r="AP136" s="35"/>
      <c r="AQ136" s="37"/>
      <c r="AR136" s="35"/>
      <c r="AS136" s="37"/>
      <c r="AT136" s="35"/>
      <c r="AU136" s="35"/>
      <c r="AV136" s="35"/>
      <c r="AW136" s="35"/>
      <c r="AX136" s="35"/>
      <c r="AY136" s="35"/>
      <c r="AZ136" s="37"/>
      <c r="BA136" s="37"/>
      <c r="BB136" s="37"/>
    </row>
    <row r="137" spans="1:54" s="5" customFormat="1" x14ac:dyDescent="0.25">
      <c r="A137" s="32"/>
      <c r="B137" s="32"/>
      <c r="C137" s="32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F137" s="33"/>
      <c r="AG137" s="33"/>
      <c r="AH137" s="33"/>
      <c r="AI137" s="33"/>
      <c r="AJ137" s="33"/>
      <c r="AK137" s="33"/>
      <c r="AL137" s="33"/>
      <c r="AM137" s="33"/>
      <c r="AN137" s="33"/>
      <c r="AO137" s="33"/>
      <c r="AP137" s="33"/>
      <c r="AQ137" s="36"/>
      <c r="AR137" s="36"/>
      <c r="AS137" s="36"/>
      <c r="AT137" s="36"/>
      <c r="AU137" s="36"/>
      <c r="AV137" s="36"/>
      <c r="AW137" s="36"/>
      <c r="AX137" s="36"/>
      <c r="AY137" s="36"/>
      <c r="AZ137" s="36"/>
      <c r="BA137" s="36"/>
      <c r="BB137" s="36"/>
    </row>
    <row r="138" spans="1:54" x14ac:dyDescent="0.25">
      <c r="A138" s="34"/>
      <c r="B138" s="34"/>
      <c r="C138" s="34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35"/>
      <c r="AE138" s="35"/>
      <c r="AF138" s="35"/>
      <c r="AG138" s="35"/>
      <c r="AH138" s="35"/>
      <c r="AI138" s="35"/>
      <c r="AJ138" s="35"/>
      <c r="AK138" s="35"/>
      <c r="AL138" s="35"/>
      <c r="AM138" s="35"/>
      <c r="AN138" s="35"/>
      <c r="AO138" s="35"/>
      <c r="AP138" s="35"/>
      <c r="AQ138" s="37"/>
      <c r="AR138" s="37"/>
      <c r="AS138" s="37"/>
      <c r="AT138" s="35"/>
      <c r="AU138" s="35"/>
      <c r="AV138" s="37"/>
      <c r="AW138" s="37"/>
      <c r="AX138" s="37"/>
      <c r="AY138" s="35"/>
      <c r="AZ138" s="35"/>
      <c r="BA138" s="35"/>
      <c r="BB138" s="37"/>
    </row>
    <row r="139" spans="1:54" s="5" customFormat="1" x14ac:dyDescent="0.25">
      <c r="A139" s="32"/>
      <c r="B139" s="32"/>
      <c r="C139" s="32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F139" s="33"/>
      <c r="AG139" s="33"/>
      <c r="AH139" s="33"/>
      <c r="AI139" s="33"/>
      <c r="AJ139" s="33"/>
      <c r="AK139" s="33"/>
      <c r="AL139" s="33"/>
      <c r="AM139" s="33"/>
      <c r="AN139" s="33"/>
      <c r="AO139" s="33"/>
      <c r="AP139" s="33"/>
      <c r="AQ139" s="36"/>
      <c r="AR139" s="36"/>
      <c r="AS139" s="36"/>
      <c r="AT139" s="36"/>
      <c r="AU139" s="36"/>
      <c r="AV139" s="36"/>
      <c r="AW139" s="36"/>
      <c r="AX139" s="36"/>
      <c r="AY139" s="36"/>
      <c r="AZ139" s="36"/>
      <c r="BA139" s="36"/>
      <c r="BB139" s="36"/>
    </row>
    <row r="140" spans="1:54" x14ac:dyDescent="0.25">
      <c r="A140" s="34"/>
      <c r="B140" s="34"/>
      <c r="C140" s="34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  <c r="AE140" s="35"/>
      <c r="AF140" s="35"/>
      <c r="AG140" s="35"/>
      <c r="AH140" s="35"/>
      <c r="AI140" s="35"/>
      <c r="AJ140" s="35"/>
      <c r="AK140" s="35"/>
      <c r="AL140" s="35"/>
      <c r="AM140" s="35"/>
      <c r="AN140" s="35"/>
      <c r="AO140" s="35"/>
      <c r="AP140" s="35"/>
      <c r="AQ140" s="35"/>
      <c r="AR140" s="35"/>
      <c r="AS140" s="35"/>
      <c r="AT140" s="35"/>
      <c r="AU140" s="35"/>
      <c r="AV140" s="35"/>
      <c r="AW140" s="35"/>
      <c r="AX140" s="35"/>
      <c r="AY140" s="35"/>
      <c r="AZ140" s="35"/>
      <c r="BA140" s="35"/>
      <c r="BB140" s="35"/>
    </row>
    <row r="141" spans="1:54" s="5" customFormat="1" x14ac:dyDescent="0.25">
      <c r="A141" s="32"/>
      <c r="B141" s="32"/>
      <c r="C141" s="32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  <c r="AD141" s="33"/>
      <c r="AE141" s="33"/>
      <c r="AF141" s="33"/>
      <c r="AG141" s="33"/>
      <c r="AH141" s="33"/>
      <c r="AI141" s="33"/>
      <c r="AJ141" s="33"/>
      <c r="AK141" s="33"/>
      <c r="AL141" s="33"/>
      <c r="AM141" s="33"/>
      <c r="AN141" s="33"/>
      <c r="AO141" s="33"/>
      <c r="AP141" s="33"/>
      <c r="AQ141" s="36"/>
      <c r="AR141" s="36"/>
      <c r="AS141" s="36"/>
      <c r="AT141" s="36"/>
      <c r="AU141" s="36"/>
      <c r="AV141" s="36"/>
      <c r="AW141" s="36"/>
      <c r="AX141" s="36"/>
      <c r="AY141" s="36"/>
      <c r="AZ141" s="36"/>
      <c r="BA141" s="36"/>
      <c r="BB141" s="36"/>
    </row>
    <row r="142" spans="1:54" x14ac:dyDescent="0.25">
      <c r="A142" s="34"/>
      <c r="B142" s="34"/>
      <c r="C142" s="34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  <c r="AM142" s="35"/>
      <c r="AN142" s="35"/>
      <c r="AO142" s="35"/>
      <c r="AP142" s="35"/>
      <c r="AQ142" s="37"/>
      <c r="AR142" s="37"/>
      <c r="AS142" s="37"/>
      <c r="AT142" s="37"/>
      <c r="AU142" s="37"/>
      <c r="AV142" s="37"/>
      <c r="AW142" s="37"/>
      <c r="AX142" s="37"/>
      <c r="AY142" s="37"/>
      <c r="AZ142" s="37"/>
      <c r="BA142" s="37"/>
      <c r="BB142" s="37"/>
    </row>
    <row r="143" spans="1:54" s="5" customFormat="1" x14ac:dyDescent="0.25">
      <c r="A143" s="32"/>
      <c r="B143" s="32"/>
      <c r="C143" s="32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F143" s="33"/>
      <c r="AG143" s="33"/>
      <c r="AH143" s="33"/>
      <c r="AI143" s="33"/>
      <c r="AJ143" s="33"/>
      <c r="AK143" s="33"/>
      <c r="AL143" s="33"/>
      <c r="AM143" s="33"/>
      <c r="AN143" s="33"/>
      <c r="AO143" s="33"/>
      <c r="AP143" s="33"/>
      <c r="AQ143" s="36"/>
      <c r="AR143" s="36"/>
      <c r="AS143" s="36"/>
      <c r="AT143" s="36"/>
      <c r="AU143" s="36"/>
      <c r="AV143" s="36"/>
      <c r="AW143" s="36"/>
      <c r="AX143" s="36"/>
      <c r="AY143" s="36"/>
      <c r="AZ143" s="36"/>
      <c r="BA143" s="36"/>
      <c r="BB143" s="36"/>
    </row>
    <row r="144" spans="1:54" x14ac:dyDescent="0.25">
      <c r="A144" s="34"/>
      <c r="B144" s="34"/>
      <c r="C144" s="34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</row>
    <row r="145" spans="1:54" s="5" customFormat="1" x14ac:dyDescent="0.25">
      <c r="A145" s="32"/>
      <c r="B145" s="32"/>
      <c r="C145" s="32"/>
      <c r="D145" s="33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  <c r="AM145" s="33"/>
      <c r="AN145" s="33"/>
      <c r="AO145" s="33"/>
      <c r="AP145" s="33"/>
      <c r="AQ145" s="36"/>
      <c r="AR145" s="36"/>
      <c r="AS145" s="36"/>
      <c r="AT145" s="36"/>
      <c r="AU145" s="36"/>
      <c r="AV145" s="36"/>
      <c r="AW145" s="36"/>
      <c r="AX145" s="36"/>
      <c r="AY145" s="36"/>
      <c r="AZ145" s="36"/>
      <c r="BA145" s="36"/>
      <c r="BB145" s="36"/>
    </row>
    <row r="146" spans="1:54" x14ac:dyDescent="0.25">
      <c r="A146" s="34"/>
      <c r="B146" s="34"/>
      <c r="C146" s="34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</row>
    <row r="147" spans="1:54" s="5" customFormat="1" x14ac:dyDescent="0.25">
      <c r="A147" s="32"/>
      <c r="B147" s="32"/>
      <c r="C147" s="32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6"/>
      <c r="AV147" s="33"/>
      <c r="AW147" s="33"/>
      <c r="AX147" s="33"/>
      <c r="AY147" s="36"/>
      <c r="AZ147" s="33"/>
      <c r="BA147" s="33"/>
      <c r="BB147" s="33"/>
    </row>
    <row r="148" spans="1:54" x14ac:dyDescent="0.25">
      <c r="A148" s="34"/>
      <c r="B148" s="34"/>
      <c r="C148" s="34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</row>
    <row r="149" spans="1:54" s="5" customFormat="1" x14ac:dyDescent="0.25">
      <c r="A149" s="32"/>
      <c r="B149" s="32"/>
      <c r="C149" s="32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6"/>
      <c r="AV149" s="33"/>
      <c r="AW149" s="33"/>
      <c r="AX149" s="36"/>
      <c r="AY149" s="36"/>
      <c r="AZ149" s="33"/>
      <c r="BA149" s="33"/>
      <c r="BB149" s="36"/>
    </row>
    <row r="150" spans="1:54" x14ac:dyDescent="0.25">
      <c r="A150" s="34"/>
      <c r="B150" s="34"/>
      <c r="C150" s="34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7"/>
      <c r="AY150" s="37"/>
      <c r="AZ150" s="37"/>
      <c r="BA150" s="37"/>
      <c r="BB150" s="37"/>
    </row>
    <row r="151" spans="1:54" s="5" customFormat="1" x14ac:dyDescent="0.25">
      <c r="A151" s="34"/>
      <c r="B151" s="32"/>
      <c r="C151" s="32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6"/>
      <c r="AY151" s="36"/>
      <c r="AZ151" s="36"/>
      <c r="BA151" s="36"/>
      <c r="BB151" s="36"/>
    </row>
    <row r="152" spans="1:54" x14ac:dyDescent="0.25">
      <c r="A152" s="34"/>
      <c r="B152" s="34"/>
      <c r="C152" s="34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7"/>
      <c r="AY152" s="37"/>
      <c r="AZ152" s="37"/>
      <c r="BA152" s="37"/>
      <c r="BB152" s="37"/>
    </row>
    <row r="153" spans="1:54" s="5" customFormat="1" x14ac:dyDescent="0.25">
      <c r="A153" s="34"/>
      <c r="B153" s="32"/>
      <c r="C153" s="32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36"/>
      <c r="AY153" s="36"/>
      <c r="AZ153" s="36"/>
      <c r="BA153" s="36"/>
      <c r="BB153" s="36"/>
    </row>
    <row r="154" spans="1:54" s="5" customFormat="1" x14ac:dyDescent="0.25">
      <c r="A154" s="32"/>
      <c r="B154" s="32"/>
      <c r="C154" s="32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  <c r="AM154" s="33"/>
      <c r="AN154" s="33"/>
      <c r="AO154" s="33"/>
      <c r="AP154" s="33"/>
      <c r="AQ154" s="36"/>
      <c r="AR154" s="36"/>
      <c r="AS154" s="36"/>
      <c r="AT154" s="36"/>
      <c r="AU154" s="36"/>
      <c r="AV154" s="36"/>
      <c r="AW154" s="36"/>
      <c r="AX154" s="36"/>
      <c r="AY154" s="36"/>
      <c r="AZ154" s="36"/>
      <c r="BA154" s="36"/>
      <c r="BB154" s="36"/>
    </row>
    <row r="155" spans="1:54" x14ac:dyDescent="0.25">
      <c r="A155" s="34"/>
      <c r="B155" s="34"/>
      <c r="C155" s="34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  <c r="AM155" s="35"/>
      <c r="AN155" s="35"/>
      <c r="AO155" s="35"/>
      <c r="AP155" s="35"/>
      <c r="AQ155" s="37"/>
      <c r="AR155" s="37"/>
      <c r="AS155" s="37"/>
      <c r="AT155" s="37"/>
      <c r="AU155" s="37"/>
      <c r="AV155" s="37"/>
      <c r="AW155" s="37"/>
      <c r="AX155" s="37"/>
      <c r="AY155" s="37"/>
      <c r="AZ155" s="37"/>
      <c r="BA155" s="37"/>
      <c r="BB155" s="37"/>
    </row>
    <row r="156" spans="1:54" s="5" customFormat="1" x14ac:dyDescent="0.25">
      <c r="A156" s="32"/>
      <c r="B156" s="32"/>
      <c r="C156" s="32"/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  <c r="AM156" s="33"/>
      <c r="AN156" s="33"/>
      <c r="AO156" s="33"/>
      <c r="AP156" s="33"/>
      <c r="AQ156" s="36"/>
      <c r="AR156" s="36"/>
      <c r="AS156" s="36"/>
      <c r="AT156" s="36"/>
      <c r="AU156" s="36"/>
      <c r="AV156" s="36"/>
      <c r="AW156" s="36"/>
      <c r="AX156" s="36"/>
      <c r="AY156" s="36"/>
      <c r="AZ156" s="36"/>
      <c r="BA156" s="36"/>
      <c r="BB156" s="36"/>
    </row>
    <row r="157" spans="1:54" x14ac:dyDescent="0.25">
      <c r="A157" s="34"/>
      <c r="B157" s="34"/>
      <c r="C157" s="34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  <c r="AM157" s="35"/>
      <c r="AN157" s="35"/>
      <c r="AO157" s="35"/>
      <c r="AP157" s="35"/>
      <c r="AQ157" s="37"/>
      <c r="AR157" s="37"/>
      <c r="AS157" s="37"/>
      <c r="AT157" s="37"/>
      <c r="AU157" s="37"/>
      <c r="AV157" s="37"/>
      <c r="AW157" s="37"/>
      <c r="AX157" s="37"/>
      <c r="AY157" s="37"/>
      <c r="AZ157" s="37"/>
      <c r="BA157" s="37"/>
      <c r="BB157" s="37"/>
    </row>
    <row r="158" spans="1:54" s="5" customFormat="1" x14ac:dyDescent="0.25">
      <c r="A158" s="32"/>
      <c r="B158" s="32"/>
      <c r="C158" s="32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6"/>
      <c r="V158" s="36"/>
      <c r="W158" s="36"/>
      <c r="X158" s="36"/>
      <c r="Y158" s="36"/>
      <c r="Z158" s="36"/>
      <c r="AA158" s="36"/>
      <c r="AB158" s="36"/>
      <c r="AC158" s="36"/>
      <c r="AD158" s="36"/>
      <c r="AE158" s="36"/>
      <c r="AF158" s="36"/>
      <c r="AG158" s="36"/>
      <c r="AH158" s="36"/>
      <c r="AI158" s="36"/>
      <c r="AJ158" s="36"/>
      <c r="AK158" s="36"/>
      <c r="AL158" s="36"/>
      <c r="AM158" s="36"/>
      <c r="AN158" s="36"/>
      <c r="AO158" s="36"/>
      <c r="AP158" s="36"/>
      <c r="AQ158" s="36"/>
      <c r="AR158" s="36"/>
      <c r="AS158" s="36"/>
      <c r="AT158" s="36"/>
      <c r="AU158" s="36"/>
      <c r="AV158" s="36"/>
      <c r="AW158" s="36"/>
      <c r="AX158" s="36"/>
      <c r="AY158" s="36"/>
      <c r="AZ158" s="36"/>
      <c r="BA158" s="36"/>
      <c r="BB158" s="36"/>
    </row>
    <row r="159" spans="1:54" x14ac:dyDescent="0.25">
      <c r="A159" s="34"/>
      <c r="B159" s="34"/>
      <c r="C159" s="34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  <c r="AM159" s="35"/>
      <c r="AN159" s="35"/>
      <c r="AO159" s="35"/>
      <c r="AP159" s="35"/>
      <c r="AQ159" s="35"/>
      <c r="AR159" s="35"/>
      <c r="AS159" s="35"/>
      <c r="AT159" s="35"/>
      <c r="AU159" s="35"/>
      <c r="AV159" s="35"/>
      <c r="AW159" s="35"/>
      <c r="AX159" s="35"/>
      <c r="AY159" s="35"/>
      <c r="AZ159" s="35"/>
      <c r="BA159" s="35"/>
      <c r="BB159" s="35"/>
    </row>
    <row r="160" spans="1:54" s="5" customFormat="1" x14ac:dyDescent="0.25">
      <c r="A160" s="32"/>
      <c r="B160" s="32"/>
      <c r="C160" s="32"/>
      <c r="D160" s="33"/>
      <c r="E160" s="33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33"/>
      <c r="AG160" s="33"/>
      <c r="AH160" s="33"/>
      <c r="AI160" s="33"/>
      <c r="AJ160" s="33"/>
      <c r="AK160" s="33"/>
      <c r="AL160" s="33"/>
      <c r="AM160" s="33"/>
      <c r="AN160" s="33"/>
      <c r="AO160" s="33"/>
      <c r="AP160" s="33"/>
      <c r="AQ160" s="33"/>
      <c r="AR160" s="33"/>
      <c r="AS160" s="33"/>
      <c r="AT160" s="33"/>
      <c r="AU160" s="36"/>
      <c r="AV160" s="33"/>
      <c r="AW160" s="33"/>
      <c r="AX160" s="36"/>
      <c r="AY160" s="36"/>
      <c r="AZ160" s="36"/>
      <c r="BA160" s="36"/>
      <c r="BB160" s="36"/>
    </row>
    <row r="161" spans="1:54" x14ac:dyDescent="0.25">
      <c r="A161" s="34"/>
      <c r="B161" s="34"/>
      <c r="C161" s="34"/>
      <c r="D161" s="37"/>
      <c r="E161" s="37"/>
      <c r="F161" s="37"/>
      <c r="G161" s="37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  <c r="AE161" s="37"/>
      <c r="AF161" s="37"/>
      <c r="AG161" s="37"/>
      <c r="AH161" s="37"/>
      <c r="AI161" s="37"/>
      <c r="AJ161" s="37"/>
      <c r="AK161" s="37"/>
      <c r="AL161" s="37"/>
      <c r="AM161" s="37"/>
      <c r="AN161" s="37"/>
      <c r="AO161" s="37"/>
      <c r="AP161" s="37"/>
      <c r="AQ161" s="37"/>
      <c r="AR161" s="37"/>
      <c r="AS161" s="37"/>
      <c r="AT161" s="37"/>
      <c r="AU161" s="37"/>
      <c r="AV161" s="37"/>
      <c r="AW161" s="37"/>
      <c r="AX161" s="37"/>
      <c r="AY161" s="37"/>
      <c r="AZ161" s="37"/>
      <c r="BA161" s="37"/>
      <c r="BB161" s="37"/>
    </row>
    <row r="162" spans="1:54" s="5" customFormat="1" x14ac:dyDescent="0.25">
      <c r="A162" s="32"/>
      <c r="B162" s="32"/>
      <c r="C162" s="32"/>
      <c r="D162" s="36"/>
      <c r="E162" s="36"/>
      <c r="F162" s="36"/>
      <c r="G162" s="36"/>
      <c r="H162" s="36"/>
      <c r="I162" s="36"/>
      <c r="J162" s="36"/>
      <c r="K162" s="36"/>
      <c r="L162" s="36"/>
      <c r="M162" s="36"/>
      <c r="N162" s="36"/>
      <c r="O162" s="36"/>
      <c r="P162" s="36"/>
      <c r="Q162" s="36"/>
      <c r="R162" s="36"/>
      <c r="S162" s="36"/>
      <c r="T162" s="36"/>
      <c r="U162" s="36"/>
      <c r="V162" s="36"/>
      <c r="W162" s="36"/>
      <c r="X162" s="36"/>
      <c r="Y162" s="36"/>
      <c r="Z162" s="36"/>
      <c r="AA162" s="36"/>
      <c r="AB162" s="36"/>
      <c r="AC162" s="36"/>
      <c r="AD162" s="36"/>
      <c r="AE162" s="36"/>
      <c r="AF162" s="36"/>
      <c r="AG162" s="36"/>
      <c r="AH162" s="36"/>
      <c r="AI162" s="36"/>
      <c r="AJ162" s="36"/>
      <c r="AK162" s="36"/>
      <c r="AL162" s="36"/>
      <c r="AM162" s="36"/>
      <c r="AN162" s="36"/>
      <c r="AO162" s="36"/>
      <c r="AP162" s="36"/>
      <c r="AQ162" s="36"/>
      <c r="AR162" s="36"/>
      <c r="AS162" s="36"/>
      <c r="AT162" s="36"/>
      <c r="AU162" s="36"/>
      <c r="AV162" s="36"/>
      <c r="AW162" s="36"/>
      <c r="AX162" s="36"/>
      <c r="AY162" s="36"/>
      <c r="AZ162" s="36"/>
      <c r="BA162" s="36"/>
      <c r="BB162" s="36"/>
    </row>
    <row r="163" spans="1:54" x14ac:dyDescent="0.25">
      <c r="A163" s="34"/>
      <c r="B163" s="34"/>
      <c r="C163" s="34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  <c r="AM163" s="35"/>
      <c r="AN163" s="35"/>
      <c r="AO163" s="35"/>
      <c r="AP163" s="35"/>
      <c r="AQ163" s="37"/>
      <c r="AR163" s="37"/>
      <c r="AS163" s="37"/>
      <c r="AT163" s="37"/>
      <c r="AU163" s="35"/>
      <c r="AV163" s="37"/>
      <c r="AW163" s="35"/>
      <c r="AX163" s="35"/>
      <c r="AY163" s="35"/>
      <c r="AZ163" s="35"/>
      <c r="BA163" s="35"/>
      <c r="BB163" s="35"/>
    </row>
  </sheetData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90"/>
  <sheetViews>
    <sheetView tabSelected="1" workbookViewId="0">
      <pane xSplit="6" ySplit="15" topLeftCell="AW26" activePane="bottomRight" state="frozen"/>
      <selection pane="topRight" activeCell="G1" sqref="G1"/>
      <selection pane="bottomLeft" activeCell="A16" sqref="A16"/>
      <selection pane="bottomRight" activeCell="BB6" sqref="BB6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6" width="11.28515625" customWidth="1"/>
  </cols>
  <sheetData>
    <row r="1" spans="1:56" s="1" customFormat="1" ht="10.5" x14ac:dyDescent="0.15">
      <c r="A1" s="9" t="s">
        <v>0</v>
      </c>
      <c r="B1" s="10" t="s">
        <v>1</v>
      </c>
      <c r="C1" s="10" t="s">
        <v>2</v>
      </c>
      <c r="D1" s="10">
        <v>1961</v>
      </c>
      <c r="E1" s="10">
        <v>1962</v>
      </c>
      <c r="F1" s="10">
        <v>1963</v>
      </c>
      <c r="G1" s="10">
        <v>1964</v>
      </c>
      <c r="H1" s="10">
        <v>1965</v>
      </c>
      <c r="I1" s="10">
        <v>1966</v>
      </c>
      <c r="J1" s="10">
        <v>1967</v>
      </c>
      <c r="K1" s="10">
        <v>1968</v>
      </c>
      <c r="L1" s="10">
        <v>1969</v>
      </c>
      <c r="M1" s="10">
        <v>1970</v>
      </c>
      <c r="N1" s="10">
        <v>1971</v>
      </c>
      <c r="O1" s="10">
        <v>1972</v>
      </c>
      <c r="P1" s="10">
        <v>1973</v>
      </c>
      <c r="Q1" s="10">
        <v>1974</v>
      </c>
      <c r="R1" s="10">
        <v>1975</v>
      </c>
      <c r="S1" s="10">
        <v>1976</v>
      </c>
      <c r="T1" s="10">
        <v>1977</v>
      </c>
      <c r="U1" s="10">
        <v>1978</v>
      </c>
      <c r="V1" s="10">
        <v>1979</v>
      </c>
      <c r="W1" s="10">
        <v>1980</v>
      </c>
      <c r="X1" s="10">
        <v>1981</v>
      </c>
      <c r="Y1" s="10">
        <v>1982</v>
      </c>
      <c r="Z1" s="10">
        <v>1983</v>
      </c>
      <c r="AA1" s="10">
        <v>1984</v>
      </c>
      <c r="AB1" s="10">
        <v>1985</v>
      </c>
      <c r="AC1" s="10">
        <v>1986</v>
      </c>
      <c r="AD1" s="10">
        <v>1987</v>
      </c>
      <c r="AE1" s="10">
        <v>1988</v>
      </c>
      <c r="AF1" s="10">
        <v>1989</v>
      </c>
      <c r="AG1" s="10">
        <v>1990</v>
      </c>
      <c r="AH1" s="10">
        <v>1991</v>
      </c>
      <c r="AI1" s="10">
        <v>1992</v>
      </c>
      <c r="AJ1" s="10">
        <v>1993</v>
      </c>
      <c r="AK1" s="10">
        <v>1994</v>
      </c>
      <c r="AL1" s="10">
        <v>1995</v>
      </c>
      <c r="AM1" s="10">
        <v>1996</v>
      </c>
      <c r="AN1" s="10">
        <v>1997</v>
      </c>
      <c r="AO1" s="10">
        <v>1998</v>
      </c>
      <c r="AP1" s="10">
        <v>1999</v>
      </c>
      <c r="AQ1" s="10">
        <v>2000</v>
      </c>
      <c r="AR1" s="10">
        <v>2001</v>
      </c>
      <c r="AS1" s="10">
        <v>2002</v>
      </c>
      <c r="AT1" s="10">
        <v>2003</v>
      </c>
      <c r="AU1" s="10">
        <v>2004</v>
      </c>
      <c r="AV1" s="10">
        <v>2005</v>
      </c>
      <c r="AW1" s="10">
        <v>2006</v>
      </c>
      <c r="AX1" s="10">
        <v>2007</v>
      </c>
      <c r="AY1" s="10">
        <v>2008</v>
      </c>
      <c r="AZ1" s="10">
        <v>2009</v>
      </c>
      <c r="BA1" s="10">
        <v>2010</v>
      </c>
      <c r="BB1" s="10">
        <v>2011</v>
      </c>
      <c r="BC1" s="10">
        <v>2012</v>
      </c>
      <c r="BD1" s="10">
        <v>2013</v>
      </c>
    </row>
    <row r="2" spans="1:56" s="5" customFormat="1" x14ac:dyDescent="0.25">
      <c r="A2" s="12" t="s">
        <v>49</v>
      </c>
      <c r="B2" s="2" t="s">
        <v>5</v>
      </c>
      <c r="C2" s="2" t="s">
        <v>6</v>
      </c>
      <c r="D2" s="44">
        <v>1593</v>
      </c>
      <c r="E2" s="44">
        <v>1634</v>
      </c>
      <c r="F2" s="44">
        <v>1612</v>
      </c>
      <c r="G2" s="44">
        <v>1704</v>
      </c>
      <c r="H2" s="44">
        <v>1813</v>
      </c>
      <c r="I2" s="44">
        <v>1801</v>
      </c>
      <c r="J2" s="44">
        <v>1905</v>
      </c>
      <c r="K2" s="44">
        <v>1923</v>
      </c>
      <c r="L2" s="44">
        <v>1811</v>
      </c>
      <c r="M2" s="44">
        <v>2365</v>
      </c>
      <c r="N2" s="44">
        <v>2331</v>
      </c>
      <c r="O2" s="44">
        <v>1889</v>
      </c>
      <c r="P2" s="44">
        <v>2054</v>
      </c>
      <c r="Q2" s="44">
        <v>2278</v>
      </c>
      <c r="R2" s="44">
        <v>2435</v>
      </c>
      <c r="S2" s="44">
        <v>2589</v>
      </c>
      <c r="T2" s="44">
        <v>2523</v>
      </c>
      <c r="U2" s="44">
        <v>2700</v>
      </c>
      <c r="V2" s="44">
        <v>2931</v>
      </c>
      <c r="W2" s="44">
        <v>3121</v>
      </c>
      <c r="X2" s="44">
        <v>3166</v>
      </c>
      <c r="Y2" s="44">
        <v>3357</v>
      </c>
      <c r="Z2" s="44">
        <v>3370</v>
      </c>
      <c r="AA2" s="44">
        <v>3010</v>
      </c>
      <c r="AB2" s="44">
        <v>3791</v>
      </c>
      <c r="AC2" s="44">
        <v>4100</v>
      </c>
      <c r="AD2" s="44">
        <v>4016</v>
      </c>
      <c r="AE2" s="44">
        <v>3853</v>
      </c>
      <c r="AF2" s="44">
        <v>4819</v>
      </c>
      <c r="AG2" s="44">
        <v>4534</v>
      </c>
      <c r="AH2" s="44">
        <v>8059</v>
      </c>
      <c r="AI2" s="44">
        <v>8697</v>
      </c>
      <c r="AJ2" s="44">
        <v>8613</v>
      </c>
      <c r="AK2" s="44">
        <v>9544</v>
      </c>
      <c r="AL2" s="44">
        <v>9611</v>
      </c>
      <c r="AM2" s="44">
        <v>9706</v>
      </c>
      <c r="AN2" s="44">
        <v>8313</v>
      </c>
      <c r="AO2" s="44">
        <v>8528</v>
      </c>
      <c r="AP2" s="44">
        <v>8640</v>
      </c>
      <c r="AQ2" s="44">
        <v>9302</v>
      </c>
      <c r="AR2" s="44">
        <v>7709</v>
      </c>
      <c r="AS2" s="44">
        <v>8811</v>
      </c>
      <c r="AT2" s="44">
        <v>9567</v>
      </c>
      <c r="AU2" s="44">
        <v>10183</v>
      </c>
      <c r="AV2" s="44">
        <v>11154</v>
      </c>
      <c r="AW2" s="44">
        <v>12753</v>
      </c>
      <c r="AX2" s="44">
        <v>12918</v>
      </c>
      <c r="AY2" s="44">
        <v>11176</v>
      </c>
      <c r="AZ2" s="44">
        <v>14457</v>
      </c>
      <c r="BA2" s="44">
        <v>15423</v>
      </c>
      <c r="BB2" s="44">
        <f>16218670/1000</f>
        <v>16218.67</v>
      </c>
      <c r="BC2" s="43">
        <f>17572225/1000</f>
        <v>17572.224999999999</v>
      </c>
      <c r="BD2" s="43">
        <f>18952249/1000</f>
        <v>18952.249</v>
      </c>
    </row>
    <row r="3" spans="1:56" x14ac:dyDescent="0.25">
      <c r="A3" s="14"/>
      <c r="B3" s="6"/>
      <c r="C3" s="6" t="s">
        <v>7</v>
      </c>
      <c r="D3" s="47">
        <v>14</v>
      </c>
      <c r="E3" s="47">
        <v>13</v>
      </c>
      <c r="F3" s="47">
        <v>21</v>
      </c>
      <c r="G3" s="47">
        <v>19</v>
      </c>
      <c r="H3" s="47">
        <v>17</v>
      </c>
      <c r="I3" s="47">
        <v>14</v>
      </c>
      <c r="J3" s="47">
        <v>35</v>
      </c>
      <c r="K3" s="47">
        <v>19</v>
      </c>
      <c r="L3" s="47">
        <v>42</v>
      </c>
      <c r="M3" s="47">
        <v>28</v>
      </c>
      <c r="N3" s="47">
        <v>41</v>
      </c>
      <c r="O3" s="47">
        <v>43</v>
      </c>
      <c r="P3" s="47">
        <v>49</v>
      </c>
      <c r="Q3" s="47">
        <v>155</v>
      </c>
      <c r="R3" s="47">
        <v>39</v>
      </c>
      <c r="S3" s="47">
        <v>21</v>
      </c>
      <c r="T3" s="47">
        <v>60</v>
      </c>
      <c r="U3" s="47">
        <v>189</v>
      </c>
      <c r="V3" s="47">
        <v>111</v>
      </c>
      <c r="W3" s="47">
        <v>231</v>
      </c>
      <c r="X3" s="47">
        <v>408</v>
      </c>
      <c r="Y3" s="47">
        <v>480</v>
      </c>
      <c r="Z3" s="47">
        <v>441</v>
      </c>
      <c r="AA3" s="47">
        <v>391</v>
      </c>
      <c r="AB3" s="47">
        <v>405</v>
      </c>
      <c r="AC3" s="47">
        <v>159</v>
      </c>
      <c r="AD3" s="47">
        <v>50</v>
      </c>
      <c r="AE3" s="47">
        <v>172</v>
      </c>
      <c r="AF3" s="47">
        <v>24</v>
      </c>
      <c r="AG3" s="47">
        <v>39</v>
      </c>
      <c r="AH3" s="47">
        <v>52</v>
      </c>
      <c r="AI3" s="47">
        <v>56</v>
      </c>
      <c r="AJ3" s="47">
        <v>70</v>
      </c>
      <c r="AK3" s="47">
        <v>15</v>
      </c>
      <c r="AL3" s="47">
        <v>38</v>
      </c>
      <c r="AM3" s="47">
        <v>26</v>
      </c>
      <c r="AN3" s="47">
        <v>110</v>
      </c>
      <c r="AO3" s="47">
        <v>105</v>
      </c>
      <c r="AP3" s="47">
        <v>27</v>
      </c>
      <c r="AQ3" s="47">
        <v>40</v>
      </c>
      <c r="AR3" s="47">
        <v>171</v>
      </c>
      <c r="AS3" s="47">
        <v>149</v>
      </c>
      <c r="AT3" s="47">
        <v>110</v>
      </c>
      <c r="AU3" s="47">
        <v>71</v>
      </c>
      <c r="AV3" s="47">
        <v>579</v>
      </c>
      <c r="AW3" s="47">
        <v>245</v>
      </c>
      <c r="AX3" s="47">
        <v>60</v>
      </c>
      <c r="AY3" s="47">
        <v>181</v>
      </c>
      <c r="AZ3" s="47">
        <v>279</v>
      </c>
      <c r="BA3" s="47">
        <v>225</v>
      </c>
      <c r="BB3" s="47">
        <f>182914/1000</f>
        <v>182.91399999999999</v>
      </c>
      <c r="BC3" s="42"/>
      <c r="BD3" s="42"/>
    </row>
    <row r="4" spans="1:56" s="5" customFormat="1" x14ac:dyDescent="0.25">
      <c r="A4" s="12"/>
      <c r="B4" s="2"/>
      <c r="C4" s="2" t="s">
        <v>8</v>
      </c>
      <c r="D4" s="44">
        <v>0</v>
      </c>
      <c r="E4" s="44">
        <v>0</v>
      </c>
      <c r="F4" s="44">
        <v>0</v>
      </c>
      <c r="G4" s="44">
        <v>0</v>
      </c>
      <c r="H4" s="44">
        <v>0</v>
      </c>
      <c r="I4" s="44">
        <v>0</v>
      </c>
      <c r="J4" s="44">
        <v>0</v>
      </c>
      <c r="K4" s="44">
        <v>0</v>
      </c>
      <c r="L4" s="44">
        <v>1</v>
      </c>
      <c r="M4" s="44">
        <v>0</v>
      </c>
      <c r="N4" s="44">
        <v>0</v>
      </c>
      <c r="O4" s="44">
        <v>2</v>
      </c>
      <c r="P4" s="44">
        <v>2</v>
      </c>
      <c r="Q4" s="44">
        <v>0</v>
      </c>
      <c r="R4" s="44">
        <v>5</v>
      </c>
      <c r="S4" s="44">
        <v>0</v>
      </c>
      <c r="T4" s="44">
        <v>0</v>
      </c>
      <c r="U4" s="44">
        <v>0</v>
      </c>
      <c r="V4" s="44">
        <v>0</v>
      </c>
      <c r="W4" s="44">
        <v>0</v>
      </c>
      <c r="X4" s="44">
        <v>0</v>
      </c>
      <c r="Y4" s="44">
        <v>0</v>
      </c>
      <c r="Z4" s="44">
        <v>0</v>
      </c>
      <c r="AA4" s="44">
        <v>35</v>
      </c>
      <c r="AB4" s="44">
        <v>40</v>
      </c>
      <c r="AC4" s="44">
        <v>17</v>
      </c>
      <c r="AD4" s="44">
        <v>0</v>
      </c>
      <c r="AE4" s="44">
        <v>0</v>
      </c>
      <c r="AF4" s="44">
        <v>0</v>
      </c>
      <c r="AG4" s="44">
        <v>25</v>
      </c>
      <c r="AH4" s="44">
        <v>0</v>
      </c>
      <c r="AI4" s="44">
        <v>60</v>
      </c>
      <c r="AJ4" s="44">
        <v>0</v>
      </c>
      <c r="AK4" s="44">
        <v>0</v>
      </c>
      <c r="AL4" s="44">
        <v>0</v>
      </c>
      <c r="AM4" s="44">
        <v>0</v>
      </c>
      <c r="AN4" s="44">
        <v>7</v>
      </c>
      <c r="AO4" s="44">
        <v>0</v>
      </c>
      <c r="AP4" s="44">
        <v>0</v>
      </c>
      <c r="AQ4" s="44">
        <v>0</v>
      </c>
      <c r="AR4" s="44">
        <v>0</v>
      </c>
      <c r="AS4" s="44">
        <v>0</v>
      </c>
      <c r="AT4" s="44">
        <v>0</v>
      </c>
      <c r="AU4" s="44">
        <v>0</v>
      </c>
      <c r="AV4" s="44">
        <v>200</v>
      </c>
      <c r="AW4" s="44">
        <v>200</v>
      </c>
      <c r="AX4" s="44">
        <v>100</v>
      </c>
      <c r="AY4" s="44">
        <v>100</v>
      </c>
      <c r="AZ4" s="44">
        <v>100</v>
      </c>
      <c r="BA4" s="44">
        <v>100</v>
      </c>
      <c r="BB4" s="44">
        <f>32626/1000</f>
        <v>32.625999999999998</v>
      </c>
      <c r="BC4" s="43"/>
      <c r="BD4" s="43"/>
    </row>
    <row r="5" spans="1:56" x14ac:dyDescent="0.25">
      <c r="A5" s="14"/>
      <c r="B5" s="6"/>
      <c r="C5" s="6" t="s">
        <v>9</v>
      </c>
      <c r="D5" s="47">
        <v>1603</v>
      </c>
      <c r="E5" s="47">
        <v>1651</v>
      </c>
      <c r="F5" s="47">
        <v>1626</v>
      </c>
      <c r="G5" s="47">
        <v>1723</v>
      </c>
      <c r="H5" s="47">
        <v>1829</v>
      </c>
      <c r="I5" s="47">
        <v>1813</v>
      </c>
      <c r="J5" s="47">
        <v>1939</v>
      </c>
      <c r="K5" s="47">
        <v>1943</v>
      </c>
      <c r="L5" s="47">
        <v>1847</v>
      </c>
      <c r="M5" s="47">
        <v>2390</v>
      </c>
      <c r="N5" s="47">
        <v>2371</v>
      </c>
      <c r="O5" s="47">
        <v>1928</v>
      </c>
      <c r="P5" s="47">
        <v>2106</v>
      </c>
      <c r="Q5" s="47">
        <v>2433</v>
      </c>
      <c r="R5" s="47">
        <v>2468</v>
      </c>
      <c r="S5" s="47">
        <v>2605</v>
      </c>
      <c r="T5" s="47">
        <v>2588</v>
      </c>
      <c r="U5" s="47">
        <v>2848</v>
      </c>
      <c r="V5" s="47">
        <v>3021</v>
      </c>
      <c r="W5" s="47">
        <v>3287</v>
      </c>
      <c r="X5" s="47">
        <v>3539</v>
      </c>
      <c r="Y5" s="47">
        <v>3801</v>
      </c>
      <c r="Z5" s="47">
        <v>3829</v>
      </c>
      <c r="AA5" s="47">
        <v>3506</v>
      </c>
      <c r="AB5" s="47">
        <v>4121</v>
      </c>
      <c r="AC5" s="47">
        <v>4166</v>
      </c>
      <c r="AD5" s="47">
        <v>3994</v>
      </c>
      <c r="AE5" s="47">
        <v>4140</v>
      </c>
      <c r="AF5" s="47">
        <v>4773</v>
      </c>
      <c r="AG5" s="47">
        <v>4438</v>
      </c>
      <c r="AH5" s="47">
        <v>8176</v>
      </c>
      <c r="AI5" s="47">
        <v>8613</v>
      </c>
      <c r="AJ5" s="47">
        <v>8783</v>
      </c>
      <c r="AK5" s="47">
        <v>9589</v>
      </c>
      <c r="AL5" s="47">
        <v>9649</v>
      </c>
      <c r="AM5" s="47">
        <v>9732</v>
      </c>
      <c r="AN5" s="47">
        <v>8516</v>
      </c>
      <c r="AO5" s="47">
        <v>8633</v>
      </c>
      <c r="AP5" s="47">
        <v>8667</v>
      </c>
      <c r="AQ5" s="47">
        <v>9122</v>
      </c>
      <c r="AR5" s="47">
        <v>8100</v>
      </c>
      <c r="AS5" s="47">
        <v>8949</v>
      </c>
      <c r="AT5" s="47">
        <v>9564</v>
      </c>
      <c r="AU5" s="47">
        <v>10264</v>
      </c>
      <c r="AV5" s="47">
        <v>11393</v>
      </c>
      <c r="AW5" s="47">
        <v>12637</v>
      </c>
      <c r="AX5" s="47">
        <v>12859</v>
      </c>
      <c r="AY5" s="47">
        <v>11440</v>
      </c>
      <c r="AZ5" s="47">
        <v>14347</v>
      </c>
      <c r="BA5" s="47">
        <v>15258</v>
      </c>
      <c r="BB5" s="47">
        <f>BB2+BB3-BB4</f>
        <v>16368.957999999999</v>
      </c>
      <c r="BC5" s="42"/>
      <c r="BD5" s="42"/>
    </row>
    <row r="6" spans="1:56" s="5" customFormat="1" x14ac:dyDescent="0.25">
      <c r="A6" s="12"/>
      <c r="B6" s="2" t="s">
        <v>10</v>
      </c>
      <c r="C6" s="2" t="s">
        <v>6</v>
      </c>
      <c r="D6" s="44">
        <v>260</v>
      </c>
      <c r="E6" s="44">
        <v>165</v>
      </c>
      <c r="F6" s="44">
        <v>250</v>
      </c>
      <c r="G6" s="44">
        <v>210</v>
      </c>
      <c r="H6" s="44">
        <v>200</v>
      </c>
      <c r="I6" s="44">
        <v>299</v>
      </c>
      <c r="J6" s="44">
        <v>385</v>
      </c>
      <c r="K6" s="44">
        <v>327</v>
      </c>
      <c r="L6" s="44">
        <v>538</v>
      </c>
      <c r="M6" s="44">
        <v>707</v>
      </c>
      <c r="N6" s="44">
        <v>473</v>
      </c>
      <c r="O6" s="44">
        <v>569</v>
      </c>
      <c r="P6" s="44">
        <v>629</v>
      </c>
      <c r="Q6" s="44">
        <v>533</v>
      </c>
      <c r="R6" s="44">
        <v>670</v>
      </c>
      <c r="S6" s="44">
        <v>793</v>
      </c>
      <c r="T6" s="44">
        <v>967</v>
      </c>
      <c r="U6" s="44">
        <v>724</v>
      </c>
      <c r="V6" s="44">
        <v>837</v>
      </c>
      <c r="W6" s="44">
        <v>885</v>
      </c>
      <c r="X6" s="44">
        <v>784</v>
      </c>
      <c r="Y6" s="44">
        <v>763</v>
      </c>
      <c r="Z6" s="44">
        <v>857</v>
      </c>
      <c r="AA6" s="44">
        <v>859</v>
      </c>
      <c r="AB6" s="44">
        <v>1216</v>
      </c>
      <c r="AC6" s="44">
        <v>1275</v>
      </c>
      <c r="AD6" s="44">
        <v>1656</v>
      </c>
      <c r="AE6" s="44">
        <v>1622</v>
      </c>
      <c r="AF6" s="44">
        <v>1976</v>
      </c>
      <c r="AG6" s="44">
        <v>1831</v>
      </c>
      <c r="AH6" s="44">
        <v>2119</v>
      </c>
      <c r="AI6" s="44">
        <v>2191</v>
      </c>
      <c r="AJ6" s="44">
        <v>2367</v>
      </c>
      <c r="AK6" s="44">
        <v>2331</v>
      </c>
      <c r="AL6" s="44">
        <v>2436</v>
      </c>
      <c r="AM6" s="44">
        <v>2991</v>
      </c>
      <c r="AN6" s="44">
        <v>3323</v>
      </c>
      <c r="AO6" s="44">
        <v>3794</v>
      </c>
      <c r="AP6" s="44">
        <v>3709</v>
      </c>
      <c r="AQ6" s="44">
        <v>3482</v>
      </c>
      <c r="AR6" s="44">
        <v>3014</v>
      </c>
      <c r="AS6" s="44">
        <v>4216</v>
      </c>
      <c r="AT6" s="44">
        <v>3782</v>
      </c>
      <c r="AU6" s="44">
        <v>4110</v>
      </c>
      <c r="AV6" s="44">
        <v>4490</v>
      </c>
      <c r="AW6" s="44">
        <v>3926</v>
      </c>
      <c r="AX6" s="44">
        <v>3518</v>
      </c>
      <c r="AY6" s="44">
        <v>2540</v>
      </c>
      <c r="AZ6" s="44">
        <v>2472</v>
      </c>
      <c r="BA6" s="44">
        <v>2402</v>
      </c>
      <c r="BB6" s="44">
        <v>564</v>
      </c>
      <c r="BC6" s="43">
        <v>765</v>
      </c>
      <c r="BD6" s="43">
        <v>823</v>
      </c>
    </row>
    <row r="7" spans="1:56" x14ac:dyDescent="0.25">
      <c r="A7" s="14"/>
      <c r="B7" s="6"/>
      <c r="C7" s="6" t="s">
        <v>7</v>
      </c>
      <c r="D7" s="47">
        <v>0</v>
      </c>
      <c r="E7" s="47">
        <v>0</v>
      </c>
      <c r="F7" s="47">
        <v>0</v>
      </c>
      <c r="G7" s="47">
        <v>0</v>
      </c>
      <c r="H7" s="47">
        <v>0</v>
      </c>
      <c r="I7" s="47">
        <v>5</v>
      </c>
      <c r="J7" s="47">
        <v>4</v>
      </c>
      <c r="K7" s="47">
        <v>11</v>
      </c>
      <c r="L7" s="47">
        <v>20</v>
      </c>
      <c r="M7" s="47">
        <v>28</v>
      </c>
      <c r="N7" s="47">
        <v>30</v>
      </c>
      <c r="O7" s="47">
        <v>30</v>
      </c>
      <c r="P7" s="47">
        <v>50</v>
      </c>
      <c r="Q7" s="47">
        <v>62</v>
      </c>
      <c r="R7" s="47">
        <v>149</v>
      </c>
      <c r="S7" s="47">
        <v>68</v>
      </c>
      <c r="T7" s="47">
        <v>46</v>
      </c>
      <c r="U7" s="47">
        <v>46</v>
      </c>
      <c r="V7" s="47">
        <v>29</v>
      </c>
      <c r="W7" s="47">
        <v>26</v>
      </c>
      <c r="X7" s="47">
        <v>11</v>
      </c>
      <c r="Y7" s="47">
        <v>74</v>
      </c>
      <c r="Z7" s="47">
        <v>130</v>
      </c>
      <c r="AA7" s="47">
        <v>271</v>
      </c>
      <c r="AB7" s="47">
        <v>231</v>
      </c>
      <c r="AC7" s="47">
        <v>218</v>
      </c>
      <c r="AD7" s="47">
        <v>127</v>
      </c>
      <c r="AE7" s="47">
        <v>154</v>
      </c>
      <c r="AF7" s="47">
        <v>248</v>
      </c>
      <c r="AG7" s="47">
        <v>85</v>
      </c>
      <c r="AH7" s="47">
        <v>256</v>
      </c>
      <c r="AI7" s="47">
        <v>138</v>
      </c>
      <c r="AJ7" s="47">
        <v>138</v>
      </c>
      <c r="AK7" s="47">
        <v>115</v>
      </c>
      <c r="AL7" s="47">
        <v>143</v>
      </c>
      <c r="AM7" s="47">
        <v>79</v>
      </c>
      <c r="AN7" s="47">
        <v>75</v>
      </c>
      <c r="AO7" s="47">
        <v>84</v>
      </c>
      <c r="AP7" s="47">
        <v>70</v>
      </c>
      <c r="AQ7" s="47">
        <v>70</v>
      </c>
      <c r="AR7" s="47">
        <v>70</v>
      </c>
      <c r="AS7" s="47">
        <v>90</v>
      </c>
      <c r="AT7" s="47">
        <v>90</v>
      </c>
      <c r="AU7" s="47">
        <v>90</v>
      </c>
      <c r="AV7" s="47">
        <v>80</v>
      </c>
      <c r="AW7" s="47">
        <v>70</v>
      </c>
      <c r="AX7" s="47">
        <v>75</v>
      </c>
      <c r="AY7" s="47">
        <v>70</v>
      </c>
      <c r="AZ7" s="47">
        <v>50</v>
      </c>
      <c r="BA7" s="47">
        <v>50</v>
      </c>
      <c r="BB7" s="47">
        <v>1</v>
      </c>
      <c r="BC7" s="42"/>
      <c r="BD7" s="42"/>
    </row>
    <row r="8" spans="1:56" s="5" customFormat="1" x14ac:dyDescent="0.25">
      <c r="A8" s="12"/>
      <c r="B8" s="2"/>
      <c r="C8" s="2" t="s">
        <v>8</v>
      </c>
      <c r="D8" s="44">
        <v>181</v>
      </c>
      <c r="E8" s="44">
        <v>168</v>
      </c>
      <c r="F8" s="44">
        <v>141</v>
      </c>
      <c r="G8" s="44">
        <v>145</v>
      </c>
      <c r="H8" s="44">
        <v>89</v>
      </c>
      <c r="I8" s="44">
        <v>194</v>
      </c>
      <c r="J8" s="44">
        <v>226</v>
      </c>
      <c r="K8" s="44">
        <v>286</v>
      </c>
      <c r="L8" s="44">
        <v>274</v>
      </c>
      <c r="M8" s="44">
        <v>323</v>
      </c>
      <c r="N8" s="44">
        <v>429</v>
      </c>
      <c r="O8" s="44">
        <v>338</v>
      </c>
      <c r="P8" s="44">
        <v>369</v>
      </c>
      <c r="Q8" s="44">
        <v>309</v>
      </c>
      <c r="R8" s="44">
        <v>297</v>
      </c>
      <c r="S8" s="44">
        <v>379</v>
      </c>
      <c r="T8" s="44">
        <v>467</v>
      </c>
      <c r="U8" s="44">
        <v>432</v>
      </c>
      <c r="V8" s="44">
        <v>588</v>
      </c>
      <c r="W8" s="44">
        <v>512</v>
      </c>
      <c r="X8" s="44">
        <v>550</v>
      </c>
      <c r="Y8" s="44">
        <v>508</v>
      </c>
      <c r="Z8" s="44">
        <v>606</v>
      </c>
      <c r="AA8" s="44">
        <v>597</v>
      </c>
      <c r="AB8" s="44">
        <v>750</v>
      </c>
      <c r="AC8" s="44">
        <v>1116</v>
      </c>
      <c r="AD8" s="44">
        <v>1201</v>
      </c>
      <c r="AE8" s="44">
        <v>1329</v>
      </c>
      <c r="AF8" s="44">
        <v>1509</v>
      </c>
      <c r="AG8" s="44">
        <v>1627</v>
      </c>
      <c r="AH8" s="44">
        <v>1574</v>
      </c>
      <c r="AI8" s="44">
        <v>1738</v>
      </c>
      <c r="AJ8" s="44">
        <v>1678</v>
      </c>
      <c r="AK8" s="44">
        <v>1703</v>
      </c>
      <c r="AL8" s="44">
        <v>2149</v>
      </c>
      <c r="AM8" s="44">
        <v>2186</v>
      </c>
      <c r="AN8" s="44">
        <v>2621</v>
      </c>
      <c r="AO8" s="44">
        <v>2819</v>
      </c>
      <c r="AP8" s="44">
        <v>3063</v>
      </c>
      <c r="AQ8" s="44">
        <v>3183</v>
      </c>
      <c r="AR8" s="44">
        <v>2753</v>
      </c>
      <c r="AS8" s="44">
        <v>3021</v>
      </c>
      <c r="AT8" s="44">
        <v>3201</v>
      </c>
      <c r="AU8" s="44">
        <v>3821</v>
      </c>
      <c r="AV8" s="44">
        <v>3533</v>
      </c>
      <c r="AW8" s="44">
        <v>3851</v>
      </c>
      <c r="AX8" s="44">
        <v>3451</v>
      </c>
      <c r="AY8" s="44">
        <v>2426</v>
      </c>
      <c r="AZ8" s="44">
        <v>1976</v>
      </c>
      <c r="BA8" s="44">
        <v>2241</v>
      </c>
      <c r="BB8" s="44">
        <v>546</v>
      </c>
      <c r="BC8" s="43"/>
      <c r="BD8" s="43"/>
    </row>
    <row r="9" spans="1:56" x14ac:dyDescent="0.25">
      <c r="A9" s="14"/>
      <c r="B9" s="6"/>
      <c r="C9" s="6" t="s">
        <v>9</v>
      </c>
      <c r="D9" s="47">
        <v>30</v>
      </c>
      <c r="E9" s="47">
        <v>36</v>
      </c>
      <c r="F9" s="47">
        <v>47</v>
      </c>
      <c r="G9" s="47">
        <v>82</v>
      </c>
      <c r="H9" s="47">
        <v>96</v>
      </c>
      <c r="I9" s="47">
        <v>107</v>
      </c>
      <c r="J9" s="47">
        <v>126</v>
      </c>
      <c r="K9" s="47">
        <v>150</v>
      </c>
      <c r="L9" s="47">
        <v>172</v>
      </c>
      <c r="M9" s="47">
        <v>245</v>
      </c>
      <c r="N9" s="47">
        <v>269</v>
      </c>
      <c r="O9" s="47">
        <v>241</v>
      </c>
      <c r="P9" s="47">
        <v>280</v>
      </c>
      <c r="Q9" s="47">
        <v>369</v>
      </c>
      <c r="R9" s="47">
        <v>402</v>
      </c>
      <c r="S9" s="47">
        <v>432</v>
      </c>
      <c r="T9" s="47">
        <v>446</v>
      </c>
      <c r="U9" s="47">
        <v>380</v>
      </c>
      <c r="V9" s="47">
        <v>388</v>
      </c>
      <c r="W9" s="47">
        <v>384</v>
      </c>
      <c r="X9" s="47">
        <v>343</v>
      </c>
      <c r="Y9" s="47">
        <v>340</v>
      </c>
      <c r="Z9" s="47">
        <v>379</v>
      </c>
      <c r="AA9" s="47">
        <v>466</v>
      </c>
      <c r="AB9" s="47">
        <v>480</v>
      </c>
      <c r="AC9" s="47">
        <v>470</v>
      </c>
      <c r="AD9" s="47">
        <v>463</v>
      </c>
      <c r="AE9" s="47">
        <v>522</v>
      </c>
      <c r="AF9" s="47">
        <v>633</v>
      </c>
      <c r="AG9" s="47">
        <v>527</v>
      </c>
      <c r="AH9" s="47">
        <v>616</v>
      </c>
      <c r="AI9" s="47">
        <v>581</v>
      </c>
      <c r="AJ9" s="47">
        <v>631</v>
      </c>
      <c r="AK9" s="47">
        <v>719</v>
      </c>
      <c r="AL9" s="47">
        <v>715</v>
      </c>
      <c r="AM9" s="47">
        <v>785</v>
      </c>
      <c r="AN9" s="47">
        <v>719</v>
      </c>
      <c r="AO9" s="47">
        <v>660</v>
      </c>
      <c r="AP9" s="47">
        <v>499</v>
      </c>
      <c r="AQ9" s="47">
        <v>459</v>
      </c>
      <c r="AR9" s="47">
        <v>594</v>
      </c>
      <c r="AS9" s="47">
        <v>584</v>
      </c>
      <c r="AT9" s="47">
        <v>639</v>
      </c>
      <c r="AU9" s="47">
        <v>598</v>
      </c>
      <c r="AV9" s="47">
        <v>543</v>
      </c>
      <c r="AW9" s="47">
        <v>498</v>
      </c>
      <c r="AX9" s="47">
        <v>501</v>
      </c>
      <c r="AY9" s="47">
        <v>491</v>
      </c>
      <c r="AZ9" s="47">
        <v>463</v>
      </c>
      <c r="BA9" s="47">
        <v>438</v>
      </c>
      <c r="BB9" s="47">
        <f>BB6+BB7-BB8</f>
        <v>19</v>
      </c>
      <c r="BC9" s="42"/>
      <c r="BD9" s="42"/>
    </row>
    <row r="10" spans="1:56" s="5" customFormat="1" x14ac:dyDescent="0.25">
      <c r="A10" s="12"/>
      <c r="B10" s="2" t="s">
        <v>11</v>
      </c>
      <c r="C10" s="2" t="s">
        <v>6</v>
      </c>
      <c r="D10" s="44">
        <v>0</v>
      </c>
      <c r="E10" s="44">
        <v>0</v>
      </c>
      <c r="F10" s="44">
        <v>0</v>
      </c>
      <c r="G10" s="44">
        <v>0</v>
      </c>
      <c r="H10" s="44">
        <v>19</v>
      </c>
      <c r="I10" s="44">
        <v>19</v>
      </c>
      <c r="J10" s="44">
        <v>15</v>
      </c>
      <c r="K10" s="44">
        <v>16</v>
      </c>
      <c r="L10" s="44">
        <v>7</v>
      </c>
      <c r="M10" s="44">
        <v>34</v>
      </c>
      <c r="N10" s="44">
        <v>58</v>
      </c>
      <c r="O10" s="44">
        <v>63</v>
      </c>
      <c r="P10" s="44">
        <v>63</v>
      </c>
      <c r="Q10" s="44">
        <v>64</v>
      </c>
      <c r="R10" s="44">
        <v>65</v>
      </c>
      <c r="S10" s="44">
        <v>65</v>
      </c>
      <c r="T10" s="44">
        <v>70</v>
      </c>
      <c r="U10" s="44">
        <v>70</v>
      </c>
      <c r="V10" s="44">
        <v>73</v>
      </c>
      <c r="W10" s="44">
        <v>75</v>
      </c>
      <c r="X10" s="44">
        <v>55</v>
      </c>
      <c r="Y10" s="44">
        <v>60</v>
      </c>
      <c r="Z10" s="44">
        <v>65</v>
      </c>
      <c r="AA10" s="44">
        <v>50</v>
      </c>
      <c r="AB10" s="44">
        <v>60</v>
      </c>
      <c r="AC10" s="44">
        <v>55</v>
      </c>
      <c r="AD10" s="44">
        <v>70</v>
      </c>
      <c r="AE10" s="44">
        <v>40</v>
      </c>
      <c r="AF10" s="44">
        <v>55</v>
      </c>
      <c r="AG10" s="44">
        <v>60</v>
      </c>
      <c r="AH10" s="44">
        <v>218</v>
      </c>
      <c r="AI10" s="44">
        <v>149</v>
      </c>
      <c r="AJ10" s="44">
        <v>154</v>
      </c>
      <c r="AK10" s="44">
        <v>163</v>
      </c>
      <c r="AL10" s="44">
        <v>178</v>
      </c>
      <c r="AM10" s="44">
        <v>287</v>
      </c>
      <c r="AN10" s="44">
        <v>322</v>
      </c>
      <c r="AO10" s="44">
        <v>326</v>
      </c>
      <c r="AP10" s="44">
        <v>327</v>
      </c>
      <c r="AQ10" s="44">
        <v>333</v>
      </c>
      <c r="AR10" s="44">
        <v>340</v>
      </c>
      <c r="AS10" s="44">
        <v>348</v>
      </c>
      <c r="AT10" s="44">
        <v>380</v>
      </c>
      <c r="AU10" s="44">
        <v>400</v>
      </c>
      <c r="AV10" s="44">
        <v>410</v>
      </c>
      <c r="AW10" s="44">
        <v>430</v>
      </c>
      <c r="AX10" s="44">
        <v>440</v>
      </c>
      <c r="AY10" s="44">
        <v>450</v>
      </c>
      <c r="AZ10" s="44">
        <v>450</v>
      </c>
      <c r="BA10" s="44">
        <v>450</v>
      </c>
      <c r="BB10" s="44">
        <v>536</v>
      </c>
      <c r="BC10" s="43">
        <v>697</v>
      </c>
      <c r="BD10" s="43">
        <v>645</v>
      </c>
    </row>
    <row r="11" spans="1:56" x14ac:dyDescent="0.25">
      <c r="A11" s="14"/>
      <c r="B11" s="6"/>
      <c r="C11" s="6" t="s">
        <v>7</v>
      </c>
      <c r="D11" s="47">
        <v>0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v>0</v>
      </c>
      <c r="O11" s="47">
        <v>0</v>
      </c>
      <c r="P11" s="47">
        <v>0</v>
      </c>
      <c r="Q11" s="47">
        <v>0</v>
      </c>
      <c r="R11" s="47">
        <v>0</v>
      </c>
      <c r="S11" s="47">
        <v>0</v>
      </c>
      <c r="T11" s="47">
        <v>0</v>
      </c>
      <c r="U11" s="47">
        <v>0</v>
      </c>
      <c r="V11" s="47">
        <v>0</v>
      </c>
      <c r="W11" s="47">
        <v>0</v>
      </c>
      <c r="X11" s="47">
        <v>0</v>
      </c>
      <c r="Y11" s="47">
        <v>0</v>
      </c>
      <c r="Z11" s="47">
        <v>0</v>
      </c>
      <c r="AA11" s="47">
        <v>12</v>
      </c>
      <c r="AB11" s="47">
        <v>3</v>
      </c>
      <c r="AC11" s="47">
        <v>13</v>
      </c>
      <c r="AD11" s="47">
        <v>0</v>
      </c>
      <c r="AE11" s="47">
        <v>0</v>
      </c>
      <c r="AF11" s="47">
        <v>0</v>
      </c>
      <c r="AG11" s="47">
        <v>0</v>
      </c>
      <c r="AH11" s="47">
        <v>0</v>
      </c>
      <c r="AI11" s="47">
        <v>0</v>
      </c>
      <c r="AJ11" s="47">
        <v>0</v>
      </c>
      <c r="AK11" s="47">
        <v>0</v>
      </c>
      <c r="AL11" s="47">
        <v>0</v>
      </c>
      <c r="AM11" s="47">
        <v>0</v>
      </c>
      <c r="AN11" s="47">
        <v>0</v>
      </c>
      <c r="AO11" s="47">
        <v>0</v>
      </c>
      <c r="AP11" s="47">
        <v>0</v>
      </c>
      <c r="AQ11" s="47">
        <v>0</v>
      </c>
      <c r="AR11" s="47">
        <v>8</v>
      </c>
      <c r="AS11" s="47">
        <v>8</v>
      </c>
      <c r="AT11" s="47">
        <v>10</v>
      </c>
      <c r="AU11" s="47">
        <v>10</v>
      </c>
      <c r="AV11" s="47">
        <v>5</v>
      </c>
      <c r="AW11" s="47">
        <v>5</v>
      </c>
      <c r="AX11" s="47">
        <v>3</v>
      </c>
      <c r="AY11" s="47">
        <v>15</v>
      </c>
      <c r="AZ11" s="47">
        <v>4</v>
      </c>
      <c r="BA11" s="47">
        <v>4</v>
      </c>
      <c r="BB11" s="47">
        <v>6</v>
      </c>
      <c r="BC11" s="42"/>
      <c r="BD11" s="42"/>
    </row>
    <row r="12" spans="1:56" s="5" customFormat="1" x14ac:dyDescent="0.25">
      <c r="A12" s="12"/>
      <c r="B12" s="2"/>
      <c r="C12" s="2" t="s">
        <v>8</v>
      </c>
      <c r="D12" s="44">
        <v>0</v>
      </c>
      <c r="E12" s="44">
        <v>0</v>
      </c>
      <c r="F12" s="44">
        <v>0</v>
      </c>
      <c r="G12" s="44">
        <v>0</v>
      </c>
      <c r="H12" s="44">
        <v>15</v>
      </c>
      <c r="I12" s="44">
        <v>12</v>
      </c>
      <c r="J12" s="44">
        <v>6</v>
      </c>
      <c r="K12" s="44">
        <v>14</v>
      </c>
      <c r="L12" s="44">
        <v>7</v>
      </c>
      <c r="M12" s="44">
        <v>10</v>
      </c>
      <c r="N12" s="44">
        <v>5</v>
      </c>
      <c r="O12" s="44">
        <v>2</v>
      </c>
      <c r="P12" s="44">
        <v>1</v>
      </c>
      <c r="Q12" s="44">
        <v>5</v>
      </c>
      <c r="R12" s="44">
        <v>2</v>
      </c>
      <c r="S12" s="44">
        <v>2</v>
      </c>
      <c r="T12" s="44">
        <v>1</v>
      </c>
      <c r="U12" s="44">
        <v>0</v>
      </c>
      <c r="V12" s="44">
        <v>0</v>
      </c>
      <c r="W12" s="44">
        <v>0</v>
      </c>
      <c r="X12" s="44">
        <v>0</v>
      </c>
      <c r="Y12" s="44">
        <v>0</v>
      </c>
      <c r="Z12" s="44">
        <v>0</v>
      </c>
      <c r="AA12" s="44">
        <v>0</v>
      </c>
      <c r="AB12" s="44">
        <v>0</v>
      </c>
      <c r="AC12" s="44">
        <v>0</v>
      </c>
      <c r="AD12" s="44">
        <v>0</v>
      </c>
      <c r="AE12" s="44">
        <v>0</v>
      </c>
      <c r="AF12" s="44">
        <v>5</v>
      </c>
      <c r="AG12" s="44">
        <v>0</v>
      </c>
      <c r="AH12" s="44">
        <v>0</v>
      </c>
      <c r="AI12" s="44">
        <v>0</v>
      </c>
      <c r="AJ12" s="44">
        <v>0</v>
      </c>
      <c r="AK12" s="44">
        <v>0</v>
      </c>
      <c r="AL12" s="44">
        <v>0</v>
      </c>
      <c r="AM12" s="44">
        <v>0</v>
      </c>
      <c r="AN12" s="44">
        <v>0</v>
      </c>
      <c r="AO12" s="44">
        <v>10</v>
      </c>
      <c r="AP12" s="44">
        <v>0</v>
      </c>
      <c r="AQ12" s="44">
        <v>0</v>
      </c>
      <c r="AR12" s="44">
        <v>0</v>
      </c>
      <c r="AS12" s="44">
        <v>0</v>
      </c>
      <c r="AT12" s="44">
        <v>0</v>
      </c>
      <c r="AU12" s="44">
        <v>0</v>
      </c>
      <c r="AV12" s="44">
        <v>0</v>
      </c>
      <c r="AW12" s="44">
        <v>0</v>
      </c>
      <c r="AX12" s="44">
        <v>0</v>
      </c>
      <c r="AY12" s="44">
        <v>0</v>
      </c>
      <c r="AZ12" s="44">
        <v>0</v>
      </c>
      <c r="BA12" s="44">
        <v>0</v>
      </c>
      <c r="BB12" s="44">
        <v>12</v>
      </c>
      <c r="BC12" s="43"/>
      <c r="BD12" s="43"/>
    </row>
    <row r="13" spans="1:56" x14ac:dyDescent="0.25">
      <c r="A13" s="14"/>
      <c r="B13" s="6"/>
      <c r="C13" s="6" t="s">
        <v>9</v>
      </c>
      <c r="D13" s="47">
        <v>0</v>
      </c>
      <c r="E13" s="47">
        <v>0</v>
      </c>
      <c r="F13" s="47">
        <v>0</v>
      </c>
      <c r="G13" s="47">
        <v>0</v>
      </c>
      <c r="H13" s="47">
        <v>4</v>
      </c>
      <c r="I13" s="47">
        <v>7</v>
      </c>
      <c r="J13" s="47">
        <v>9</v>
      </c>
      <c r="K13" s="47">
        <v>2</v>
      </c>
      <c r="L13" s="47">
        <v>0</v>
      </c>
      <c r="M13" s="47">
        <v>24</v>
      </c>
      <c r="N13" s="47">
        <v>53</v>
      </c>
      <c r="O13" s="47">
        <v>61</v>
      </c>
      <c r="P13" s="47">
        <v>62</v>
      </c>
      <c r="Q13" s="47">
        <v>59</v>
      </c>
      <c r="R13" s="47">
        <v>63</v>
      </c>
      <c r="S13" s="47">
        <v>63</v>
      </c>
      <c r="T13" s="47">
        <v>69</v>
      </c>
      <c r="U13" s="47">
        <v>70</v>
      </c>
      <c r="V13" s="47">
        <v>73</v>
      </c>
      <c r="W13" s="47">
        <v>75</v>
      </c>
      <c r="X13" s="47">
        <v>55</v>
      </c>
      <c r="Y13" s="47">
        <v>60</v>
      </c>
      <c r="Z13" s="47">
        <v>65</v>
      </c>
      <c r="AA13" s="47">
        <v>62</v>
      </c>
      <c r="AB13" s="47">
        <v>63</v>
      </c>
      <c r="AC13" s="47">
        <v>68</v>
      </c>
      <c r="AD13" s="47">
        <v>70</v>
      </c>
      <c r="AE13" s="47">
        <v>40</v>
      </c>
      <c r="AF13" s="47">
        <v>45</v>
      </c>
      <c r="AG13" s="47">
        <v>60</v>
      </c>
      <c r="AH13" s="47">
        <v>218</v>
      </c>
      <c r="AI13" s="47">
        <v>149</v>
      </c>
      <c r="AJ13" s="47">
        <v>154</v>
      </c>
      <c r="AK13" s="47">
        <v>163</v>
      </c>
      <c r="AL13" s="47">
        <v>178</v>
      </c>
      <c r="AM13" s="47">
        <v>287</v>
      </c>
      <c r="AN13" s="47">
        <v>322</v>
      </c>
      <c r="AO13" s="47">
        <v>311</v>
      </c>
      <c r="AP13" s="47">
        <v>332</v>
      </c>
      <c r="AQ13" s="47">
        <v>338</v>
      </c>
      <c r="AR13" s="47">
        <v>348</v>
      </c>
      <c r="AS13" s="47">
        <v>356</v>
      </c>
      <c r="AT13" s="47">
        <v>390</v>
      </c>
      <c r="AU13" s="47">
        <v>410</v>
      </c>
      <c r="AV13" s="47">
        <v>415</v>
      </c>
      <c r="AW13" s="47">
        <v>435</v>
      </c>
      <c r="AX13" s="47">
        <v>443</v>
      </c>
      <c r="AY13" s="47">
        <v>465</v>
      </c>
      <c r="AZ13" s="47">
        <v>454</v>
      </c>
      <c r="BA13" s="47">
        <v>454</v>
      </c>
      <c r="BB13" s="47">
        <f>BB10+BB11-BB12</f>
        <v>530</v>
      </c>
      <c r="BC13" s="42"/>
      <c r="BD13" s="42"/>
    </row>
    <row r="14" spans="1:56" s="5" customFormat="1" x14ac:dyDescent="0.25">
      <c r="A14" s="12"/>
      <c r="B14" s="2" t="s">
        <v>12</v>
      </c>
      <c r="C14" s="2" t="s">
        <v>6</v>
      </c>
      <c r="D14" s="44">
        <v>1195</v>
      </c>
      <c r="E14" s="44">
        <v>1051</v>
      </c>
      <c r="F14" s="44">
        <v>1238</v>
      </c>
      <c r="G14" s="44">
        <v>1146</v>
      </c>
      <c r="H14" s="44">
        <v>1328</v>
      </c>
      <c r="I14" s="44">
        <v>1237</v>
      </c>
      <c r="J14" s="44">
        <v>1309</v>
      </c>
      <c r="K14" s="44">
        <v>1461</v>
      </c>
      <c r="L14" s="44">
        <v>1370</v>
      </c>
      <c r="M14" s="44">
        <v>1458</v>
      </c>
      <c r="N14" s="44">
        <v>1467</v>
      </c>
      <c r="O14" s="44">
        <v>1598</v>
      </c>
      <c r="P14" s="44">
        <v>1491</v>
      </c>
      <c r="Q14" s="44">
        <v>1491</v>
      </c>
      <c r="R14" s="44">
        <v>1588</v>
      </c>
      <c r="S14" s="44">
        <v>1833</v>
      </c>
      <c r="T14" s="44">
        <v>1855</v>
      </c>
      <c r="U14" s="44">
        <v>1882</v>
      </c>
      <c r="V14" s="44">
        <v>1896</v>
      </c>
      <c r="W14" s="44">
        <v>1825</v>
      </c>
      <c r="X14" s="44">
        <v>1826</v>
      </c>
      <c r="Y14" s="44">
        <v>1936</v>
      </c>
      <c r="Z14" s="44">
        <v>2032</v>
      </c>
      <c r="AA14" s="44">
        <v>1981</v>
      </c>
      <c r="AB14" s="44">
        <v>2010</v>
      </c>
      <c r="AC14" s="44">
        <v>2224</v>
      </c>
      <c r="AD14" s="44">
        <v>2325</v>
      </c>
      <c r="AE14" s="44">
        <v>2884</v>
      </c>
      <c r="AF14" s="44">
        <v>3086</v>
      </c>
      <c r="AG14" s="44">
        <v>3735</v>
      </c>
      <c r="AH14" s="44">
        <v>3261</v>
      </c>
      <c r="AI14" s="44">
        <v>3735</v>
      </c>
      <c r="AJ14" s="44">
        <v>3700</v>
      </c>
      <c r="AK14" s="44">
        <v>3653</v>
      </c>
      <c r="AL14" s="44">
        <v>3107</v>
      </c>
      <c r="AM14" s="44">
        <v>3582</v>
      </c>
      <c r="AN14" s="44">
        <v>4071</v>
      </c>
      <c r="AO14" s="44">
        <v>3973</v>
      </c>
      <c r="AP14" s="44">
        <v>4108</v>
      </c>
      <c r="AQ14" s="44">
        <v>4380</v>
      </c>
      <c r="AR14" s="44">
        <v>4499</v>
      </c>
      <c r="AS14" s="44">
        <v>4741</v>
      </c>
      <c r="AT14" s="44">
        <v>4471</v>
      </c>
      <c r="AU14" s="44">
        <v>4587</v>
      </c>
      <c r="AV14" s="44">
        <v>4781</v>
      </c>
      <c r="AW14" s="44">
        <v>5399</v>
      </c>
      <c r="AX14" s="44">
        <v>5648</v>
      </c>
      <c r="AY14" s="44">
        <v>5725</v>
      </c>
      <c r="AZ14" s="44">
        <v>6737</v>
      </c>
      <c r="BA14" s="44">
        <v>7575</v>
      </c>
      <c r="BB14" s="44">
        <v>12077</v>
      </c>
      <c r="BC14" s="43">
        <v>14601</v>
      </c>
      <c r="BD14" s="43">
        <v>14643</v>
      </c>
    </row>
    <row r="15" spans="1:56" x14ac:dyDescent="0.25">
      <c r="A15" s="14"/>
      <c r="B15" s="6"/>
      <c r="C15" s="6" t="s">
        <v>7</v>
      </c>
      <c r="D15" s="47">
        <v>243</v>
      </c>
      <c r="E15" s="47">
        <v>309</v>
      </c>
      <c r="F15" s="47">
        <v>269</v>
      </c>
      <c r="G15" s="47">
        <v>398</v>
      </c>
      <c r="H15" s="47">
        <v>423</v>
      </c>
      <c r="I15" s="47">
        <v>454</v>
      </c>
      <c r="J15" s="47">
        <v>363</v>
      </c>
      <c r="K15" s="47">
        <v>397</v>
      </c>
      <c r="L15" s="47">
        <v>360</v>
      </c>
      <c r="M15" s="47">
        <v>435</v>
      </c>
      <c r="N15" s="47">
        <v>512</v>
      </c>
      <c r="O15" s="47">
        <v>473</v>
      </c>
      <c r="P15" s="47">
        <v>574</v>
      </c>
      <c r="Q15" s="47">
        <v>598</v>
      </c>
      <c r="R15" s="47">
        <v>321</v>
      </c>
      <c r="S15" s="47">
        <v>335</v>
      </c>
      <c r="T15" s="47">
        <v>699</v>
      </c>
      <c r="U15" s="47">
        <v>1232</v>
      </c>
      <c r="V15" s="47">
        <v>1793</v>
      </c>
      <c r="W15" s="47">
        <v>1218</v>
      </c>
      <c r="X15" s="47">
        <v>1555</v>
      </c>
      <c r="Y15" s="47">
        <v>1854</v>
      </c>
      <c r="Z15" s="47">
        <v>1797</v>
      </c>
      <c r="AA15" s="47">
        <v>2011</v>
      </c>
      <c r="AB15" s="47">
        <v>1878</v>
      </c>
      <c r="AC15" s="47">
        <v>1496</v>
      </c>
      <c r="AD15" s="47">
        <v>1659</v>
      </c>
      <c r="AE15" s="47">
        <v>1937</v>
      </c>
      <c r="AF15" s="47">
        <v>1559</v>
      </c>
      <c r="AG15" s="47">
        <v>1603</v>
      </c>
      <c r="AH15" s="47">
        <v>1516</v>
      </c>
      <c r="AI15" s="47">
        <v>1538</v>
      </c>
      <c r="AJ15" s="47">
        <v>2077</v>
      </c>
      <c r="AK15" s="47">
        <v>1893</v>
      </c>
      <c r="AL15" s="47">
        <v>1683</v>
      </c>
      <c r="AM15" s="47">
        <v>1879</v>
      </c>
      <c r="AN15" s="47">
        <v>1985</v>
      </c>
      <c r="AO15" s="47">
        <v>2705</v>
      </c>
      <c r="AP15" s="47">
        <v>2867</v>
      </c>
      <c r="AQ15" s="47">
        <v>3028</v>
      </c>
      <c r="AR15" s="47">
        <v>3825</v>
      </c>
      <c r="AS15" s="47">
        <v>4990</v>
      </c>
      <c r="AT15" s="47">
        <v>5194</v>
      </c>
      <c r="AU15" s="47">
        <v>4958</v>
      </c>
      <c r="AV15" s="47">
        <v>4882</v>
      </c>
      <c r="AW15" s="47">
        <v>4960</v>
      </c>
      <c r="AX15" s="47">
        <v>4790</v>
      </c>
      <c r="AY15" s="47">
        <v>5190</v>
      </c>
      <c r="AZ15" s="47">
        <v>4908</v>
      </c>
      <c r="BA15" s="47">
        <v>5265</v>
      </c>
      <c r="BB15" s="47">
        <v>6111</v>
      </c>
      <c r="BC15" s="42"/>
      <c r="BD15" s="42"/>
    </row>
    <row r="16" spans="1:56" s="5" customFormat="1" x14ac:dyDescent="0.25">
      <c r="A16" s="12"/>
      <c r="B16" s="2"/>
      <c r="C16" s="2" t="s">
        <v>8</v>
      </c>
      <c r="D16" s="44">
        <v>9</v>
      </c>
      <c r="E16" s="44">
        <v>1</v>
      </c>
      <c r="F16" s="44">
        <v>0</v>
      </c>
      <c r="G16" s="44">
        <v>0</v>
      </c>
      <c r="H16" s="44">
        <v>0</v>
      </c>
      <c r="I16" s="44">
        <v>0</v>
      </c>
      <c r="J16" s="44">
        <v>0</v>
      </c>
      <c r="K16" s="44">
        <v>0</v>
      </c>
      <c r="L16" s="44">
        <v>0</v>
      </c>
      <c r="M16" s="44">
        <v>1</v>
      </c>
      <c r="N16" s="44">
        <v>1</v>
      </c>
      <c r="O16" s="44">
        <v>0</v>
      </c>
      <c r="P16" s="44">
        <v>0</v>
      </c>
      <c r="Q16" s="44">
        <v>0</v>
      </c>
      <c r="R16" s="44">
        <v>5</v>
      </c>
      <c r="S16" s="44">
        <v>5</v>
      </c>
      <c r="T16" s="44">
        <v>30</v>
      </c>
      <c r="U16" s="44">
        <v>1</v>
      </c>
      <c r="V16" s="44">
        <v>0</v>
      </c>
      <c r="W16" s="44">
        <v>0</v>
      </c>
      <c r="X16" s="44">
        <v>5</v>
      </c>
      <c r="Y16" s="44">
        <v>5</v>
      </c>
      <c r="Z16" s="44">
        <v>12</v>
      </c>
      <c r="AA16" s="44">
        <v>10</v>
      </c>
      <c r="AB16" s="44">
        <v>0</v>
      </c>
      <c r="AC16" s="44">
        <v>0</v>
      </c>
      <c r="AD16" s="44">
        <v>0</v>
      </c>
      <c r="AE16" s="44">
        <v>0</v>
      </c>
      <c r="AF16" s="44">
        <v>0</v>
      </c>
      <c r="AG16" s="44">
        <v>0</v>
      </c>
      <c r="AH16" s="44">
        <v>0</v>
      </c>
      <c r="AI16" s="44">
        <v>0</v>
      </c>
      <c r="AJ16" s="44">
        <v>0</v>
      </c>
      <c r="AK16" s="44">
        <v>0</v>
      </c>
      <c r="AL16" s="44">
        <v>0</v>
      </c>
      <c r="AM16" s="44">
        <v>7</v>
      </c>
      <c r="AN16" s="44">
        <v>1</v>
      </c>
      <c r="AO16" s="44">
        <v>1</v>
      </c>
      <c r="AP16" s="44">
        <v>3</v>
      </c>
      <c r="AQ16" s="44">
        <v>10</v>
      </c>
      <c r="AR16" s="44">
        <v>0</v>
      </c>
      <c r="AS16" s="44">
        <v>4</v>
      </c>
      <c r="AT16" s="44">
        <v>3</v>
      </c>
      <c r="AU16" s="44">
        <v>1</v>
      </c>
      <c r="AV16" s="44">
        <v>26</v>
      </c>
      <c r="AW16" s="44">
        <v>1</v>
      </c>
      <c r="AX16" s="44">
        <v>0</v>
      </c>
      <c r="AY16" s="44">
        <v>0</v>
      </c>
      <c r="AZ16" s="44">
        <v>2</v>
      </c>
      <c r="BA16" s="44">
        <v>10</v>
      </c>
      <c r="BB16" s="44">
        <v>145</v>
      </c>
      <c r="BC16" s="43"/>
      <c r="BD16" s="43"/>
    </row>
    <row r="17" spans="1:56" x14ac:dyDescent="0.25">
      <c r="A17" s="14"/>
      <c r="B17" s="6"/>
      <c r="C17" s="6" t="s">
        <v>9</v>
      </c>
      <c r="D17" s="47">
        <v>1429</v>
      </c>
      <c r="E17" s="47">
        <v>1359</v>
      </c>
      <c r="F17" s="47">
        <v>1507</v>
      </c>
      <c r="G17" s="47">
        <v>1544</v>
      </c>
      <c r="H17" s="47">
        <v>1751</v>
      </c>
      <c r="I17" s="47">
        <v>1691</v>
      </c>
      <c r="J17" s="47">
        <v>1672</v>
      </c>
      <c r="K17" s="47">
        <v>1858</v>
      </c>
      <c r="L17" s="47">
        <v>1730</v>
      </c>
      <c r="M17" s="47">
        <v>1892</v>
      </c>
      <c r="N17" s="47">
        <v>1958</v>
      </c>
      <c r="O17" s="47">
        <v>2071</v>
      </c>
      <c r="P17" s="47">
        <v>2028</v>
      </c>
      <c r="Q17" s="47">
        <v>2077</v>
      </c>
      <c r="R17" s="47">
        <v>1888</v>
      </c>
      <c r="S17" s="47">
        <v>2159</v>
      </c>
      <c r="T17" s="47">
        <v>2489</v>
      </c>
      <c r="U17" s="47">
        <v>3000</v>
      </c>
      <c r="V17" s="47">
        <v>3431</v>
      </c>
      <c r="W17" s="47">
        <v>3301</v>
      </c>
      <c r="X17" s="47">
        <v>3380</v>
      </c>
      <c r="Y17" s="47">
        <v>3762</v>
      </c>
      <c r="Z17" s="47">
        <v>3858</v>
      </c>
      <c r="AA17" s="47">
        <v>4078</v>
      </c>
      <c r="AB17" s="47">
        <v>3933</v>
      </c>
      <c r="AC17" s="47">
        <v>3716</v>
      </c>
      <c r="AD17" s="47">
        <v>3926</v>
      </c>
      <c r="AE17" s="47">
        <v>4183</v>
      </c>
      <c r="AF17" s="47">
        <v>4399</v>
      </c>
      <c r="AG17" s="47">
        <v>4736</v>
      </c>
      <c r="AH17" s="47">
        <v>5781</v>
      </c>
      <c r="AI17" s="47">
        <v>5213</v>
      </c>
      <c r="AJ17" s="47">
        <v>5760</v>
      </c>
      <c r="AK17" s="47">
        <v>5523</v>
      </c>
      <c r="AL17" s="47">
        <v>5226</v>
      </c>
      <c r="AM17" s="47">
        <v>5297</v>
      </c>
      <c r="AN17" s="47">
        <v>5986</v>
      </c>
      <c r="AO17" s="47">
        <v>6523</v>
      </c>
      <c r="AP17" s="47">
        <v>7016</v>
      </c>
      <c r="AQ17" s="47">
        <v>7295</v>
      </c>
      <c r="AR17" s="47">
        <v>8015</v>
      </c>
      <c r="AS17" s="47">
        <v>8890</v>
      </c>
      <c r="AT17" s="47">
        <v>9376</v>
      </c>
      <c r="AU17" s="47">
        <v>10009</v>
      </c>
      <c r="AV17" s="47">
        <v>10281</v>
      </c>
      <c r="AW17" s="47">
        <v>10428</v>
      </c>
      <c r="AX17" s="47">
        <v>10678</v>
      </c>
      <c r="AY17" s="47">
        <v>10672</v>
      </c>
      <c r="AZ17" s="47">
        <v>11858</v>
      </c>
      <c r="BA17" s="47">
        <v>12835</v>
      </c>
      <c r="BB17" s="47">
        <f>BB14+BB15-BB16</f>
        <v>18043</v>
      </c>
      <c r="BC17" s="42"/>
      <c r="BD17" s="42"/>
    </row>
    <row r="18" spans="1:56" s="5" customFormat="1" x14ac:dyDescent="0.25">
      <c r="A18" s="12"/>
      <c r="B18" s="2" t="s">
        <v>13</v>
      </c>
      <c r="C18" s="2" t="s">
        <v>6</v>
      </c>
      <c r="D18" s="44">
        <v>4675</v>
      </c>
      <c r="E18" s="44">
        <v>4824</v>
      </c>
      <c r="F18" s="44">
        <v>5506</v>
      </c>
      <c r="G18" s="44">
        <v>4727</v>
      </c>
      <c r="H18" s="44">
        <v>4917</v>
      </c>
      <c r="I18" s="44">
        <v>5191</v>
      </c>
      <c r="J18" s="44">
        <v>4146</v>
      </c>
      <c r="K18" s="44">
        <v>4499</v>
      </c>
      <c r="L18" s="44">
        <v>4220</v>
      </c>
      <c r="M18" s="44">
        <v>5088</v>
      </c>
      <c r="N18" s="44">
        <v>5095</v>
      </c>
      <c r="O18" s="44">
        <v>4824</v>
      </c>
      <c r="P18" s="44">
        <v>3292</v>
      </c>
      <c r="Q18" s="44">
        <v>3992</v>
      </c>
      <c r="R18" s="44">
        <v>5901</v>
      </c>
      <c r="S18" s="44">
        <v>4805</v>
      </c>
      <c r="T18" s="44">
        <v>4936</v>
      </c>
      <c r="U18" s="44">
        <v>4832</v>
      </c>
      <c r="V18" s="44">
        <v>4986</v>
      </c>
      <c r="W18" s="44">
        <v>5046</v>
      </c>
      <c r="X18" s="44">
        <v>4950</v>
      </c>
      <c r="Y18" s="44">
        <v>4922</v>
      </c>
      <c r="Z18" s="44">
        <v>5297</v>
      </c>
      <c r="AA18" s="44">
        <v>3788</v>
      </c>
      <c r="AB18" s="44">
        <v>4800</v>
      </c>
      <c r="AC18" s="44">
        <v>4946</v>
      </c>
      <c r="AD18" s="44">
        <v>5421</v>
      </c>
      <c r="AE18" s="44">
        <v>4668</v>
      </c>
      <c r="AF18" s="44">
        <v>5603</v>
      </c>
      <c r="AG18" s="44">
        <v>5654</v>
      </c>
      <c r="AH18" s="44">
        <v>5922</v>
      </c>
      <c r="AI18" s="44">
        <v>6567</v>
      </c>
      <c r="AJ18" s="44">
        <v>6729</v>
      </c>
      <c r="AK18" s="44">
        <v>8608</v>
      </c>
      <c r="AL18" s="44">
        <v>8956</v>
      </c>
      <c r="AM18" s="44">
        <v>8928</v>
      </c>
      <c r="AN18" s="44">
        <v>9078</v>
      </c>
      <c r="AO18" s="44">
        <v>9001</v>
      </c>
      <c r="AP18" s="44">
        <v>10060</v>
      </c>
      <c r="AQ18" s="44">
        <v>9760</v>
      </c>
      <c r="AR18" s="44">
        <v>10720</v>
      </c>
      <c r="AS18" s="44">
        <v>11121</v>
      </c>
      <c r="AT18" s="44">
        <v>11350</v>
      </c>
      <c r="AU18" s="44">
        <v>13025</v>
      </c>
      <c r="AV18" s="44">
        <v>13234</v>
      </c>
      <c r="AW18" s="44">
        <v>14527</v>
      </c>
      <c r="AX18" s="44">
        <v>14672</v>
      </c>
      <c r="AY18" s="44">
        <v>14258</v>
      </c>
      <c r="AZ18" s="44">
        <v>16110</v>
      </c>
      <c r="BA18" s="44">
        <v>15865</v>
      </c>
      <c r="BB18" s="44">
        <v>10739</v>
      </c>
      <c r="BC18" s="43">
        <v>12402</v>
      </c>
      <c r="BD18" s="43">
        <v>12334</v>
      </c>
    </row>
    <row r="19" spans="1:56" x14ac:dyDescent="0.25">
      <c r="A19" s="14"/>
      <c r="B19" s="6"/>
      <c r="C19" s="6" t="s">
        <v>7</v>
      </c>
      <c r="D19" s="47">
        <v>48</v>
      </c>
      <c r="E19" s="47">
        <v>39</v>
      </c>
      <c r="F19" s="47">
        <v>58</v>
      </c>
      <c r="G19" s="47">
        <v>15</v>
      </c>
      <c r="H19" s="47">
        <v>11</v>
      </c>
      <c r="I19" s="47">
        <v>14</v>
      </c>
      <c r="J19" s="47">
        <v>51</v>
      </c>
      <c r="K19" s="47">
        <v>10</v>
      </c>
      <c r="L19" s="47">
        <v>7</v>
      </c>
      <c r="M19" s="47">
        <v>27</v>
      </c>
      <c r="N19" s="47">
        <v>43</v>
      </c>
      <c r="O19" s="47">
        <v>57</v>
      </c>
      <c r="P19" s="47">
        <v>72</v>
      </c>
      <c r="Q19" s="47">
        <v>189</v>
      </c>
      <c r="R19" s="47">
        <v>81</v>
      </c>
      <c r="S19" s="47">
        <v>64</v>
      </c>
      <c r="T19" s="47">
        <v>81</v>
      </c>
      <c r="U19" s="47">
        <v>106</v>
      </c>
      <c r="V19" s="47">
        <v>115</v>
      </c>
      <c r="W19" s="47">
        <v>83</v>
      </c>
      <c r="X19" s="47">
        <v>70</v>
      </c>
      <c r="Y19" s="47">
        <v>110</v>
      </c>
      <c r="Z19" s="47">
        <v>107</v>
      </c>
      <c r="AA19" s="47">
        <v>179</v>
      </c>
      <c r="AB19" s="47">
        <v>291</v>
      </c>
      <c r="AC19" s="47">
        <v>176</v>
      </c>
      <c r="AD19" s="47">
        <v>110</v>
      </c>
      <c r="AE19" s="47">
        <v>177</v>
      </c>
      <c r="AF19" s="47">
        <v>38</v>
      </c>
      <c r="AG19" s="47">
        <v>11</v>
      </c>
      <c r="AH19" s="47">
        <v>92</v>
      </c>
      <c r="AI19" s="47">
        <v>24</v>
      </c>
      <c r="AJ19" s="47">
        <v>25</v>
      </c>
      <c r="AK19" s="47">
        <v>33</v>
      </c>
      <c r="AL19" s="47">
        <v>6</v>
      </c>
      <c r="AM19" s="47">
        <v>2</v>
      </c>
      <c r="AN19" s="47">
        <v>10</v>
      </c>
      <c r="AO19" s="47">
        <v>0</v>
      </c>
      <c r="AP19" s="47">
        <v>20</v>
      </c>
      <c r="AQ19" s="47">
        <v>0</v>
      </c>
      <c r="AR19" s="47">
        <v>25</v>
      </c>
      <c r="AS19" s="47">
        <v>28</v>
      </c>
      <c r="AT19" s="47">
        <v>25</v>
      </c>
      <c r="AU19" s="47">
        <v>55</v>
      </c>
      <c r="AV19" s="47">
        <v>68</v>
      </c>
      <c r="AW19" s="47">
        <v>50</v>
      </c>
      <c r="AX19" s="47">
        <v>50</v>
      </c>
      <c r="AY19" s="47">
        <v>67</v>
      </c>
      <c r="AZ19" s="47">
        <v>50</v>
      </c>
      <c r="BA19" s="47">
        <v>52</v>
      </c>
      <c r="BB19" s="47">
        <v>79</v>
      </c>
      <c r="BC19" s="42"/>
      <c r="BD19" s="42"/>
    </row>
    <row r="20" spans="1:56" s="5" customFormat="1" x14ac:dyDescent="0.25">
      <c r="A20" s="12"/>
      <c r="B20" s="2"/>
      <c r="C20" s="2" t="s">
        <v>8</v>
      </c>
      <c r="D20" s="44">
        <v>0</v>
      </c>
      <c r="E20" s="44">
        <v>0</v>
      </c>
      <c r="F20" s="44">
        <v>0</v>
      </c>
      <c r="G20" s="44">
        <v>0</v>
      </c>
      <c r="H20" s="44">
        <v>1</v>
      </c>
      <c r="I20" s="44">
        <v>3</v>
      </c>
      <c r="J20" s="44">
        <v>4</v>
      </c>
      <c r="K20" s="44">
        <v>0</v>
      </c>
      <c r="L20" s="44">
        <v>2</v>
      </c>
      <c r="M20" s="44">
        <v>1</v>
      </c>
      <c r="N20" s="44">
        <v>0</v>
      </c>
      <c r="O20" s="44">
        <v>0</v>
      </c>
      <c r="P20" s="44">
        <v>0</v>
      </c>
      <c r="Q20" s="44">
        <v>0</v>
      </c>
      <c r="R20" s="44">
        <v>0</v>
      </c>
      <c r="S20" s="44">
        <v>5</v>
      </c>
      <c r="T20" s="44">
        <v>5</v>
      </c>
      <c r="U20" s="44">
        <v>0</v>
      </c>
      <c r="V20" s="44">
        <v>0</v>
      </c>
      <c r="W20" s="44">
        <v>0</v>
      </c>
      <c r="X20" s="44">
        <v>0</v>
      </c>
      <c r="Y20" s="44">
        <v>0</v>
      </c>
      <c r="Z20" s="44">
        <v>0</v>
      </c>
      <c r="AA20" s="44">
        <v>0</v>
      </c>
      <c r="AB20" s="44">
        <v>0</v>
      </c>
      <c r="AC20" s="44">
        <v>0</v>
      </c>
      <c r="AD20" s="44">
        <v>0</v>
      </c>
      <c r="AE20" s="44">
        <v>50</v>
      </c>
      <c r="AF20" s="44">
        <v>0</v>
      </c>
      <c r="AG20" s="44">
        <v>0</v>
      </c>
      <c r="AH20" s="44">
        <v>0</v>
      </c>
      <c r="AI20" s="44">
        <v>0</v>
      </c>
      <c r="AJ20" s="44">
        <v>0</v>
      </c>
      <c r="AK20" s="44">
        <v>0</v>
      </c>
      <c r="AL20" s="44">
        <v>0</v>
      </c>
      <c r="AM20" s="44">
        <v>0</v>
      </c>
      <c r="AN20" s="44">
        <v>0</v>
      </c>
      <c r="AO20" s="44">
        <v>0</v>
      </c>
      <c r="AP20" s="44">
        <v>0</v>
      </c>
      <c r="AQ20" s="44">
        <v>0</v>
      </c>
      <c r="AR20" s="44">
        <v>100</v>
      </c>
      <c r="AS20" s="44">
        <v>50</v>
      </c>
      <c r="AT20" s="44">
        <v>50</v>
      </c>
      <c r="AU20" s="44">
        <v>50</v>
      </c>
      <c r="AV20" s="44">
        <v>50</v>
      </c>
      <c r="AW20" s="44">
        <v>50</v>
      </c>
      <c r="AX20" s="44">
        <v>50</v>
      </c>
      <c r="AY20" s="44">
        <v>50</v>
      </c>
      <c r="AZ20" s="44">
        <v>50</v>
      </c>
      <c r="BA20" s="44">
        <v>50</v>
      </c>
      <c r="BB20" s="44">
        <v>5</v>
      </c>
      <c r="BC20" s="43"/>
      <c r="BD20" s="43"/>
    </row>
    <row r="21" spans="1:56" x14ac:dyDescent="0.25">
      <c r="A21" s="14"/>
      <c r="B21" s="6"/>
      <c r="C21" s="6" t="s">
        <v>9</v>
      </c>
      <c r="D21" s="47">
        <v>4723</v>
      </c>
      <c r="E21" s="47">
        <v>4863</v>
      </c>
      <c r="F21" s="47">
        <v>5544</v>
      </c>
      <c r="G21" s="47">
        <v>4742</v>
      </c>
      <c r="H21" s="47">
        <v>4927</v>
      </c>
      <c r="I21" s="47">
        <v>5202</v>
      </c>
      <c r="J21" s="47">
        <v>4193</v>
      </c>
      <c r="K21" s="47">
        <v>4509</v>
      </c>
      <c r="L21" s="47">
        <v>4225</v>
      </c>
      <c r="M21" s="47">
        <v>5114</v>
      </c>
      <c r="N21" s="47">
        <v>5138</v>
      </c>
      <c r="O21" s="47">
        <v>4881</v>
      </c>
      <c r="P21" s="47">
        <v>3364</v>
      </c>
      <c r="Q21" s="47">
        <v>4181</v>
      </c>
      <c r="R21" s="47">
        <v>5982</v>
      </c>
      <c r="S21" s="47">
        <v>4864</v>
      </c>
      <c r="T21" s="47">
        <v>5012</v>
      </c>
      <c r="U21" s="47">
        <v>4938</v>
      </c>
      <c r="V21" s="47">
        <v>5091</v>
      </c>
      <c r="W21" s="47">
        <v>5109</v>
      </c>
      <c r="X21" s="47">
        <v>4990</v>
      </c>
      <c r="Y21" s="47">
        <v>5085</v>
      </c>
      <c r="Z21" s="47">
        <v>5309</v>
      </c>
      <c r="AA21" s="47">
        <v>4088</v>
      </c>
      <c r="AB21" s="47">
        <v>5049</v>
      </c>
      <c r="AC21" s="47">
        <v>4805</v>
      </c>
      <c r="AD21" s="47">
        <v>5531</v>
      </c>
      <c r="AE21" s="47">
        <v>5045</v>
      </c>
      <c r="AF21" s="47">
        <v>5436</v>
      </c>
      <c r="AG21" s="47">
        <v>5640</v>
      </c>
      <c r="AH21" s="47">
        <v>6138</v>
      </c>
      <c r="AI21" s="47">
        <v>6605</v>
      </c>
      <c r="AJ21" s="47">
        <v>6754</v>
      </c>
      <c r="AK21" s="47">
        <v>8643</v>
      </c>
      <c r="AL21" s="47">
        <v>8962</v>
      </c>
      <c r="AM21" s="47">
        <v>8930</v>
      </c>
      <c r="AN21" s="47">
        <v>9088</v>
      </c>
      <c r="AO21" s="47">
        <v>9001</v>
      </c>
      <c r="AP21" s="47">
        <v>10080</v>
      </c>
      <c r="AQ21" s="47">
        <v>9760</v>
      </c>
      <c r="AR21" s="47">
        <v>10645</v>
      </c>
      <c r="AS21" s="47">
        <v>11099</v>
      </c>
      <c r="AT21" s="47">
        <v>11325</v>
      </c>
      <c r="AU21" s="47">
        <v>12985</v>
      </c>
      <c r="AV21" s="47">
        <v>13266</v>
      </c>
      <c r="AW21" s="47">
        <v>14482</v>
      </c>
      <c r="AX21" s="47">
        <v>14651</v>
      </c>
      <c r="AY21" s="47">
        <v>14297</v>
      </c>
      <c r="AZ21" s="47">
        <v>15858</v>
      </c>
      <c r="BA21" s="47">
        <v>16090</v>
      </c>
      <c r="BB21" s="47">
        <f>BB18+BB19-BB20</f>
        <v>10813</v>
      </c>
      <c r="BC21" s="42"/>
      <c r="BD21" s="42"/>
    </row>
    <row r="22" spans="1:56" s="5" customFormat="1" x14ac:dyDescent="0.25">
      <c r="A22" s="12"/>
      <c r="B22" s="2" t="s">
        <v>14</v>
      </c>
      <c r="C22" s="2" t="s">
        <v>42</v>
      </c>
      <c r="D22" s="44">
        <v>293</v>
      </c>
      <c r="E22" s="44">
        <v>323</v>
      </c>
      <c r="F22" s="44">
        <v>422</v>
      </c>
      <c r="G22" s="44">
        <v>530</v>
      </c>
      <c r="H22" s="44">
        <v>673</v>
      </c>
      <c r="I22" s="44">
        <v>576</v>
      </c>
      <c r="J22" s="44">
        <v>734</v>
      </c>
      <c r="K22" s="44">
        <v>844</v>
      </c>
      <c r="L22" s="44">
        <v>837</v>
      </c>
      <c r="M22" s="44">
        <v>904</v>
      </c>
      <c r="N22" s="44">
        <v>981</v>
      </c>
      <c r="O22" s="44">
        <v>1100</v>
      </c>
      <c r="P22" s="44">
        <v>1119</v>
      </c>
      <c r="Q22" s="44">
        <v>1212</v>
      </c>
      <c r="R22" s="44">
        <v>1712</v>
      </c>
      <c r="S22" s="44">
        <v>2313</v>
      </c>
      <c r="T22" s="44">
        <v>2763</v>
      </c>
      <c r="U22" s="44">
        <v>2679</v>
      </c>
      <c r="V22" s="44">
        <v>3409</v>
      </c>
      <c r="W22" s="44">
        <v>4100</v>
      </c>
      <c r="X22" s="44">
        <v>4471</v>
      </c>
      <c r="Y22" s="44">
        <v>4582</v>
      </c>
      <c r="Z22" s="44">
        <v>4740</v>
      </c>
      <c r="AA22" s="44">
        <v>4342</v>
      </c>
      <c r="AB22" s="44">
        <v>4135</v>
      </c>
      <c r="AC22" s="44">
        <v>4439</v>
      </c>
      <c r="AD22" s="44">
        <v>4530</v>
      </c>
      <c r="AE22" s="44">
        <v>4587</v>
      </c>
      <c r="AF22" s="44">
        <v>4679</v>
      </c>
      <c r="AG22" s="44">
        <v>4743</v>
      </c>
      <c r="AH22" s="44">
        <v>4826</v>
      </c>
      <c r="AI22" s="44">
        <v>4805</v>
      </c>
      <c r="AJ22" s="44">
        <v>4764</v>
      </c>
      <c r="AK22" s="44">
        <v>4410</v>
      </c>
      <c r="AL22" s="44">
        <v>4398</v>
      </c>
      <c r="AM22" s="44">
        <v>4634</v>
      </c>
      <c r="AN22" s="44">
        <v>4759</v>
      </c>
      <c r="AO22" s="44">
        <v>4570</v>
      </c>
      <c r="AP22" s="44">
        <v>4885</v>
      </c>
      <c r="AQ22" s="44">
        <v>5284</v>
      </c>
      <c r="AR22" s="44">
        <v>5304</v>
      </c>
      <c r="AS22" s="44">
        <v>5304</v>
      </c>
      <c r="AT22" s="44">
        <v>5116</v>
      </c>
      <c r="AU22" s="44">
        <v>5336</v>
      </c>
      <c r="AV22" s="44">
        <v>5445</v>
      </c>
      <c r="AW22" s="44">
        <v>5480</v>
      </c>
      <c r="AX22" s="44">
        <v>6243</v>
      </c>
      <c r="AY22" s="44">
        <v>6154</v>
      </c>
      <c r="AZ22" s="44">
        <v>6151</v>
      </c>
      <c r="BA22" s="44">
        <v>6319</v>
      </c>
      <c r="BB22" s="45">
        <v>6510</v>
      </c>
      <c r="BC22" s="43">
        <v>6526</v>
      </c>
      <c r="BD22" s="43">
        <v>6610</v>
      </c>
    </row>
    <row r="23" spans="1:56" x14ac:dyDescent="0.25">
      <c r="A23" s="12"/>
      <c r="B23" s="6"/>
      <c r="C23" s="6" t="s">
        <v>45</v>
      </c>
      <c r="D23" s="47">
        <v>0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v>0</v>
      </c>
      <c r="P23" s="47">
        <v>175</v>
      </c>
      <c r="Q23" s="47">
        <v>345</v>
      </c>
      <c r="R23" s="47">
        <v>361</v>
      </c>
      <c r="S23" s="47">
        <v>411</v>
      </c>
      <c r="T23" s="47">
        <v>587</v>
      </c>
      <c r="U23" s="47">
        <v>783</v>
      </c>
      <c r="V23" s="47">
        <v>809</v>
      </c>
      <c r="W23" s="47">
        <v>911</v>
      </c>
      <c r="X23" s="47">
        <v>1164</v>
      </c>
      <c r="Y23" s="47">
        <v>1240</v>
      </c>
      <c r="Z23" s="47">
        <v>1194</v>
      </c>
      <c r="AA23" s="47">
        <v>910</v>
      </c>
      <c r="AB23" s="47">
        <v>982</v>
      </c>
      <c r="AC23" s="47">
        <v>970</v>
      </c>
      <c r="AD23" s="47">
        <v>975</v>
      </c>
      <c r="AE23" s="47">
        <v>887</v>
      </c>
      <c r="AF23" s="47">
        <v>800</v>
      </c>
      <c r="AG23" s="47">
        <v>804</v>
      </c>
      <c r="AH23" s="47">
        <v>913</v>
      </c>
      <c r="AI23" s="47">
        <v>991</v>
      </c>
      <c r="AJ23" s="47">
        <v>890</v>
      </c>
      <c r="AK23" s="47">
        <v>977</v>
      </c>
      <c r="AL23" s="47">
        <v>961</v>
      </c>
      <c r="AM23" s="47">
        <v>1038</v>
      </c>
      <c r="AN23" s="47">
        <v>1127</v>
      </c>
      <c r="AO23" s="47">
        <v>1354</v>
      </c>
      <c r="AP23" s="47">
        <v>1309</v>
      </c>
      <c r="AQ23" s="47">
        <v>1546</v>
      </c>
      <c r="AR23" s="47">
        <v>1411</v>
      </c>
      <c r="AS23" s="47">
        <v>1725</v>
      </c>
      <c r="AT23" s="47">
        <v>2196</v>
      </c>
      <c r="AU23" s="47">
        <v>2310</v>
      </c>
      <c r="AV23" s="47">
        <v>2401</v>
      </c>
      <c r="AW23" s="47">
        <v>2169</v>
      </c>
      <c r="AX23" s="47">
        <v>2474</v>
      </c>
      <c r="AY23" s="47">
        <v>2732</v>
      </c>
      <c r="AZ23" s="47">
        <v>2354</v>
      </c>
      <c r="BA23" s="47">
        <v>2444</v>
      </c>
      <c r="BB23" s="48">
        <v>2598</v>
      </c>
      <c r="BC23" s="42"/>
      <c r="BD23" s="42"/>
    </row>
    <row r="24" spans="1:56" s="5" customFormat="1" x14ac:dyDescent="0.25">
      <c r="A24" s="12"/>
      <c r="B24" s="2"/>
      <c r="C24" s="2" t="s">
        <v>44</v>
      </c>
      <c r="D24" s="44">
        <v>0</v>
      </c>
      <c r="E24" s="44">
        <v>0</v>
      </c>
      <c r="F24" s="44">
        <v>0</v>
      </c>
      <c r="G24" s="44">
        <v>0</v>
      </c>
      <c r="H24" s="44">
        <v>0</v>
      </c>
      <c r="I24" s="44">
        <v>0</v>
      </c>
      <c r="J24" s="44">
        <v>0</v>
      </c>
      <c r="K24" s="44">
        <v>0</v>
      </c>
      <c r="L24" s="44">
        <v>0</v>
      </c>
      <c r="M24" s="44">
        <v>0</v>
      </c>
      <c r="N24" s="44">
        <v>0</v>
      </c>
      <c r="O24" s="44">
        <v>0</v>
      </c>
      <c r="P24" s="44">
        <v>0</v>
      </c>
      <c r="Q24" s="44">
        <v>0</v>
      </c>
      <c r="R24" s="44">
        <v>0</v>
      </c>
      <c r="S24" s="44">
        <v>0</v>
      </c>
      <c r="T24" s="44">
        <v>1</v>
      </c>
      <c r="U24" s="44">
        <v>20</v>
      </c>
      <c r="V24" s="44">
        <v>4</v>
      </c>
      <c r="W24" s="44">
        <v>36</v>
      </c>
      <c r="X24" s="44">
        <v>53</v>
      </c>
      <c r="Y24" s="44">
        <v>78</v>
      </c>
      <c r="Z24" s="44">
        <v>175</v>
      </c>
      <c r="AA24" s="44">
        <v>31</v>
      </c>
      <c r="AB24" s="44">
        <v>21</v>
      </c>
      <c r="AC24" s="44">
        <v>70</v>
      </c>
      <c r="AD24" s="44">
        <v>30</v>
      </c>
      <c r="AE24" s="44">
        <v>37</v>
      </c>
      <c r="AF24" s="44">
        <v>20</v>
      </c>
      <c r="AG24" s="44">
        <v>45</v>
      </c>
      <c r="AH24" s="44">
        <v>43</v>
      </c>
      <c r="AI24" s="44">
        <v>46</v>
      </c>
      <c r="AJ24" s="44">
        <v>45</v>
      </c>
      <c r="AK24" s="44">
        <v>50</v>
      </c>
      <c r="AL24" s="44">
        <v>50</v>
      </c>
      <c r="AM24" s="44">
        <v>17</v>
      </c>
      <c r="AN24" s="44">
        <v>28</v>
      </c>
      <c r="AO24" s="44">
        <v>35</v>
      </c>
      <c r="AP24" s="44">
        <v>44</v>
      </c>
      <c r="AQ24" s="44">
        <v>67</v>
      </c>
      <c r="AR24" s="44">
        <v>200</v>
      </c>
      <c r="AS24" s="44">
        <v>238</v>
      </c>
      <c r="AT24" s="44">
        <v>451</v>
      </c>
      <c r="AU24" s="44">
        <v>416</v>
      </c>
      <c r="AV24" s="44">
        <v>404</v>
      </c>
      <c r="AW24" s="44">
        <v>164</v>
      </c>
      <c r="AX24" s="44">
        <v>386</v>
      </c>
      <c r="AY24" s="44">
        <v>446</v>
      </c>
      <c r="AZ24" s="44">
        <v>288</v>
      </c>
      <c r="BA24" s="44">
        <v>314</v>
      </c>
      <c r="BB24" s="45">
        <v>359</v>
      </c>
      <c r="BC24" s="43"/>
      <c r="BD24" s="43"/>
    </row>
    <row r="25" spans="1:56" ht="30" x14ac:dyDescent="0.25">
      <c r="A25" s="12"/>
      <c r="C25" s="6" t="s">
        <v>43</v>
      </c>
      <c r="D25" s="47">
        <f>D22+D23-D24</f>
        <v>293</v>
      </c>
      <c r="E25" s="47">
        <f t="shared" ref="E25:BB25" si="0">E22+E23-E24</f>
        <v>323</v>
      </c>
      <c r="F25" s="47">
        <f t="shared" si="0"/>
        <v>422</v>
      </c>
      <c r="G25" s="47">
        <f t="shared" si="0"/>
        <v>530</v>
      </c>
      <c r="H25" s="47">
        <f t="shared" si="0"/>
        <v>673</v>
      </c>
      <c r="I25" s="47">
        <f t="shared" si="0"/>
        <v>576</v>
      </c>
      <c r="J25" s="47">
        <f t="shared" si="0"/>
        <v>734</v>
      </c>
      <c r="K25" s="47">
        <f t="shared" si="0"/>
        <v>844</v>
      </c>
      <c r="L25" s="47">
        <f t="shared" si="0"/>
        <v>837</v>
      </c>
      <c r="M25" s="47">
        <f t="shared" si="0"/>
        <v>904</v>
      </c>
      <c r="N25" s="47">
        <f t="shared" si="0"/>
        <v>981</v>
      </c>
      <c r="O25" s="47">
        <f t="shared" si="0"/>
        <v>1100</v>
      </c>
      <c r="P25" s="47">
        <f t="shared" si="0"/>
        <v>1294</v>
      </c>
      <c r="Q25" s="47">
        <f t="shared" si="0"/>
        <v>1557</v>
      </c>
      <c r="R25" s="47">
        <f t="shared" si="0"/>
        <v>2073</v>
      </c>
      <c r="S25" s="47">
        <f t="shared" si="0"/>
        <v>2724</v>
      </c>
      <c r="T25" s="47">
        <f t="shared" si="0"/>
        <v>3349</v>
      </c>
      <c r="U25" s="47">
        <f t="shared" si="0"/>
        <v>3442</v>
      </c>
      <c r="V25" s="47">
        <f t="shared" si="0"/>
        <v>4214</v>
      </c>
      <c r="W25" s="47">
        <f t="shared" si="0"/>
        <v>4975</v>
      </c>
      <c r="X25" s="47">
        <f t="shared" si="0"/>
        <v>5582</v>
      </c>
      <c r="Y25" s="47">
        <f t="shared" si="0"/>
        <v>5744</v>
      </c>
      <c r="Z25" s="47">
        <f t="shared" si="0"/>
        <v>5759</v>
      </c>
      <c r="AA25" s="47">
        <f t="shared" si="0"/>
        <v>5221</v>
      </c>
      <c r="AB25" s="47">
        <f t="shared" si="0"/>
        <v>5096</v>
      </c>
      <c r="AC25" s="47">
        <f t="shared" si="0"/>
        <v>5339</v>
      </c>
      <c r="AD25" s="47">
        <f t="shared" si="0"/>
        <v>5475</v>
      </c>
      <c r="AE25" s="47">
        <f t="shared" si="0"/>
        <v>5437</v>
      </c>
      <c r="AF25" s="47">
        <f t="shared" si="0"/>
        <v>5459</v>
      </c>
      <c r="AG25" s="47">
        <f t="shared" si="0"/>
        <v>5502</v>
      </c>
      <c r="AH25" s="47">
        <f t="shared" si="0"/>
        <v>5696</v>
      </c>
      <c r="AI25" s="47">
        <f t="shared" si="0"/>
        <v>5750</v>
      </c>
      <c r="AJ25" s="47">
        <f t="shared" si="0"/>
        <v>5609</v>
      </c>
      <c r="AK25" s="47">
        <f t="shared" si="0"/>
        <v>5337</v>
      </c>
      <c r="AL25" s="47">
        <f t="shared" si="0"/>
        <v>5309</v>
      </c>
      <c r="AM25" s="47">
        <f t="shared" si="0"/>
        <v>5655</v>
      </c>
      <c r="AN25" s="47">
        <f t="shared" si="0"/>
        <v>5858</v>
      </c>
      <c r="AO25" s="47">
        <f t="shared" si="0"/>
        <v>5889</v>
      </c>
      <c r="AP25" s="47">
        <f t="shared" si="0"/>
        <v>6150</v>
      </c>
      <c r="AQ25" s="47">
        <f t="shared" si="0"/>
        <v>6763</v>
      </c>
      <c r="AR25" s="47">
        <f t="shared" si="0"/>
        <v>6515</v>
      </c>
      <c r="AS25" s="47">
        <f t="shared" si="0"/>
        <v>6791</v>
      </c>
      <c r="AT25" s="47">
        <f t="shared" si="0"/>
        <v>6861</v>
      </c>
      <c r="AU25" s="47">
        <f t="shared" si="0"/>
        <v>7230</v>
      </c>
      <c r="AV25" s="47">
        <f t="shared" si="0"/>
        <v>7442</v>
      </c>
      <c r="AW25" s="47">
        <f t="shared" si="0"/>
        <v>7485</v>
      </c>
      <c r="AX25" s="47">
        <f t="shared" si="0"/>
        <v>8331</v>
      </c>
      <c r="AY25" s="47">
        <f t="shared" si="0"/>
        <v>8440</v>
      </c>
      <c r="AZ25" s="47">
        <f t="shared" si="0"/>
        <v>8217</v>
      </c>
      <c r="BA25" s="47">
        <f t="shared" si="0"/>
        <v>8449</v>
      </c>
      <c r="BB25" s="47">
        <f t="shared" si="0"/>
        <v>8749</v>
      </c>
      <c r="BC25" s="42"/>
      <c r="BD25" s="42"/>
    </row>
    <row r="26" spans="1:56" x14ac:dyDescent="0.25">
      <c r="A26" s="14"/>
      <c r="B26" s="6" t="s">
        <v>15</v>
      </c>
      <c r="C26" s="6" t="s">
        <v>6</v>
      </c>
      <c r="D26" s="47">
        <v>0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5</v>
      </c>
      <c r="M26" s="47">
        <v>6</v>
      </c>
      <c r="N26" s="47">
        <v>6</v>
      </c>
      <c r="O26" s="47">
        <v>7</v>
      </c>
      <c r="P26" s="47">
        <v>6</v>
      </c>
      <c r="Q26" s="47">
        <v>4</v>
      </c>
      <c r="R26" s="47">
        <v>6</v>
      </c>
      <c r="S26" s="47">
        <v>18</v>
      </c>
      <c r="T26" s="47">
        <v>20</v>
      </c>
      <c r="U26" s="47">
        <v>21</v>
      </c>
      <c r="V26" s="47">
        <v>22</v>
      </c>
      <c r="W26" s="47">
        <v>23</v>
      </c>
      <c r="X26" s="47">
        <v>24</v>
      </c>
      <c r="Y26" s="47">
        <v>25</v>
      </c>
      <c r="Z26" s="47">
        <v>30</v>
      </c>
      <c r="AA26" s="47">
        <v>35</v>
      </c>
      <c r="AB26" s="47">
        <v>42</v>
      </c>
      <c r="AC26" s="47">
        <v>10</v>
      </c>
      <c r="AD26" s="47">
        <v>15</v>
      </c>
      <c r="AE26" s="47">
        <v>30</v>
      </c>
      <c r="AF26" s="47">
        <v>50</v>
      </c>
      <c r="AG26" s="47">
        <v>60</v>
      </c>
      <c r="AH26" s="47">
        <v>50</v>
      </c>
      <c r="AI26" s="47">
        <v>60</v>
      </c>
      <c r="AJ26" s="47">
        <v>40</v>
      </c>
      <c r="AK26" s="47">
        <v>30</v>
      </c>
      <c r="AL26" s="47">
        <v>30</v>
      </c>
      <c r="AM26" s="47">
        <v>50</v>
      </c>
      <c r="AN26" s="47">
        <v>35</v>
      </c>
      <c r="AO26" s="47">
        <v>20</v>
      </c>
      <c r="AP26" s="47">
        <v>40</v>
      </c>
      <c r="AQ26" s="47">
        <v>45</v>
      </c>
      <c r="AR26" s="47">
        <v>45</v>
      </c>
      <c r="AS26" s="47">
        <v>50</v>
      </c>
      <c r="AT26" s="47">
        <v>75</v>
      </c>
      <c r="AU26" s="47">
        <v>60</v>
      </c>
      <c r="AV26" s="47">
        <v>70</v>
      </c>
      <c r="AW26" s="47">
        <v>85</v>
      </c>
      <c r="AX26" s="47">
        <v>100</v>
      </c>
      <c r="AY26" s="47">
        <v>100</v>
      </c>
      <c r="AZ26" s="47">
        <v>100</v>
      </c>
      <c r="BA26" s="47">
        <v>100</v>
      </c>
      <c r="BB26" s="47">
        <v>204</v>
      </c>
      <c r="BC26" s="58">
        <v>169</v>
      </c>
      <c r="BD26" s="58">
        <v>145</v>
      </c>
    </row>
    <row r="27" spans="1:56" s="5" customFormat="1" x14ac:dyDescent="0.25">
      <c r="A27" s="12"/>
      <c r="B27" s="2"/>
      <c r="C27" s="2" t="s">
        <v>7</v>
      </c>
      <c r="D27" s="44">
        <v>276</v>
      </c>
      <c r="E27" s="44">
        <v>288</v>
      </c>
      <c r="F27" s="44">
        <v>268</v>
      </c>
      <c r="G27" s="44">
        <v>247</v>
      </c>
      <c r="H27" s="44">
        <v>336</v>
      </c>
      <c r="I27" s="44">
        <v>421</v>
      </c>
      <c r="J27" s="44">
        <v>499</v>
      </c>
      <c r="K27" s="44">
        <v>411</v>
      </c>
      <c r="L27" s="44">
        <v>421</v>
      </c>
      <c r="M27" s="44">
        <v>635</v>
      </c>
      <c r="N27" s="44">
        <v>841</v>
      </c>
      <c r="O27" s="44">
        <v>760</v>
      </c>
      <c r="P27" s="44">
        <v>791</v>
      </c>
      <c r="Q27" s="44">
        <v>708</v>
      </c>
      <c r="R27" s="44">
        <v>756</v>
      </c>
      <c r="S27" s="44">
        <v>914</v>
      </c>
      <c r="T27" s="44">
        <v>1278</v>
      </c>
      <c r="U27" s="44">
        <v>1643</v>
      </c>
      <c r="V27" s="44">
        <v>1850</v>
      </c>
      <c r="W27" s="44">
        <v>1905</v>
      </c>
      <c r="X27" s="44">
        <v>1983</v>
      </c>
      <c r="Y27" s="44">
        <v>2163</v>
      </c>
      <c r="Z27" s="44">
        <v>2163</v>
      </c>
      <c r="AA27" s="44">
        <v>2364</v>
      </c>
      <c r="AB27" s="44">
        <v>2476</v>
      </c>
      <c r="AC27" s="44">
        <v>2003</v>
      </c>
      <c r="AD27" s="44">
        <v>1753</v>
      </c>
      <c r="AE27" s="44">
        <v>1213</v>
      </c>
      <c r="AF27" s="44">
        <v>1218</v>
      </c>
      <c r="AG27" s="44">
        <v>1207</v>
      </c>
      <c r="AH27" s="44">
        <v>1729</v>
      </c>
      <c r="AI27" s="44">
        <v>1667</v>
      </c>
      <c r="AJ27" s="44">
        <v>1837</v>
      </c>
      <c r="AK27" s="44">
        <v>1893</v>
      </c>
      <c r="AL27" s="44">
        <v>1690</v>
      </c>
      <c r="AM27" s="44">
        <v>1619</v>
      </c>
      <c r="AN27" s="44">
        <v>2270</v>
      </c>
      <c r="AO27" s="44">
        <v>2515</v>
      </c>
      <c r="AP27" s="44">
        <v>2934</v>
      </c>
      <c r="AQ27" s="44">
        <v>2547</v>
      </c>
      <c r="AR27" s="44">
        <v>3406</v>
      </c>
      <c r="AS27" s="44">
        <v>4023</v>
      </c>
      <c r="AT27" s="44">
        <v>3895</v>
      </c>
      <c r="AU27" s="44">
        <v>3700</v>
      </c>
      <c r="AV27" s="44">
        <v>4798</v>
      </c>
      <c r="AW27" s="44">
        <v>5568</v>
      </c>
      <c r="AX27" s="44">
        <v>4892</v>
      </c>
      <c r="AY27" s="44">
        <v>4409</v>
      </c>
      <c r="AZ27" s="44">
        <v>5380</v>
      </c>
      <c r="BA27" s="44">
        <v>6446</v>
      </c>
      <c r="BB27" s="44">
        <v>5637</v>
      </c>
      <c r="BC27" s="43"/>
      <c r="BD27" s="43"/>
    </row>
    <row r="28" spans="1:56" x14ac:dyDescent="0.25">
      <c r="A28" s="14"/>
      <c r="B28" s="6"/>
      <c r="C28" s="6" t="s">
        <v>8</v>
      </c>
      <c r="D28" s="47">
        <v>19</v>
      </c>
      <c r="E28" s="47">
        <v>21</v>
      </c>
      <c r="F28" s="47">
        <v>22</v>
      </c>
      <c r="G28" s="47">
        <v>22</v>
      </c>
      <c r="H28" s="47">
        <v>52</v>
      </c>
      <c r="I28" s="47">
        <v>28</v>
      </c>
      <c r="J28" s="47">
        <v>29</v>
      </c>
      <c r="K28" s="47">
        <v>14</v>
      </c>
      <c r="L28" s="47">
        <v>24</v>
      </c>
      <c r="M28" s="47">
        <v>30</v>
      </c>
      <c r="N28" s="47">
        <v>19</v>
      </c>
      <c r="O28" s="47">
        <v>16</v>
      </c>
      <c r="P28" s="47">
        <v>0</v>
      </c>
      <c r="Q28" s="47">
        <v>0</v>
      </c>
      <c r="R28" s="47">
        <v>0</v>
      </c>
      <c r="S28" s="47">
        <v>0</v>
      </c>
      <c r="T28" s="47">
        <v>0</v>
      </c>
      <c r="U28" s="47">
        <v>26</v>
      </c>
      <c r="V28" s="47">
        <v>0</v>
      </c>
      <c r="W28" s="47">
        <v>0</v>
      </c>
      <c r="X28" s="47">
        <v>0</v>
      </c>
      <c r="Y28" s="47">
        <v>0</v>
      </c>
      <c r="Z28" s="47">
        <v>0</v>
      </c>
      <c r="AA28" s="47">
        <v>0</v>
      </c>
      <c r="AB28" s="47">
        <v>0</v>
      </c>
      <c r="AC28" s="47">
        <v>0</v>
      </c>
      <c r="AD28" s="47">
        <v>0</v>
      </c>
      <c r="AE28" s="47">
        <v>0</v>
      </c>
      <c r="AF28" s="47">
        <v>0</v>
      </c>
      <c r="AG28" s="47">
        <v>0</v>
      </c>
      <c r="AH28" s="47">
        <v>0</v>
      </c>
      <c r="AI28" s="47">
        <v>0</v>
      </c>
      <c r="AJ28" s="47">
        <v>0</v>
      </c>
      <c r="AK28" s="47">
        <v>0</v>
      </c>
      <c r="AL28" s="47">
        <v>0</v>
      </c>
      <c r="AM28" s="47">
        <v>0</v>
      </c>
      <c r="AN28" s="47">
        <v>0</v>
      </c>
      <c r="AO28" s="47">
        <v>0</v>
      </c>
      <c r="AP28" s="47">
        <v>0</v>
      </c>
      <c r="AQ28" s="47">
        <v>0</v>
      </c>
      <c r="AR28" s="47">
        <v>0</v>
      </c>
      <c r="AS28" s="47">
        <v>0</v>
      </c>
      <c r="AT28" s="47">
        <v>0</v>
      </c>
      <c r="AU28" s="47">
        <v>0</v>
      </c>
      <c r="AV28" s="47">
        <v>0</v>
      </c>
      <c r="AW28" s="47">
        <v>60</v>
      </c>
      <c r="AX28" s="47">
        <v>85</v>
      </c>
      <c r="AY28" s="47">
        <v>58</v>
      </c>
      <c r="AZ28" s="47">
        <v>138</v>
      </c>
      <c r="BA28" s="47">
        <v>171</v>
      </c>
      <c r="BB28" s="47">
        <v>11</v>
      </c>
      <c r="BC28" s="42"/>
      <c r="BD28" s="42"/>
    </row>
    <row r="29" spans="1:56" s="5" customFormat="1" x14ac:dyDescent="0.25">
      <c r="A29" s="12"/>
      <c r="B29" s="2"/>
      <c r="C29" s="2" t="s">
        <v>9</v>
      </c>
      <c r="D29" s="44">
        <v>257</v>
      </c>
      <c r="E29" s="44">
        <v>267</v>
      </c>
      <c r="F29" s="44">
        <v>246</v>
      </c>
      <c r="G29" s="44">
        <v>225</v>
      </c>
      <c r="H29" s="44">
        <v>284</v>
      </c>
      <c r="I29" s="44">
        <v>383</v>
      </c>
      <c r="J29" s="44">
        <v>460</v>
      </c>
      <c r="K29" s="44">
        <v>398</v>
      </c>
      <c r="L29" s="44">
        <v>398</v>
      </c>
      <c r="M29" s="44">
        <v>598</v>
      </c>
      <c r="N29" s="44">
        <v>825</v>
      </c>
      <c r="O29" s="44">
        <v>727</v>
      </c>
      <c r="P29" s="44">
        <v>790</v>
      </c>
      <c r="Q29" s="44">
        <v>725</v>
      </c>
      <c r="R29" s="44">
        <v>778</v>
      </c>
      <c r="S29" s="44">
        <v>913</v>
      </c>
      <c r="T29" s="44">
        <v>1268</v>
      </c>
      <c r="U29" s="44">
        <v>1606</v>
      </c>
      <c r="V29" s="44">
        <v>1820</v>
      </c>
      <c r="W29" s="44">
        <v>1946</v>
      </c>
      <c r="X29" s="44">
        <v>2012</v>
      </c>
      <c r="Y29" s="44">
        <v>2183</v>
      </c>
      <c r="Z29" s="44">
        <v>2228</v>
      </c>
      <c r="AA29" s="44">
        <v>2364</v>
      </c>
      <c r="AB29" s="44">
        <v>2500</v>
      </c>
      <c r="AC29" s="44">
        <v>2057</v>
      </c>
      <c r="AD29" s="44">
        <v>1673</v>
      </c>
      <c r="AE29" s="44">
        <v>1406</v>
      </c>
      <c r="AF29" s="44">
        <v>1273</v>
      </c>
      <c r="AG29" s="44">
        <v>1279</v>
      </c>
      <c r="AH29" s="44">
        <v>1759</v>
      </c>
      <c r="AI29" s="44">
        <v>1727</v>
      </c>
      <c r="AJ29" s="44">
        <v>1797</v>
      </c>
      <c r="AK29" s="44">
        <v>1868</v>
      </c>
      <c r="AL29" s="44">
        <v>1845</v>
      </c>
      <c r="AM29" s="44">
        <v>1669</v>
      </c>
      <c r="AN29" s="44">
        <v>2305</v>
      </c>
      <c r="AO29" s="44">
        <v>2535</v>
      </c>
      <c r="AP29" s="44">
        <v>2824</v>
      </c>
      <c r="AQ29" s="44">
        <v>2592</v>
      </c>
      <c r="AR29" s="44">
        <v>3451</v>
      </c>
      <c r="AS29" s="44">
        <v>4073</v>
      </c>
      <c r="AT29" s="44">
        <v>3970</v>
      </c>
      <c r="AU29" s="44">
        <v>3760</v>
      </c>
      <c r="AV29" s="44">
        <v>4868</v>
      </c>
      <c r="AW29" s="44">
        <v>5596</v>
      </c>
      <c r="AX29" s="44">
        <v>4903</v>
      </c>
      <c r="AY29" s="44">
        <v>4493</v>
      </c>
      <c r="AZ29" s="44">
        <v>5281</v>
      </c>
      <c r="BA29" s="44">
        <v>6199</v>
      </c>
      <c r="BB29" s="44">
        <f>BB26+BB27-BB28</f>
        <v>5830</v>
      </c>
      <c r="BC29" s="43"/>
      <c r="BD29" s="43"/>
    </row>
    <row r="30" spans="1:56" x14ac:dyDescent="0.25">
      <c r="A30" s="29" t="s">
        <v>50</v>
      </c>
    </row>
    <row r="35" spans="1:54" s="5" customFormat="1" x14ac:dyDescent="0.25">
      <c r="A35" s="32"/>
      <c r="B35" s="32"/>
      <c r="C35" s="32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6"/>
      <c r="AD35" s="36"/>
      <c r="AE35" s="33"/>
      <c r="AF35" s="36"/>
      <c r="AG35" s="36"/>
      <c r="AH35" s="36"/>
      <c r="AI35" s="36"/>
      <c r="AJ35" s="36"/>
      <c r="AK35" s="36"/>
      <c r="AL35" s="36"/>
      <c r="AM35" s="36"/>
      <c r="AN35" s="36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36"/>
    </row>
    <row r="36" spans="1:54" x14ac:dyDescent="0.25">
      <c r="A36" s="34"/>
      <c r="B36" s="34"/>
      <c r="C36" s="34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</row>
    <row r="37" spans="1:54" s="5" customFormat="1" x14ac:dyDescent="0.25">
      <c r="A37" s="32"/>
      <c r="B37" s="32"/>
      <c r="C37" s="32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</row>
    <row r="38" spans="1:54" x14ac:dyDescent="0.25">
      <c r="A38" s="34"/>
      <c r="B38" s="34"/>
      <c r="C38" s="34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  <c r="AM38" s="35"/>
      <c r="AN38" s="35"/>
      <c r="AO38" s="35"/>
      <c r="AP38" s="35"/>
      <c r="AQ38" s="35"/>
      <c r="AR38" s="35"/>
      <c r="AS38" s="35"/>
      <c r="AT38" s="35"/>
      <c r="AU38" s="35"/>
      <c r="AV38" s="35"/>
      <c r="AW38" s="35"/>
      <c r="AX38" s="35"/>
      <c r="AY38" s="35"/>
      <c r="AZ38" s="35"/>
      <c r="BA38" s="35"/>
      <c r="BB38" s="35"/>
    </row>
    <row r="39" spans="1:54" s="5" customFormat="1" x14ac:dyDescent="0.25">
      <c r="A39" s="32"/>
      <c r="B39" s="32"/>
      <c r="C39" s="32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  <c r="AN39" s="33"/>
      <c r="AO39" s="33"/>
      <c r="AP39" s="33"/>
      <c r="AQ39" s="33"/>
      <c r="AR39" s="33"/>
      <c r="AS39" s="33"/>
      <c r="AT39" s="33"/>
      <c r="AU39" s="33"/>
      <c r="AV39" s="33"/>
      <c r="AW39" s="33"/>
      <c r="AX39" s="33"/>
      <c r="AY39" s="33"/>
      <c r="AZ39" s="33"/>
      <c r="BA39" s="33"/>
      <c r="BB39" s="33"/>
    </row>
    <row r="40" spans="1:54" x14ac:dyDescent="0.25">
      <c r="A40" s="34"/>
      <c r="B40" s="34"/>
      <c r="C40" s="34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  <c r="AN40" s="35"/>
      <c r="AO40" s="35"/>
      <c r="AP40" s="35"/>
      <c r="AQ40" s="35"/>
      <c r="AR40" s="35"/>
      <c r="AS40" s="35"/>
      <c r="AT40" s="35"/>
      <c r="AU40" s="35"/>
      <c r="AV40" s="35"/>
      <c r="AW40" s="35"/>
      <c r="AX40" s="35"/>
      <c r="AY40" s="35"/>
      <c r="AZ40" s="35"/>
      <c r="BA40" s="35"/>
      <c r="BB40" s="35"/>
    </row>
    <row r="41" spans="1:54" s="5" customFormat="1" x14ac:dyDescent="0.25">
      <c r="A41" s="32"/>
      <c r="B41" s="32"/>
      <c r="C41" s="32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6"/>
      <c r="AS41" s="33"/>
      <c r="AT41" s="33"/>
      <c r="AU41" s="33"/>
      <c r="AV41" s="33"/>
      <c r="AW41" s="33"/>
      <c r="AX41" s="33"/>
      <c r="AY41" s="33"/>
      <c r="AZ41" s="33"/>
      <c r="BA41" s="33"/>
      <c r="BB41" s="33"/>
    </row>
    <row r="42" spans="1:54" x14ac:dyDescent="0.25">
      <c r="A42" s="34"/>
      <c r="B42" s="34"/>
      <c r="C42" s="34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5"/>
      <c r="AX42" s="35"/>
      <c r="AY42" s="35"/>
      <c r="AZ42" s="35"/>
      <c r="BA42" s="35"/>
      <c r="BB42" s="35"/>
    </row>
    <row r="43" spans="1:54" s="5" customFormat="1" x14ac:dyDescent="0.25">
      <c r="A43" s="32"/>
      <c r="B43" s="32"/>
      <c r="C43" s="32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  <c r="AU43" s="33"/>
      <c r="AV43" s="33"/>
      <c r="AW43" s="33"/>
      <c r="AX43" s="33"/>
      <c r="AY43" s="33"/>
      <c r="AZ43" s="33"/>
      <c r="BA43" s="33"/>
      <c r="BB43" s="33"/>
    </row>
    <row r="44" spans="1:54" x14ac:dyDescent="0.25">
      <c r="A44" s="34"/>
      <c r="B44" s="34"/>
      <c r="C44" s="34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  <c r="AN44" s="35"/>
      <c r="AO44" s="35"/>
      <c r="AP44" s="35"/>
      <c r="AQ44" s="35"/>
      <c r="AR44" s="35"/>
      <c r="AS44" s="35"/>
      <c r="AT44" s="35"/>
      <c r="AU44" s="35"/>
      <c r="AV44" s="35"/>
      <c r="AW44" s="35"/>
      <c r="AX44" s="35"/>
      <c r="AY44" s="35"/>
      <c r="AZ44" s="35"/>
      <c r="BA44" s="35"/>
      <c r="BB44" s="35"/>
    </row>
    <row r="45" spans="1:54" s="5" customFormat="1" x14ac:dyDescent="0.25">
      <c r="A45" s="32"/>
      <c r="B45" s="32"/>
      <c r="C45" s="32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6"/>
      <c r="O45" s="36"/>
      <c r="P45" s="36"/>
      <c r="Q45" s="36"/>
      <c r="R45" s="33"/>
      <c r="S45" s="36"/>
      <c r="T45" s="33"/>
      <c r="U45" s="33"/>
      <c r="V45" s="36"/>
      <c r="W45" s="33"/>
      <c r="X45" s="36"/>
      <c r="Y45" s="36"/>
      <c r="Z45" s="33"/>
      <c r="AA45" s="36"/>
      <c r="AB45" s="36"/>
      <c r="AC45" s="36"/>
      <c r="AD45" s="36"/>
      <c r="AE45" s="36"/>
      <c r="AF45" s="36"/>
      <c r="AG45" s="33"/>
      <c r="AH45" s="33"/>
      <c r="AI45" s="36"/>
      <c r="AJ45" s="33"/>
      <c r="AK45" s="33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36"/>
    </row>
    <row r="46" spans="1:54" x14ac:dyDescent="0.25">
      <c r="A46" s="34"/>
      <c r="B46" s="34"/>
      <c r="C46" s="34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  <c r="AF46" s="35"/>
      <c r="AG46" s="35"/>
      <c r="AH46" s="35"/>
      <c r="AI46" s="35"/>
      <c r="AJ46" s="35"/>
      <c r="AK46" s="35"/>
      <c r="AL46" s="35"/>
      <c r="AM46" s="35"/>
      <c r="AN46" s="35"/>
      <c r="AO46" s="35"/>
      <c r="AP46" s="35"/>
      <c r="AQ46" s="35"/>
      <c r="AR46" s="35"/>
      <c r="AS46" s="35"/>
      <c r="AT46" s="35"/>
      <c r="AU46" s="35"/>
      <c r="AV46" s="35"/>
      <c r="AW46" s="35"/>
      <c r="AX46" s="35"/>
      <c r="AY46" s="35"/>
      <c r="AZ46" s="35"/>
      <c r="BA46" s="35"/>
      <c r="BB46" s="35"/>
    </row>
    <row r="47" spans="1:54" s="5" customFormat="1" x14ac:dyDescent="0.25">
      <c r="A47" s="32"/>
      <c r="B47" s="32"/>
      <c r="C47" s="32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6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6"/>
      <c r="AB47" s="36"/>
      <c r="AC47" s="36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3"/>
      <c r="AV47" s="33"/>
      <c r="AW47" s="33"/>
      <c r="AX47" s="33"/>
      <c r="AY47" s="33"/>
      <c r="AZ47" s="36"/>
      <c r="BA47" s="33"/>
      <c r="BB47" s="36"/>
    </row>
    <row r="48" spans="1:54" x14ac:dyDescent="0.25">
      <c r="A48" s="34"/>
      <c r="B48" s="34"/>
      <c r="C48" s="34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35"/>
      <c r="AE48" s="37"/>
      <c r="AF48" s="35"/>
      <c r="AG48" s="35"/>
      <c r="AH48" s="35"/>
      <c r="AI48" s="37"/>
      <c r="AJ48" s="35"/>
      <c r="AK48" s="35"/>
      <c r="AL48" s="37"/>
      <c r="AM48" s="37"/>
      <c r="AN48" s="37"/>
      <c r="AO48" s="35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</row>
    <row r="49" spans="1:54" s="5" customFormat="1" x14ac:dyDescent="0.25">
      <c r="A49" s="34"/>
      <c r="B49" s="34"/>
      <c r="C49" s="34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7"/>
      <c r="AU49" s="37"/>
      <c r="AV49" s="37"/>
      <c r="AW49" s="37"/>
      <c r="AX49" s="37"/>
      <c r="AY49" s="37"/>
      <c r="AZ49" s="37"/>
      <c r="BA49" s="37"/>
      <c r="BB49" s="37"/>
    </row>
    <row r="50" spans="1:54" x14ac:dyDescent="0.25">
      <c r="A50" s="34"/>
      <c r="B50" s="32"/>
      <c r="C50" s="32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3"/>
      <c r="AR50" s="33"/>
      <c r="AS50" s="33"/>
      <c r="AT50" s="33"/>
      <c r="AU50" s="33"/>
      <c r="AV50" s="33"/>
      <c r="AW50" s="33"/>
      <c r="AX50" s="33"/>
      <c r="AY50" s="33"/>
      <c r="AZ50" s="33"/>
      <c r="BA50" s="33"/>
      <c r="BB50" s="33"/>
    </row>
    <row r="51" spans="1:54" s="5" customFormat="1" x14ac:dyDescent="0.25">
      <c r="A51" s="34"/>
      <c r="B51" s="34"/>
      <c r="C51" s="34"/>
      <c r="D51" s="35"/>
      <c r="E51" s="35"/>
      <c r="F51" s="35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  <c r="AP51" s="37"/>
      <c r="AQ51" s="37"/>
      <c r="AR51" s="37"/>
      <c r="AS51" s="37"/>
      <c r="AT51" s="37"/>
      <c r="AU51" s="37"/>
      <c r="AV51" s="37"/>
      <c r="AW51" s="37"/>
      <c r="AX51" s="37"/>
      <c r="AY51" s="37"/>
      <c r="AZ51" s="37"/>
      <c r="BA51" s="37"/>
      <c r="BB51" s="37"/>
    </row>
    <row r="52" spans="1:54" x14ac:dyDescent="0.25">
      <c r="A52" s="34"/>
      <c r="B52" s="32"/>
      <c r="C52" s="32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6"/>
      <c r="AT52" s="36"/>
      <c r="AU52" s="36"/>
      <c r="AV52" s="36"/>
      <c r="AW52" s="36"/>
      <c r="AX52" s="36"/>
      <c r="AY52" s="36"/>
      <c r="AZ52" s="36"/>
      <c r="BA52" s="36"/>
      <c r="BB52" s="36"/>
    </row>
    <row r="53" spans="1:54" x14ac:dyDescent="0.25">
      <c r="A53" s="34"/>
      <c r="B53" s="34"/>
      <c r="C53" s="34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7"/>
      <c r="AO53" s="37"/>
      <c r="AP53" s="37"/>
      <c r="AQ53" s="37"/>
      <c r="AR53" s="37"/>
      <c r="AS53" s="37"/>
      <c r="AT53" s="37"/>
      <c r="AU53" s="37"/>
      <c r="AV53" s="37"/>
      <c r="AW53" s="37"/>
      <c r="AX53" s="37"/>
      <c r="AY53" s="37"/>
      <c r="AZ53" s="37"/>
      <c r="BA53" s="37"/>
      <c r="BB53" s="37"/>
    </row>
    <row r="54" spans="1:54" s="5" customFormat="1" x14ac:dyDescent="0.25">
      <c r="A54" s="32"/>
      <c r="B54" s="32"/>
      <c r="C54" s="32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  <c r="AG54" s="33"/>
      <c r="AH54" s="33"/>
      <c r="AI54" s="33"/>
      <c r="AJ54" s="33"/>
      <c r="AK54" s="33"/>
      <c r="AL54" s="33"/>
      <c r="AM54" s="33"/>
      <c r="AN54" s="33"/>
      <c r="AO54" s="33"/>
      <c r="AP54" s="33"/>
      <c r="AQ54" s="33"/>
      <c r="AR54" s="33"/>
      <c r="AS54" s="33"/>
      <c r="AT54" s="33"/>
      <c r="AU54" s="33"/>
      <c r="AV54" s="33"/>
      <c r="AW54" s="33"/>
      <c r="AX54" s="33"/>
      <c r="AY54" s="33"/>
      <c r="AZ54" s="33"/>
      <c r="BA54" s="33"/>
      <c r="BB54" s="33"/>
    </row>
    <row r="55" spans="1:54" x14ac:dyDescent="0.25">
      <c r="A55" s="34"/>
      <c r="B55" s="34"/>
      <c r="C55" s="34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  <c r="AP55" s="37"/>
      <c r="AQ55" s="37"/>
      <c r="AR55" s="37"/>
      <c r="AS55" s="37"/>
      <c r="AT55" s="37"/>
      <c r="AU55" s="37"/>
      <c r="AV55" s="37"/>
      <c r="AW55" s="37"/>
      <c r="AX55" s="37"/>
      <c r="AY55" s="37"/>
      <c r="AZ55" s="37"/>
      <c r="BA55" s="37"/>
      <c r="BB55" s="37"/>
    </row>
    <row r="56" spans="1:54" s="5" customFormat="1" x14ac:dyDescent="0.25">
      <c r="A56" s="32"/>
      <c r="B56" s="32"/>
      <c r="C56" s="32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36"/>
      <c r="AJ56" s="36"/>
      <c r="AK56" s="36"/>
      <c r="AL56" s="36"/>
      <c r="AM56" s="36"/>
      <c r="AN56" s="36"/>
      <c r="AO56" s="36"/>
      <c r="AP56" s="36"/>
      <c r="AQ56" s="36"/>
      <c r="AR56" s="36"/>
      <c r="AS56" s="36"/>
      <c r="AT56" s="36"/>
      <c r="AU56" s="36"/>
      <c r="AV56" s="36"/>
      <c r="AW56" s="36"/>
      <c r="AX56" s="36"/>
      <c r="AY56" s="36"/>
      <c r="AZ56" s="36"/>
      <c r="BA56" s="36"/>
      <c r="BB56" s="36"/>
    </row>
    <row r="57" spans="1:54" x14ac:dyDescent="0.25">
      <c r="A57" s="34"/>
      <c r="B57" s="34"/>
      <c r="C57" s="34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37"/>
      <c r="AF57" s="37"/>
      <c r="AG57" s="37"/>
      <c r="AH57" s="37"/>
      <c r="AI57" s="37"/>
      <c r="AJ57" s="37"/>
      <c r="AK57" s="37"/>
      <c r="AL57" s="37"/>
      <c r="AM57" s="37"/>
      <c r="AN57" s="37"/>
      <c r="AO57" s="37"/>
      <c r="AP57" s="37"/>
      <c r="AQ57" s="37"/>
      <c r="AR57" s="37"/>
      <c r="AS57" s="37"/>
      <c r="AT57" s="37"/>
      <c r="AU57" s="37"/>
      <c r="AV57" s="37"/>
      <c r="AW57" s="37"/>
      <c r="AX57" s="37"/>
      <c r="AY57" s="37"/>
      <c r="AZ57" s="37"/>
      <c r="BA57" s="37"/>
      <c r="BB57" s="37"/>
    </row>
    <row r="58" spans="1:54" s="5" customFormat="1" x14ac:dyDescent="0.25">
      <c r="A58" s="32"/>
      <c r="B58" s="32"/>
      <c r="C58" s="32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6"/>
      <c r="V58" s="36"/>
      <c r="W58" s="36"/>
      <c r="X58" s="33"/>
      <c r="Y58" s="33"/>
      <c r="Z58" s="33"/>
      <c r="AA58" s="33"/>
      <c r="AB58" s="36"/>
      <c r="AC58" s="36"/>
      <c r="AD58" s="33"/>
      <c r="AE58" s="33"/>
      <c r="AF58" s="33"/>
      <c r="AG58" s="33"/>
      <c r="AH58" s="33"/>
      <c r="AI58" s="33"/>
      <c r="AJ58" s="36"/>
      <c r="AK58" s="36"/>
      <c r="AL58" s="36"/>
      <c r="AM58" s="33"/>
      <c r="AN58" s="33"/>
      <c r="AO58" s="36"/>
      <c r="AP58" s="36"/>
      <c r="AQ58" s="36"/>
      <c r="AR58" s="33"/>
      <c r="AS58" s="33"/>
      <c r="AT58" s="33"/>
      <c r="AU58" s="33"/>
      <c r="AV58" s="33"/>
      <c r="AW58" s="36"/>
      <c r="AX58" s="36"/>
      <c r="AY58" s="33"/>
      <c r="AZ58" s="36"/>
      <c r="BA58" s="33"/>
      <c r="BB58" s="36"/>
    </row>
    <row r="59" spans="1:54" x14ac:dyDescent="0.25">
      <c r="A59" s="34"/>
      <c r="B59" s="34"/>
      <c r="C59" s="34"/>
      <c r="D59" s="35"/>
      <c r="E59" s="35"/>
      <c r="F59" s="35"/>
      <c r="G59" s="35"/>
      <c r="H59" s="35"/>
      <c r="I59" s="35"/>
      <c r="J59" s="35"/>
      <c r="K59" s="37"/>
      <c r="L59" s="35"/>
      <c r="M59" s="37"/>
      <c r="N59" s="35"/>
      <c r="O59" s="35"/>
      <c r="P59" s="35"/>
      <c r="Q59" s="37"/>
      <c r="R59" s="35"/>
      <c r="S59" s="37"/>
      <c r="T59" s="37"/>
      <c r="U59" s="35"/>
      <c r="V59" s="35"/>
      <c r="W59" s="35"/>
      <c r="X59" s="35"/>
      <c r="Y59" s="35"/>
      <c r="Z59" s="35"/>
      <c r="AA59" s="35"/>
      <c r="AB59" s="35"/>
      <c r="AC59" s="35"/>
      <c r="AD59" s="35"/>
      <c r="AE59" s="35"/>
      <c r="AF59" s="35"/>
      <c r="AG59" s="35"/>
      <c r="AH59" s="35"/>
      <c r="AI59" s="35"/>
      <c r="AJ59" s="35"/>
      <c r="AK59" s="35"/>
      <c r="AL59" s="35"/>
      <c r="AM59" s="35"/>
      <c r="AN59" s="35"/>
      <c r="AO59" s="35"/>
      <c r="AP59" s="35"/>
      <c r="AQ59" s="35"/>
      <c r="AR59" s="37"/>
      <c r="AS59" s="37"/>
      <c r="AT59" s="37"/>
      <c r="AU59" s="37"/>
      <c r="AV59" s="35"/>
      <c r="AW59" s="37"/>
      <c r="AX59" s="37"/>
      <c r="AY59" s="37"/>
      <c r="AZ59" s="37"/>
      <c r="BA59" s="37"/>
      <c r="BB59" s="37"/>
    </row>
    <row r="60" spans="1:54" s="5" customFormat="1" x14ac:dyDescent="0.25">
      <c r="A60" s="32"/>
      <c r="B60" s="32"/>
      <c r="C60" s="32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6"/>
      <c r="AO60" s="36"/>
      <c r="AP60" s="36"/>
      <c r="AQ60" s="36"/>
      <c r="AR60" s="36"/>
      <c r="AS60" s="36"/>
      <c r="AT60" s="36"/>
      <c r="AU60" s="36"/>
      <c r="AV60" s="36"/>
      <c r="AW60" s="36"/>
      <c r="AX60" s="36"/>
      <c r="AY60" s="36"/>
      <c r="AZ60" s="36"/>
      <c r="BA60" s="36"/>
      <c r="BB60" s="36"/>
    </row>
    <row r="61" spans="1:54" x14ac:dyDescent="0.25">
      <c r="A61" s="34"/>
      <c r="B61" s="34"/>
      <c r="C61" s="34"/>
      <c r="D61" s="37"/>
      <c r="E61" s="37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  <c r="AF61" s="37"/>
      <c r="AG61" s="37"/>
      <c r="AH61" s="37"/>
      <c r="AI61" s="37"/>
      <c r="AJ61" s="37"/>
      <c r="AK61" s="37"/>
      <c r="AL61" s="37"/>
      <c r="AM61" s="37"/>
      <c r="AN61" s="37"/>
      <c r="AO61" s="37"/>
      <c r="AP61" s="37"/>
      <c r="AQ61" s="37"/>
      <c r="AR61" s="37"/>
      <c r="AS61" s="37"/>
      <c r="AT61" s="37"/>
      <c r="AU61" s="37"/>
      <c r="AV61" s="37"/>
      <c r="AW61" s="37"/>
      <c r="AX61" s="37"/>
      <c r="AY61" s="37"/>
      <c r="AZ61" s="37"/>
      <c r="BA61" s="37"/>
      <c r="BB61" s="37"/>
    </row>
    <row r="62" spans="1:54" s="5" customFormat="1" x14ac:dyDescent="0.25">
      <c r="A62" s="32"/>
      <c r="B62" s="32"/>
      <c r="C62" s="32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  <c r="AG62" s="33"/>
      <c r="AH62" s="33"/>
      <c r="AI62" s="33"/>
      <c r="AJ62" s="36"/>
      <c r="AK62" s="36"/>
      <c r="AL62" s="36"/>
      <c r="AM62" s="36"/>
      <c r="AN62" s="36"/>
      <c r="AO62" s="36"/>
      <c r="AP62" s="36"/>
      <c r="AQ62" s="36"/>
      <c r="AR62" s="33"/>
      <c r="AS62" s="33"/>
      <c r="AT62" s="33"/>
      <c r="AU62" s="33"/>
      <c r="AV62" s="33"/>
      <c r="AW62" s="33"/>
      <c r="AX62" s="33"/>
      <c r="AY62" s="33"/>
      <c r="AZ62" s="33"/>
      <c r="BA62" s="33"/>
      <c r="BB62" s="33"/>
    </row>
    <row r="63" spans="1:54" x14ac:dyDescent="0.25">
      <c r="A63" s="34"/>
      <c r="B63" s="34"/>
      <c r="C63" s="34"/>
      <c r="D63" s="35"/>
      <c r="E63" s="35"/>
      <c r="F63" s="37"/>
      <c r="G63" s="37"/>
      <c r="H63" s="37"/>
      <c r="I63" s="35"/>
      <c r="J63" s="37"/>
      <c r="K63" s="35"/>
      <c r="L63" s="37"/>
      <c r="M63" s="37"/>
      <c r="N63" s="37"/>
      <c r="O63" s="37"/>
      <c r="P63" s="37"/>
      <c r="Q63" s="35"/>
      <c r="R63" s="35"/>
      <c r="S63" s="35"/>
      <c r="T63" s="35"/>
      <c r="U63" s="35"/>
      <c r="V63" s="35"/>
      <c r="W63" s="35"/>
      <c r="X63" s="35"/>
      <c r="Y63" s="35"/>
      <c r="Z63" s="37"/>
      <c r="AA63" s="35"/>
      <c r="AB63" s="35"/>
      <c r="AC63" s="35"/>
      <c r="AD63" s="35"/>
      <c r="AE63" s="35"/>
      <c r="AF63" s="35"/>
      <c r="AG63" s="35"/>
      <c r="AH63" s="35"/>
      <c r="AI63" s="35"/>
      <c r="AJ63" s="35"/>
      <c r="AK63" s="35"/>
      <c r="AL63" s="35"/>
      <c r="AM63" s="35"/>
      <c r="AN63" s="35"/>
      <c r="AO63" s="35"/>
      <c r="AP63" s="35"/>
      <c r="AQ63" s="35"/>
      <c r="AR63" s="35"/>
      <c r="AS63" s="35"/>
      <c r="AT63" s="35"/>
      <c r="AU63" s="35"/>
      <c r="AV63" s="37"/>
      <c r="AW63" s="37"/>
      <c r="AX63" s="37"/>
      <c r="AY63" s="37"/>
      <c r="AZ63" s="37"/>
      <c r="BA63" s="37"/>
      <c r="BB63" s="37"/>
    </row>
    <row r="64" spans="1:54" s="5" customFormat="1" x14ac:dyDescent="0.25">
      <c r="A64" s="32"/>
      <c r="B64" s="32"/>
      <c r="C64" s="32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36"/>
      <c r="AJ64" s="36"/>
      <c r="AK64" s="36"/>
      <c r="AL64" s="36"/>
      <c r="AM64" s="36"/>
      <c r="AN64" s="36"/>
      <c r="AO64" s="36"/>
      <c r="AP64" s="36"/>
      <c r="AQ64" s="36"/>
      <c r="AR64" s="36"/>
      <c r="AS64" s="36"/>
      <c r="AT64" s="36"/>
      <c r="AU64" s="36"/>
      <c r="AV64" s="36"/>
      <c r="AW64" s="36"/>
      <c r="AX64" s="36"/>
      <c r="AY64" s="36"/>
      <c r="AZ64" s="36"/>
      <c r="BA64" s="36"/>
      <c r="BB64" s="36"/>
    </row>
    <row r="65" spans="1:54" x14ac:dyDescent="0.25">
      <c r="A65" s="34"/>
      <c r="B65" s="34"/>
      <c r="C65" s="34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7"/>
      <c r="AE65" s="37"/>
      <c r="AF65" s="37"/>
      <c r="AG65" s="37"/>
      <c r="AH65" s="37"/>
      <c r="AI65" s="37"/>
      <c r="AJ65" s="37"/>
      <c r="AK65" s="37"/>
      <c r="AL65" s="37"/>
      <c r="AM65" s="37"/>
      <c r="AN65" s="37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</row>
    <row r="66" spans="1:54" s="5" customFormat="1" x14ac:dyDescent="0.25">
      <c r="A66" s="32"/>
      <c r="B66" s="32"/>
      <c r="C66" s="32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  <c r="AG66" s="33"/>
      <c r="AH66" s="33"/>
      <c r="AI66" s="33"/>
      <c r="AJ66" s="33"/>
      <c r="AK66" s="33"/>
      <c r="AL66" s="36"/>
      <c r="AM66" s="36"/>
      <c r="AN66" s="33"/>
      <c r="AO66" s="36"/>
      <c r="AP66" s="33"/>
      <c r="AQ66" s="33"/>
      <c r="AR66" s="33"/>
      <c r="AS66" s="36"/>
      <c r="AT66" s="36"/>
      <c r="AU66" s="33"/>
      <c r="AV66" s="33"/>
      <c r="AW66" s="33"/>
      <c r="AX66" s="33"/>
      <c r="AY66" s="33"/>
      <c r="AZ66" s="33"/>
      <c r="BA66" s="33"/>
      <c r="BB66" s="33"/>
    </row>
    <row r="67" spans="1:54" x14ac:dyDescent="0.25">
      <c r="A67" s="34"/>
      <c r="B67" s="34"/>
      <c r="C67" s="34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7"/>
      <c r="AF67" s="37"/>
      <c r="AG67" s="37"/>
      <c r="AH67" s="37"/>
      <c r="AI67" s="37"/>
      <c r="AJ67" s="37"/>
      <c r="AK67" s="37"/>
      <c r="AL67" s="37"/>
      <c r="AM67" s="37"/>
      <c r="AN67" s="37"/>
      <c r="AO67" s="37"/>
      <c r="AP67" s="37"/>
      <c r="AQ67" s="37"/>
      <c r="AR67" s="37"/>
      <c r="AS67" s="37"/>
      <c r="AT67" s="37"/>
      <c r="AU67" s="37"/>
      <c r="AV67" s="37"/>
      <c r="AW67" s="37"/>
      <c r="AX67" s="37"/>
      <c r="AY67" s="37"/>
      <c r="AZ67" s="37"/>
      <c r="BA67" s="37"/>
      <c r="BB67" s="37"/>
    </row>
    <row r="68" spans="1:54" s="5" customFormat="1" x14ac:dyDescent="0.25">
      <c r="A68" s="32"/>
      <c r="B68" s="32"/>
      <c r="C68" s="32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6"/>
      <c r="AE68" s="36"/>
      <c r="AF68" s="36"/>
      <c r="AG68" s="36"/>
      <c r="AH68" s="36"/>
      <c r="AI68" s="36"/>
      <c r="AJ68" s="36"/>
      <c r="AK68" s="36"/>
      <c r="AL68" s="36"/>
      <c r="AM68" s="36"/>
      <c r="AN68" s="36"/>
      <c r="AO68" s="36"/>
      <c r="AP68" s="36"/>
      <c r="AQ68" s="36"/>
      <c r="AR68" s="36"/>
      <c r="AS68" s="36"/>
      <c r="AT68" s="36"/>
      <c r="AU68" s="36"/>
      <c r="AV68" s="36"/>
      <c r="AW68" s="36"/>
      <c r="AX68" s="36"/>
      <c r="AY68" s="36"/>
      <c r="AZ68" s="36"/>
      <c r="BA68" s="36"/>
      <c r="BB68" s="36"/>
    </row>
    <row r="69" spans="1:54" x14ac:dyDescent="0.25">
      <c r="A69" s="34"/>
      <c r="B69" s="34"/>
      <c r="C69" s="34"/>
      <c r="D69" s="37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37"/>
      <c r="AF69" s="37"/>
      <c r="AG69" s="37"/>
      <c r="AH69" s="37"/>
      <c r="AI69" s="37"/>
      <c r="AJ69" s="37"/>
      <c r="AK69" s="37"/>
      <c r="AL69" s="37"/>
      <c r="AM69" s="37"/>
      <c r="AN69" s="37"/>
      <c r="AO69" s="37"/>
      <c r="AP69" s="37"/>
      <c r="AQ69" s="37"/>
      <c r="AR69" s="37"/>
      <c r="AS69" s="37"/>
      <c r="AT69" s="37"/>
      <c r="AU69" s="37"/>
      <c r="AV69" s="37"/>
      <c r="AW69" s="37"/>
      <c r="AX69" s="37"/>
      <c r="AY69" s="37"/>
      <c r="AZ69" s="37"/>
      <c r="BA69" s="37"/>
      <c r="BB69" s="37"/>
    </row>
    <row r="70" spans="1:54" s="5" customFormat="1" x14ac:dyDescent="0.25">
      <c r="A70" s="32"/>
      <c r="B70" s="32"/>
      <c r="C70" s="32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6"/>
      <c r="AD70" s="33"/>
      <c r="AE70" s="33"/>
      <c r="AF70" s="33"/>
      <c r="AG70" s="33"/>
      <c r="AH70" s="33"/>
      <c r="AI70" s="33"/>
      <c r="AJ70" s="33"/>
      <c r="AK70" s="33"/>
      <c r="AL70" s="33"/>
      <c r="AM70" s="33"/>
      <c r="AN70" s="33"/>
      <c r="AO70" s="36"/>
      <c r="AP70" s="33"/>
      <c r="AQ70" s="33"/>
      <c r="AR70" s="33"/>
      <c r="AS70" s="33"/>
      <c r="AT70" s="36"/>
      <c r="AU70" s="33"/>
      <c r="AV70" s="33"/>
      <c r="AW70" s="33"/>
      <c r="AX70" s="33"/>
      <c r="AY70" s="33"/>
      <c r="AZ70" s="33"/>
      <c r="BA70" s="33"/>
      <c r="BB70" s="33"/>
    </row>
    <row r="71" spans="1:54" x14ac:dyDescent="0.25">
      <c r="A71" s="34"/>
      <c r="B71" s="34"/>
      <c r="C71" s="34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35"/>
      <c r="AE71" s="35"/>
      <c r="AF71" s="35"/>
      <c r="AG71" s="35"/>
      <c r="AH71" s="35"/>
      <c r="AI71" s="35"/>
      <c r="AJ71" s="35"/>
      <c r="AK71" s="35"/>
      <c r="AL71" s="35"/>
      <c r="AM71" s="35"/>
      <c r="AN71" s="35"/>
      <c r="AO71" s="35"/>
      <c r="AP71" s="35"/>
      <c r="AQ71" s="35"/>
      <c r="AR71" s="35"/>
      <c r="AS71" s="35"/>
      <c r="AT71" s="35"/>
      <c r="AU71" s="35"/>
      <c r="AV71" s="35"/>
      <c r="AW71" s="35"/>
      <c r="AX71" s="35"/>
      <c r="AY71" s="35"/>
      <c r="AZ71" s="35"/>
      <c r="BA71" s="35"/>
      <c r="BB71" s="35"/>
    </row>
    <row r="72" spans="1:54" s="5" customFormat="1" x14ac:dyDescent="0.25">
      <c r="A72" s="32"/>
      <c r="B72" s="32"/>
      <c r="C72" s="32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  <c r="AJ72" s="36"/>
      <c r="AK72" s="36"/>
      <c r="AL72" s="36"/>
      <c r="AM72" s="36"/>
      <c r="AN72" s="36"/>
      <c r="AO72" s="36"/>
      <c r="AP72" s="36"/>
      <c r="AQ72" s="36"/>
      <c r="AR72" s="36"/>
      <c r="AS72" s="36"/>
      <c r="AT72" s="36"/>
      <c r="AU72" s="36"/>
      <c r="AV72" s="36"/>
      <c r="AW72" s="36"/>
      <c r="AX72" s="36"/>
      <c r="AY72" s="36"/>
      <c r="AZ72" s="36"/>
      <c r="BA72" s="36"/>
      <c r="BB72" s="36"/>
    </row>
    <row r="73" spans="1:54" x14ac:dyDescent="0.25">
      <c r="A73" s="34"/>
      <c r="B73" s="34"/>
      <c r="C73" s="34"/>
      <c r="D73" s="35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5"/>
      <c r="Z73" s="35"/>
      <c r="AA73" s="35"/>
      <c r="AB73" s="35"/>
      <c r="AC73" s="35"/>
      <c r="AD73" s="35"/>
      <c r="AE73" s="35"/>
      <c r="AF73" s="35"/>
      <c r="AG73" s="35"/>
      <c r="AH73" s="35"/>
      <c r="AI73" s="35"/>
      <c r="AJ73" s="35"/>
      <c r="AK73" s="35"/>
      <c r="AL73" s="35"/>
      <c r="AM73" s="35"/>
      <c r="AN73" s="35"/>
      <c r="AO73" s="35"/>
      <c r="AP73" s="35"/>
      <c r="AQ73" s="35"/>
      <c r="AR73" s="35"/>
      <c r="AS73" s="35"/>
      <c r="AT73" s="35"/>
      <c r="AU73" s="37"/>
      <c r="AV73" s="37"/>
      <c r="AW73" s="37"/>
      <c r="AX73" s="37"/>
      <c r="AY73" s="37"/>
      <c r="AZ73" s="37"/>
      <c r="BA73" s="37"/>
      <c r="BB73" s="37"/>
    </row>
    <row r="74" spans="1:54" s="5" customFormat="1" x14ac:dyDescent="0.25">
      <c r="A74" s="32"/>
      <c r="B74" s="32"/>
      <c r="C74" s="32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3"/>
      <c r="AR74" s="33"/>
      <c r="AS74" s="33"/>
      <c r="AT74" s="33"/>
      <c r="AU74" s="33"/>
      <c r="AV74" s="33"/>
      <c r="AW74" s="33"/>
      <c r="AX74" s="33"/>
      <c r="AY74" s="33"/>
      <c r="AZ74" s="33"/>
      <c r="BA74" s="33"/>
      <c r="BB74" s="33"/>
    </row>
    <row r="75" spans="1:54" x14ac:dyDescent="0.25">
      <c r="A75" s="34"/>
      <c r="B75" s="34"/>
      <c r="C75" s="34"/>
      <c r="D75" s="35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5"/>
      <c r="Z75" s="35"/>
      <c r="AA75" s="35"/>
      <c r="AB75" s="35"/>
      <c r="AC75" s="35"/>
      <c r="AD75" s="35"/>
      <c r="AE75" s="35"/>
      <c r="AF75" s="35"/>
      <c r="AG75" s="35"/>
      <c r="AH75" s="35"/>
      <c r="AI75" s="35"/>
      <c r="AJ75" s="35"/>
      <c r="AK75" s="35"/>
      <c r="AL75" s="35"/>
      <c r="AM75" s="35"/>
      <c r="AN75" s="35"/>
      <c r="AO75" s="35"/>
      <c r="AP75" s="35"/>
      <c r="AQ75" s="35"/>
      <c r="AR75" s="35"/>
      <c r="AS75" s="35"/>
      <c r="AT75" s="35"/>
      <c r="AU75" s="35"/>
      <c r="AV75" s="35"/>
      <c r="AW75" s="35"/>
      <c r="AX75" s="35"/>
      <c r="AY75" s="35"/>
      <c r="AZ75" s="35"/>
      <c r="BA75" s="35"/>
      <c r="BB75" s="35"/>
    </row>
    <row r="76" spans="1:54" s="5" customFormat="1" x14ac:dyDescent="0.25">
      <c r="A76" s="32"/>
      <c r="B76" s="32"/>
      <c r="C76" s="32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6"/>
      <c r="AR76" s="33"/>
      <c r="AS76" s="33"/>
      <c r="AT76" s="33"/>
      <c r="AU76" s="36"/>
      <c r="AV76" s="36"/>
      <c r="AW76" s="36"/>
      <c r="AX76" s="36"/>
      <c r="AY76" s="36"/>
      <c r="AZ76" s="36"/>
      <c r="BA76" s="36"/>
      <c r="BB76" s="36"/>
    </row>
    <row r="77" spans="1:54" s="5" customFormat="1" x14ac:dyDescent="0.25">
      <c r="A77" s="34"/>
      <c r="B77" s="34"/>
      <c r="C77" s="34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  <c r="AF77" s="37"/>
      <c r="AG77" s="37"/>
      <c r="AH77" s="37"/>
      <c r="AI77" s="37"/>
      <c r="AJ77" s="37"/>
      <c r="AK77" s="37"/>
      <c r="AL77" s="37"/>
      <c r="AM77" s="37"/>
      <c r="AN77" s="37"/>
      <c r="AO77" s="37"/>
      <c r="AP77" s="37"/>
      <c r="AQ77" s="37"/>
      <c r="AR77" s="37"/>
      <c r="AS77" s="37"/>
      <c r="AT77" s="37"/>
      <c r="AU77" s="37"/>
      <c r="AV77" s="37"/>
      <c r="AW77" s="37"/>
      <c r="AX77" s="37"/>
      <c r="AY77" s="37"/>
      <c r="AZ77" s="37"/>
      <c r="BA77" s="37"/>
      <c r="BB77" s="37"/>
    </row>
    <row r="78" spans="1:54" x14ac:dyDescent="0.25">
      <c r="A78" s="34"/>
      <c r="B78" s="32"/>
      <c r="C78" s="32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3"/>
      <c r="AY78" s="33"/>
      <c r="AZ78" s="33"/>
      <c r="BA78" s="33"/>
      <c r="BB78" s="33"/>
    </row>
    <row r="79" spans="1:54" s="5" customFormat="1" x14ac:dyDescent="0.25">
      <c r="A79" s="34"/>
      <c r="B79" s="34"/>
      <c r="C79" s="34"/>
      <c r="D79" s="35"/>
      <c r="E79" s="35"/>
      <c r="F79" s="35"/>
      <c r="G79" s="35"/>
      <c r="H79" s="35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  <c r="Z79" s="37"/>
      <c r="AA79" s="37"/>
      <c r="AB79" s="37"/>
      <c r="AC79" s="37"/>
      <c r="AD79" s="37"/>
      <c r="AE79" s="37"/>
      <c r="AF79" s="37"/>
      <c r="AG79" s="37"/>
      <c r="AH79" s="37"/>
      <c r="AI79" s="37"/>
      <c r="AJ79" s="37"/>
      <c r="AK79" s="37"/>
      <c r="AL79" s="37"/>
      <c r="AM79" s="37"/>
      <c r="AN79" s="37"/>
      <c r="AO79" s="37"/>
      <c r="AP79" s="37"/>
      <c r="AQ79" s="37"/>
      <c r="AR79" s="37"/>
      <c r="AS79" s="37"/>
      <c r="AT79" s="37"/>
      <c r="AU79" s="37"/>
      <c r="AV79" s="37"/>
      <c r="AW79" s="37"/>
      <c r="AX79" s="37"/>
      <c r="AY79" s="37"/>
      <c r="AZ79" s="37"/>
      <c r="BA79" s="37"/>
      <c r="BB79" s="37"/>
    </row>
    <row r="80" spans="1:54" x14ac:dyDescent="0.25">
      <c r="A80" s="34"/>
      <c r="B80" s="32"/>
      <c r="C80" s="32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6"/>
      <c r="V80" s="36"/>
      <c r="W80" s="36"/>
      <c r="X80" s="36"/>
      <c r="Y80" s="36"/>
      <c r="Z80" s="36"/>
      <c r="AA80" s="36"/>
      <c r="AB80" s="36"/>
      <c r="AC80" s="36"/>
      <c r="AD80" s="36"/>
      <c r="AE80" s="36"/>
      <c r="AF80" s="36"/>
      <c r="AG80" s="36"/>
      <c r="AH80" s="36"/>
      <c r="AI80" s="36"/>
      <c r="AJ80" s="36"/>
      <c r="AK80" s="36"/>
      <c r="AL80" s="36"/>
      <c r="AM80" s="36"/>
      <c r="AN80" s="36"/>
      <c r="AO80" s="36"/>
      <c r="AP80" s="36"/>
      <c r="AQ80" s="36"/>
      <c r="AR80" s="36"/>
      <c r="AS80" s="36"/>
      <c r="AT80" s="36"/>
      <c r="AU80" s="36"/>
      <c r="AV80" s="36"/>
      <c r="AW80" s="36"/>
      <c r="AX80" s="36"/>
      <c r="AY80" s="36"/>
      <c r="AZ80" s="36"/>
      <c r="BA80" s="36"/>
      <c r="BB80" s="36"/>
    </row>
    <row r="81" spans="1:54" s="5" customFormat="1" x14ac:dyDescent="0.25">
      <c r="A81" s="32"/>
      <c r="B81" s="32"/>
      <c r="C81" s="32"/>
      <c r="D81" s="33"/>
      <c r="E81" s="33"/>
      <c r="F81" s="33"/>
      <c r="G81" s="33"/>
      <c r="H81" s="33"/>
      <c r="I81" s="33"/>
      <c r="J81" s="33"/>
      <c r="K81" s="33"/>
      <c r="L81" s="33"/>
      <c r="M81" s="36"/>
      <c r="N81" s="36"/>
      <c r="O81" s="36"/>
      <c r="P81" s="33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36"/>
      <c r="AE81" s="36"/>
      <c r="AF81" s="36"/>
      <c r="AG81" s="36"/>
      <c r="AH81" s="36"/>
      <c r="AI81" s="36"/>
      <c r="AJ81" s="36"/>
      <c r="AK81" s="36"/>
      <c r="AL81" s="36"/>
      <c r="AM81" s="36"/>
      <c r="AN81" s="36"/>
      <c r="AO81" s="36"/>
      <c r="AP81" s="36"/>
      <c r="AQ81" s="36"/>
      <c r="AR81" s="36"/>
      <c r="AS81" s="36"/>
      <c r="AT81" s="36"/>
      <c r="AU81" s="36"/>
      <c r="AV81" s="36"/>
      <c r="AW81" s="36"/>
      <c r="AX81" s="36"/>
      <c r="AY81" s="36"/>
      <c r="AZ81" s="36"/>
      <c r="BA81" s="36"/>
      <c r="BB81" s="36"/>
    </row>
    <row r="82" spans="1:54" x14ac:dyDescent="0.25">
      <c r="A82" s="34"/>
      <c r="B82" s="34"/>
      <c r="C82" s="34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  <c r="AF82" s="37"/>
      <c r="AG82" s="37"/>
      <c r="AH82" s="37"/>
      <c r="AI82" s="37"/>
      <c r="AJ82" s="37"/>
      <c r="AK82" s="37"/>
      <c r="AL82" s="37"/>
      <c r="AM82" s="37"/>
      <c r="AN82" s="37"/>
      <c r="AO82" s="37"/>
      <c r="AP82" s="37"/>
      <c r="AQ82" s="37"/>
      <c r="AR82" s="37"/>
      <c r="AS82" s="37"/>
      <c r="AT82" s="37"/>
      <c r="AU82" s="37"/>
      <c r="AV82" s="37"/>
      <c r="AW82" s="37"/>
      <c r="AX82" s="37"/>
      <c r="AY82" s="37"/>
      <c r="AZ82" s="37"/>
      <c r="BA82" s="37"/>
      <c r="BB82" s="37"/>
    </row>
    <row r="83" spans="1:54" s="5" customFormat="1" x14ac:dyDescent="0.25">
      <c r="A83" s="32"/>
      <c r="B83" s="32"/>
      <c r="C83" s="32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36"/>
      <c r="AV83" s="33"/>
      <c r="AW83" s="33"/>
      <c r="AX83" s="33"/>
      <c r="AY83" s="33"/>
      <c r="AZ83" s="33"/>
      <c r="BA83" s="36"/>
      <c r="BB83" s="36"/>
    </row>
    <row r="84" spans="1:54" x14ac:dyDescent="0.25">
      <c r="A84" s="34"/>
      <c r="B84" s="34"/>
      <c r="C84" s="34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  <c r="AK84" s="37"/>
      <c r="AL84" s="37"/>
      <c r="AM84" s="37"/>
      <c r="AN84" s="37"/>
      <c r="AO84" s="37"/>
      <c r="AP84" s="37"/>
      <c r="AQ84" s="37"/>
      <c r="AR84" s="37"/>
      <c r="AS84" s="37"/>
      <c r="AT84" s="37"/>
      <c r="AU84" s="37"/>
      <c r="AV84" s="37"/>
      <c r="AW84" s="37"/>
      <c r="AX84" s="37"/>
      <c r="AY84" s="37"/>
      <c r="AZ84" s="37"/>
      <c r="BA84" s="37"/>
      <c r="BB84" s="37"/>
    </row>
    <row r="85" spans="1:54" s="5" customFormat="1" x14ac:dyDescent="0.25">
      <c r="A85" s="32"/>
      <c r="B85" s="32"/>
      <c r="C85" s="32"/>
      <c r="D85" s="33"/>
      <c r="E85" s="33"/>
      <c r="F85" s="33"/>
      <c r="G85" s="33"/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  <c r="AJ85" s="36"/>
      <c r="AK85" s="36"/>
      <c r="AL85" s="36"/>
      <c r="AM85" s="36"/>
      <c r="AN85" s="36"/>
      <c r="AO85" s="36"/>
      <c r="AP85" s="36"/>
      <c r="AQ85" s="36"/>
      <c r="AR85" s="36"/>
      <c r="AS85" s="36"/>
      <c r="AT85" s="36"/>
      <c r="AU85" s="36"/>
      <c r="AV85" s="36"/>
      <c r="AW85" s="36"/>
      <c r="AX85" s="36"/>
      <c r="AY85" s="36"/>
      <c r="AZ85" s="36"/>
      <c r="BA85" s="36"/>
      <c r="BB85" s="36"/>
    </row>
    <row r="86" spans="1:54" x14ac:dyDescent="0.25">
      <c r="A86" s="34"/>
      <c r="B86" s="34"/>
      <c r="C86" s="34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7"/>
      <c r="R86" s="37"/>
      <c r="S86" s="35"/>
      <c r="T86" s="35"/>
      <c r="U86" s="35"/>
      <c r="V86" s="35"/>
      <c r="W86" s="35"/>
      <c r="X86" s="37"/>
      <c r="Y86" s="35"/>
      <c r="Z86" s="35"/>
      <c r="AA86" s="35"/>
      <c r="AB86" s="35"/>
      <c r="AC86" s="35"/>
      <c r="AD86" s="35"/>
      <c r="AE86" s="35"/>
      <c r="AF86" s="35"/>
      <c r="AG86" s="35"/>
      <c r="AH86" s="35"/>
      <c r="AI86" s="35"/>
      <c r="AJ86" s="37"/>
      <c r="AK86" s="35"/>
      <c r="AL86" s="37"/>
      <c r="AM86" s="35"/>
      <c r="AN86" s="35"/>
      <c r="AO86" s="37"/>
      <c r="AP86" s="35"/>
      <c r="AQ86" s="37"/>
      <c r="AR86" s="37"/>
      <c r="AS86" s="37"/>
      <c r="AT86" s="37"/>
      <c r="AU86" s="37"/>
      <c r="AV86" s="37"/>
      <c r="AW86" s="37"/>
      <c r="AX86" s="37"/>
      <c r="AY86" s="37"/>
      <c r="AZ86" s="37"/>
      <c r="BA86" s="37"/>
      <c r="BB86" s="37"/>
    </row>
    <row r="87" spans="1:54" s="5" customFormat="1" x14ac:dyDescent="0.25">
      <c r="A87" s="32"/>
      <c r="B87" s="32"/>
      <c r="C87" s="32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6"/>
      <c r="Y87" s="36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3"/>
      <c r="AY87" s="33"/>
      <c r="AZ87" s="33"/>
      <c r="BA87" s="33"/>
      <c r="BB87" s="36"/>
    </row>
    <row r="88" spans="1:54" x14ac:dyDescent="0.25">
      <c r="A88" s="34"/>
      <c r="B88" s="34"/>
      <c r="C88" s="34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  <c r="AK88" s="37"/>
      <c r="AL88" s="37"/>
      <c r="AM88" s="37"/>
      <c r="AN88" s="37"/>
      <c r="AO88" s="37"/>
      <c r="AP88" s="37"/>
      <c r="AQ88" s="37"/>
      <c r="AR88" s="37"/>
      <c r="AS88" s="37"/>
      <c r="AT88" s="37"/>
      <c r="AU88" s="37"/>
      <c r="AV88" s="37"/>
      <c r="AW88" s="37"/>
      <c r="AX88" s="37"/>
      <c r="AY88" s="37"/>
      <c r="AZ88" s="37"/>
      <c r="BA88" s="37"/>
      <c r="BB88" s="37"/>
    </row>
    <row r="89" spans="1:54" s="5" customFormat="1" x14ac:dyDescent="0.25">
      <c r="A89" s="32"/>
      <c r="B89" s="32"/>
      <c r="C89" s="32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3"/>
      <c r="AY89" s="33"/>
      <c r="AZ89" s="33"/>
      <c r="BA89" s="33"/>
      <c r="BB89" s="33"/>
    </row>
    <row r="90" spans="1:54" x14ac:dyDescent="0.25">
      <c r="A90" s="34"/>
      <c r="B90" s="34"/>
      <c r="C90" s="34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  <c r="X90" s="35"/>
      <c r="Y90" s="35"/>
      <c r="Z90" s="35"/>
      <c r="AA90" s="35"/>
      <c r="AB90" s="35"/>
      <c r="AC90" s="35"/>
      <c r="AD90" s="35"/>
      <c r="AE90" s="35"/>
      <c r="AF90" s="35"/>
      <c r="AG90" s="35"/>
      <c r="AH90" s="35"/>
      <c r="AI90" s="35"/>
      <c r="AJ90" s="35"/>
      <c r="AK90" s="35"/>
      <c r="AL90" s="35"/>
      <c r="AM90" s="35"/>
      <c r="AN90" s="35"/>
      <c r="AO90" s="35"/>
      <c r="AP90" s="35"/>
      <c r="AQ90" s="35"/>
      <c r="AR90" s="35"/>
      <c r="AS90" s="35"/>
      <c r="AT90" s="35"/>
      <c r="AU90" s="35"/>
      <c r="AV90" s="35"/>
      <c r="AW90" s="35"/>
      <c r="AX90" s="35"/>
      <c r="AY90" s="35"/>
      <c r="AZ90" s="35"/>
      <c r="BA90" s="35"/>
      <c r="BB90" s="35"/>
    </row>
    <row r="91" spans="1:54" s="5" customFormat="1" x14ac:dyDescent="0.25">
      <c r="A91" s="32"/>
      <c r="B91" s="32"/>
      <c r="C91" s="32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  <c r="AL91" s="33"/>
      <c r="AM91" s="33"/>
      <c r="AN91" s="33"/>
      <c r="AO91" s="33"/>
      <c r="AP91" s="33"/>
      <c r="AQ91" s="33"/>
      <c r="AR91" s="33"/>
      <c r="AS91" s="33"/>
      <c r="AT91" s="33"/>
      <c r="AU91" s="33"/>
      <c r="AV91" s="33"/>
      <c r="AW91" s="33"/>
      <c r="AX91" s="33"/>
      <c r="AY91" s="33"/>
      <c r="AZ91" s="33"/>
      <c r="BA91" s="33"/>
      <c r="BB91" s="33"/>
    </row>
    <row r="92" spans="1:54" x14ac:dyDescent="0.25">
      <c r="A92" s="34"/>
      <c r="B92" s="34"/>
      <c r="C92" s="34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  <c r="AB92" s="35"/>
      <c r="AC92" s="37"/>
      <c r="AD92" s="35"/>
      <c r="AE92" s="37"/>
      <c r="AF92" s="37"/>
      <c r="AG92" s="37"/>
      <c r="AH92" s="37"/>
      <c r="AI92" s="37"/>
      <c r="AJ92" s="37"/>
      <c r="AK92" s="37"/>
      <c r="AL92" s="37"/>
      <c r="AM92" s="37"/>
      <c r="AN92" s="37"/>
      <c r="AO92" s="37"/>
      <c r="AP92" s="37"/>
      <c r="AQ92" s="37"/>
      <c r="AR92" s="37"/>
      <c r="AS92" s="37"/>
      <c r="AT92" s="37"/>
      <c r="AU92" s="37"/>
      <c r="AV92" s="37"/>
      <c r="AW92" s="37"/>
      <c r="AX92" s="37"/>
      <c r="AY92" s="37"/>
      <c r="AZ92" s="37"/>
      <c r="BA92" s="37"/>
      <c r="BB92" s="37"/>
    </row>
    <row r="93" spans="1:54" s="5" customFormat="1" x14ac:dyDescent="0.25">
      <c r="A93" s="32"/>
      <c r="B93" s="32"/>
      <c r="C93" s="32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3"/>
      <c r="AY93" s="33"/>
      <c r="AZ93" s="33"/>
      <c r="BA93" s="33"/>
      <c r="BB93" s="33"/>
    </row>
    <row r="94" spans="1:54" x14ac:dyDescent="0.25">
      <c r="A94" s="34"/>
      <c r="B94" s="34"/>
      <c r="C94" s="34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35"/>
      <c r="AE94" s="35"/>
      <c r="AF94" s="35"/>
      <c r="AG94" s="35"/>
      <c r="AH94" s="35"/>
      <c r="AI94" s="35"/>
      <c r="AJ94" s="35"/>
      <c r="AK94" s="35"/>
      <c r="AL94" s="35"/>
      <c r="AM94" s="35"/>
      <c r="AN94" s="35"/>
      <c r="AO94" s="35"/>
      <c r="AP94" s="35"/>
      <c r="AQ94" s="35"/>
      <c r="AR94" s="35"/>
      <c r="AS94" s="35"/>
      <c r="AT94" s="35"/>
      <c r="AU94" s="35"/>
      <c r="AV94" s="37"/>
      <c r="AW94" s="37"/>
      <c r="AX94" s="37"/>
      <c r="AY94" s="37"/>
      <c r="AZ94" s="37"/>
      <c r="BA94" s="37"/>
      <c r="BB94" s="37"/>
    </row>
    <row r="95" spans="1:54" s="5" customFormat="1" x14ac:dyDescent="0.25">
      <c r="A95" s="32"/>
      <c r="B95" s="32"/>
      <c r="C95" s="32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6"/>
      <c r="AA95" s="33"/>
      <c r="AB95" s="33"/>
      <c r="AC95" s="33"/>
      <c r="AD95" s="36"/>
      <c r="AE95" s="36"/>
      <c r="AF95" s="36"/>
      <c r="AG95" s="36"/>
      <c r="AH95" s="36"/>
      <c r="AI95" s="36"/>
      <c r="AJ95" s="36"/>
      <c r="AK95" s="36"/>
      <c r="AL95" s="36"/>
      <c r="AM95" s="36"/>
      <c r="AN95" s="36"/>
      <c r="AO95" s="36"/>
      <c r="AP95" s="36"/>
      <c r="AQ95" s="36"/>
      <c r="AR95" s="36"/>
      <c r="AS95" s="36"/>
      <c r="AT95" s="36"/>
      <c r="AU95" s="36"/>
      <c r="AV95" s="36"/>
      <c r="AW95" s="36"/>
      <c r="AX95" s="36"/>
      <c r="AY95" s="36"/>
      <c r="AZ95" s="36"/>
      <c r="BA95" s="36"/>
      <c r="BB95" s="36"/>
    </row>
    <row r="96" spans="1:54" x14ac:dyDescent="0.25">
      <c r="A96" s="34"/>
      <c r="B96" s="34"/>
      <c r="C96" s="34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AU96" s="35"/>
      <c r="AV96" s="35"/>
      <c r="AW96" s="35"/>
      <c r="AX96" s="35"/>
      <c r="AY96" s="35"/>
      <c r="AZ96" s="35"/>
      <c r="BA96" s="35"/>
      <c r="BB96" s="35"/>
    </row>
    <row r="97" spans="1:54" s="5" customFormat="1" x14ac:dyDescent="0.25">
      <c r="A97" s="32"/>
      <c r="B97" s="32"/>
      <c r="C97" s="32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  <c r="AL97" s="33"/>
      <c r="AM97" s="33"/>
      <c r="AN97" s="33"/>
      <c r="AO97" s="33"/>
      <c r="AP97" s="33"/>
      <c r="AQ97" s="33"/>
      <c r="AR97" s="33"/>
      <c r="AS97" s="33"/>
      <c r="AT97" s="33"/>
      <c r="AU97" s="33"/>
      <c r="AV97" s="33"/>
      <c r="AW97" s="33"/>
      <c r="AX97" s="33"/>
      <c r="AY97" s="33"/>
      <c r="AZ97" s="33"/>
      <c r="BA97" s="33"/>
      <c r="BB97" s="33"/>
    </row>
    <row r="98" spans="1:54" s="5" customFormat="1" x14ac:dyDescent="0.25">
      <c r="A98" s="34"/>
      <c r="B98" s="34"/>
      <c r="C98" s="34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AU98" s="35"/>
      <c r="AV98" s="35"/>
      <c r="AW98" s="35"/>
      <c r="AX98" s="35"/>
      <c r="AY98" s="35"/>
      <c r="AZ98" s="35"/>
      <c r="BA98" s="35"/>
      <c r="BB98" s="35"/>
    </row>
    <row r="99" spans="1:54" x14ac:dyDescent="0.25">
      <c r="A99" s="34"/>
      <c r="B99" s="32"/>
      <c r="C99" s="32"/>
      <c r="D99" s="33"/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6"/>
      <c r="T99" s="36"/>
      <c r="U99" s="36"/>
      <c r="V99" s="36"/>
      <c r="W99" s="33"/>
      <c r="X99" s="33"/>
      <c r="Y99" s="33"/>
      <c r="Z99" s="36"/>
      <c r="AA99" s="33"/>
      <c r="AB99" s="36"/>
      <c r="AC99" s="36"/>
      <c r="AD99" s="36"/>
      <c r="AE99" s="33"/>
      <c r="AF99" s="33"/>
      <c r="AG99" s="33"/>
      <c r="AH99" s="36"/>
      <c r="AI99" s="33"/>
      <c r="AJ99" s="36"/>
      <c r="AK99" s="36"/>
      <c r="AL99" s="36"/>
      <c r="AM99" s="36"/>
      <c r="AN99" s="36"/>
      <c r="AO99" s="36"/>
      <c r="AP99" s="36"/>
      <c r="AQ99" s="36"/>
      <c r="AR99" s="36"/>
      <c r="AS99" s="36"/>
      <c r="AT99" s="36"/>
      <c r="AU99" s="36"/>
      <c r="AV99" s="36"/>
      <c r="AW99" s="36"/>
      <c r="AX99" s="36"/>
      <c r="AY99" s="36"/>
      <c r="AZ99" s="36"/>
      <c r="BA99" s="36"/>
      <c r="BB99" s="36"/>
    </row>
    <row r="100" spans="1:54" s="5" customFormat="1" x14ac:dyDescent="0.25">
      <c r="A100" s="34"/>
      <c r="B100" s="34"/>
      <c r="C100" s="34"/>
      <c r="D100" s="35"/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R100" s="35"/>
      <c r="S100" s="35"/>
      <c r="T100" s="35"/>
      <c r="U100" s="35"/>
      <c r="V100" s="35"/>
      <c r="W100" s="35"/>
      <c r="X100" s="35"/>
      <c r="Y100" s="35"/>
      <c r="Z100" s="35"/>
      <c r="AA100" s="35"/>
      <c r="AB100" s="35"/>
      <c r="AC100" s="35"/>
      <c r="AD100" s="35"/>
      <c r="AE100" s="35"/>
      <c r="AF100" s="35"/>
      <c r="AG100" s="35"/>
      <c r="AH100" s="35"/>
      <c r="AI100" s="35"/>
      <c r="AJ100" s="35"/>
      <c r="AK100" s="35"/>
      <c r="AL100" s="35"/>
      <c r="AM100" s="35"/>
      <c r="AN100" s="35"/>
      <c r="AO100" s="35"/>
      <c r="AP100" s="35"/>
      <c r="AQ100" s="35"/>
      <c r="AR100" s="35"/>
      <c r="AS100" s="35"/>
      <c r="AT100" s="35"/>
      <c r="AU100" s="35"/>
      <c r="AV100" s="35"/>
      <c r="AW100" s="35"/>
      <c r="AX100" s="35"/>
      <c r="AY100" s="35"/>
      <c r="AZ100" s="35"/>
      <c r="BA100" s="35"/>
      <c r="BB100" s="35"/>
    </row>
    <row r="101" spans="1:54" x14ac:dyDescent="0.25">
      <c r="A101" s="34"/>
      <c r="B101" s="32"/>
      <c r="C101" s="32"/>
      <c r="D101" s="33"/>
      <c r="E101" s="33"/>
      <c r="F101" s="33"/>
      <c r="G101" s="33"/>
      <c r="H101" s="33"/>
      <c r="I101" s="33"/>
      <c r="J101" s="36"/>
      <c r="K101" s="33"/>
      <c r="L101" s="36"/>
      <c r="M101" s="36"/>
      <c r="N101" s="36"/>
      <c r="O101" s="36"/>
      <c r="P101" s="36"/>
      <c r="Q101" s="36"/>
      <c r="R101" s="33"/>
      <c r="S101" s="36"/>
      <c r="T101" s="36"/>
      <c r="U101" s="36"/>
      <c r="V101" s="36"/>
      <c r="W101" s="36"/>
      <c r="X101" s="36"/>
      <c r="Y101" s="33"/>
      <c r="Z101" s="36"/>
      <c r="AA101" s="36"/>
      <c r="AB101" s="36"/>
      <c r="AC101" s="36"/>
      <c r="AD101" s="36"/>
      <c r="AE101" s="36"/>
      <c r="AF101" s="33"/>
      <c r="AG101" s="33"/>
      <c r="AH101" s="36"/>
      <c r="AI101" s="36"/>
      <c r="AJ101" s="36"/>
      <c r="AK101" s="36"/>
      <c r="AL101" s="36"/>
      <c r="AM101" s="36"/>
      <c r="AN101" s="36"/>
      <c r="AO101" s="36"/>
      <c r="AP101" s="36"/>
      <c r="AQ101" s="36"/>
      <c r="AR101" s="36"/>
      <c r="AS101" s="36"/>
      <c r="AT101" s="36"/>
      <c r="AU101" s="36"/>
      <c r="AV101" s="36"/>
      <c r="AW101" s="36"/>
      <c r="AX101" s="36"/>
      <c r="AY101" s="36"/>
      <c r="AZ101" s="36"/>
      <c r="BA101" s="36"/>
      <c r="BB101" s="36"/>
    </row>
    <row r="102" spans="1:54" s="5" customFormat="1" x14ac:dyDescent="0.25">
      <c r="A102" s="32"/>
      <c r="B102" s="32"/>
      <c r="C102" s="32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  <c r="AJ102" s="36"/>
      <c r="AK102" s="36"/>
      <c r="AL102" s="36"/>
      <c r="AM102" s="36"/>
      <c r="AN102" s="36"/>
      <c r="AO102" s="36"/>
      <c r="AP102" s="36"/>
      <c r="AQ102" s="36"/>
      <c r="AR102" s="36"/>
      <c r="AS102" s="36"/>
      <c r="AT102" s="36"/>
      <c r="AU102" s="36"/>
      <c r="AV102" s="36"/>
      <c r="AW102" s="36"/>
      <c r="AX102" s="36"/>
      <c r="AY102" s="36"/>
      <c r="AZ102" s="36"/>
      <c r="BA102" s="36"/>
      <c r="BB102" s="36"/>
    </row>
    <row r="103" spans="1:54" x14ac:dyDescent="0.25">
      <c r="A103" s="34"/>
      <c r="B103" s="34"/>
      <c r="C103" s="34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  <c r="Y103" s="35"/>
      <c r="Z103" s="35"/>
      <c r="AA103" s="35"/>
      <c r="AB103" s="35"/>
      <c r="AC103" s="35"/>
      <c r="AD103" s="35"/>
      <c r="AE103" s="35"/>
      <c r="AF103" s="35"/>
      <c r="AG103" s="35"/>
      <c r="AH103" s="35"/>
      <c r="AI103" s="35"/>
      <c r="AJ103" s="35"/>
      <c r="AK103" s="35"/>
      <c r="AL103" s="35"/>
      <c r="AM103" s="35"/>
      <c r="AN103" s="35"/>
      <c r="AO103" s="35"/>
      <c r="AP103" s="35"/>
      <c r="AQ103" s="35"/>
      <c r="AR103" s="35"/>
      <c r="AS103" s="35"/>
      <c r="AT103" s="35"/>
      <c r="AU103" s="35"/>
      <c r="AV103" s="35"/>
      <c r="AW103" s="35"/>
      <c r="AX103" s="35"/>
      <c r="AY103" s="35"/>
      <c r="AZ103" s="35"/>
      <c r="BA103" s="35"/>
      <c r="BB103" s="35"/>
    </row>
    <row r="104" spans="1:54" s="5" customFormat="1" x14ac:dyDescent="0.25">
      <c r="A104" s="32"/>
      <c r="B104" s="32"/>
      <c r="C104" s="32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6"/>
      <c r="AN104" s="36"/>
      <c r="AO104" s="36"/>
      <c r="AP104" s="36"/>
      <c r="AQ104" s="36"/>
      <c r="AR104" s="36"/>
      <c r="AS104" s="36"/>
      <c r="AT104" s="36"/>
      <c r="AU104" s="36"/>
      <c r="AV104" s="36"/>
      <c r="AW104" s="36"/>
      <c r="AX104" s="36"/>
      <c r="AY104" s="36"/>
      <c r="AZ104" s="36"/>
      <c r="BA104" s="36"/>
      <c r="BB104" s="36"/>
    </row>
    <row r="105" spans="1:54" x14ac:dyDescent="0.25">
      <c r="A105" s="34"/>
      <c r="B105" s="34"/>
      <c r="C105" s="34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V105" s="37"/>
      <c r="W105" s="37"/>
      <c r="X105" s="37"/>
      <c r="Y105" s="37"/>
      <c r="Z105" s="37"/>
      <c r="AA105" s="37"/>
      <c r="AB105" s="37"/>
      <c r="AC105" s="37"/>
      <c r="AD105" s="37"/>
      <c r="AE105" s="37"/>
      <c r="AF105" s="37"/>
      <c r="AG105" s="37"/>
      <c r="AH105" s="37"/>
      <c r="AI105" s="37"/>
      <c r="AJ105" s="37"/>
      <c r="AK105" s="37"/>
      <c r="AL105" s="37"/>
      <c r="AM105" s="37"/>
      <c r="AN105" s="37"/>
      <c r="AO105" s="37"/>
      <c r="AP105" s="37"/>
      <c r="AQ105" s="37"/>
      <c r="AR105" s="37"/>
      <c r="AS105" s="37"/>
      <c r="AT105" s="37"/>
      <c r="AU105" s="37"/>
      <c r="AV105" s="37"/>
      <c r="AW105" s="37"/>
      <c r="AX105" s="37"/>
      <c r="AY105" s="37"/>
      <c r="AZ105" s="37"/>
      <c r="BA105" s="37"/>
      <c r="BB105" s="37"/>
    </row>
    <row r="106" spans="1:54" s="5" customFormat="1" x14ac:dyDescent="0.25">
      <c r="A106" s="32"/>
      <c r="B106" s="32"/>
      <c r="C106" s="32"/>
      <c r="D106" s="36"/>
      <c r="E106" s="36"/>
      <c r="F106" s="36"/>
      <c r="G106" s="36"/>
      <c r="H106" s="36"/>
      <c r="I106" s="36"/>
      <c r="J106" s="36"/>
      <c r="K106" s="36"/>
      <c r="L106" s="36"/>
      <c r="M106" s="36"/>
      <c r="N106" s="36"/>
      <c r="O106" s="36"/>
      <c r="P106" s="36"/>
      <c r="Q106" s="36"/>
      <c r="R106" s="36"/>
      <c r="S106" s="36"/>
      <c r="T106" s="36"/>
      <c r="U106" s="36"/>
      <c r="V106" s="36"/>
      <c r="W106" s="36"/>
      <c r="X106" s="36"/>
      <c r="Y106" s="36"/>
      <c r="Z106" s="36"/>
      <c r="AA106" s="36"/>
      <c r="AB106" s="36"/>
      <c r="AC106" s="36"/>
      <c r="AD106" s="36"/>
      <c r="AE106" s="36"/>
      <c r="AF106" s="36"/>
      <c r="AG106" s="36"/>
      <c r="AH106" s="36"/>
      <c r="AI106" s="36"/>
      <c r="AJ106" s="36"/>
      <c r="AK106" s="36"/>
      <c r="AL106" s="36"/>
      <c r="AM106" s="36"/>
      <c r="AN106" s="36"/>
      <c r="AO106" s="36"/>
      <c r="AP106" s="36"/>
      <c r="AQ106" s="36"/>
      <c r="AR106" s="36"/>
      <c r="AS106" s="36"/>
      <c r="AT106" s="36"/>
      <c r="AU106" s="36"/>
      <c r="AV106" s="36"/>
      <c r="AW106" s="36"/>
      <c r="AX106" s="36"/>
      <c r="AY106" s="36"/>
      <c r="AZ106" s="36"/>
      <c r="BA106" s="36"/>
      <c r="BB106" s="36"/>
    </row>
    <row r="107" spans="1:54" x14ac:dyDescent="0.25">
      <c r="A107" s="34"/>
      <c r="B107" s="34"/>
      <c r="C107" s="34"/>
      <c r="D107" s="35"/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7"/>
      <c r="R107" s="35"/>
      <c r="S107" s="35"/>
      <c r="T107" s="35"/>
      <c r="U107" s="35"/>
      <c r="V107" s="37"/>
      <c r="W107" s="37"/>
      <c r="X107" s="35"/>
      <c r="Y107" s="37"/>
      <c r="Z107" s="37"/>
      <c r="AA107" s="35"/>
      <c r="AB107" s="35"/>
      <c r="AC107" s="35"/>
      <c r="AD107" s="37"/>
      <c r="AE107" s="35"/>
      <c r="AF107" s="35"/>
      <c r="AG107" s="35"/>
      <c r="AH107" s="35"/>
      <c r="AI107" s="35"/>
      <c r="AJ107" s="35"/>
      <c r="AK107" s="35"/>
      <c r="AL107" s="37"/>
      <c r="AM107" s="37"/>
      <c r="AN107" s="35"/>
      <c r="AO107" s="35"/>
      <c r="AP107" s="35"/>
      <c r="AQ107" s="35"/>
      <c r="AR107" s="35"/>
      <c r="AS107" s="35"/>
      <c r="AT107" s="35"/>
      <c r="AU107" s="35"/>
      <c r="AV107" s="35"/>
      <c r="AW107" s="35"/>
      <c r="AX107" s="35"/>
      <c r="AY107" s="35"/>
      <c r="AZ107" s="35"/>
      <c r="BA107" s="37"/>
      <c r="BB107" s="37"/>
    </row>
    <row r="108" spans="1:54" s="5" customFormat="1" x14ac:dyDescent="0.25">
      <c r="A108" s="32"/>
      <c r="B108" s="32"/>
      <c r="C108" s="32"/>
      <c r="D108" s="33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6"/>
      <c r="AC108" s="36"/>
      <c r="AD108" s="36"/>
      <c r="AE108" s="36"/>
      <c r="AF108" s="36"/>
      <c r="AG108" s="36"/>
      <c r="AH108" s="36"/>
      <c r="AI108" s="36"/>
      <c r="AJ108" s="36"/>
      <c r="AK108" s="36"/>
      <c r="AL108" s="36"/>
      <c r="AM108" s="33"/>
      <c r="AN108" s="36"/>
      <c r="AO108" s="36"/>
      <c r="AP108" s="36"/>
      <c r="AQ108" s="36"/>
      <c r="AR108" s="36"/>
      <c r="AS108" s="36"/>
      <c r="AT108" s="36"/>
      <c r="AU108" s="36"/>
      <c r="AV108" s="36"/>
      <c r="AW108" s="36"/>
      <c r="AX108" s="36"/>
      <c r="AY108" s="33"/>
      <c r="AZ108" s="33"/>
      <c r="BA108" s="33"/>
      <c r="BB108" s="33"/>
    </row>
    <row r="109" spans="1:54" x14ac:dyDescent="0.25">
      <c r="A109" s="34"/>
      <c r="B109" s="34"/>
      <c r="C109" s="34"/>
      <c r="D109" s="37"/>
      <c r="E109" s="37"/>
      <c r="F109" s="37"/>
      <c r="G109" s="37"/>
      <c r="H109" s="37"/>
      <c r="I109" s="37"/>
      <c r="J109" s="37"/>
      <c r="K109" s="37"/>
      <c r="L109" s="37"/>
      <c r="M109" s="37"/>
      <c r="N109" s="37"/>
      <c r="O109" s="37"/>
      <c r="P109" s="37"/>
      <c r="Q109" s="37"/>
      <c r="R109" s="37"/>
      <c r="S109" s="37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  <c r="AD109" s="37"/>
      <c r="AE109" s="37"/>
      <c r="AF109" s="37"/>
      <c r="AG109" s="37"/>
      <c r="AH109" s="37"/>
      <c r="AI109" s="37"/>
      <c r="AJ109" s="37"/>
      <c r="AK109" s="37"/>
      <c r="AL109" s="37"/>
      <c r="AM109" s="37"/>
      <c r="AN109" s="37"/>
      <c r="AO109" s="37"/>
      <c r="AP109" s="37"/>
      <c r="AQ109" s="37"/>
      <c r="AR109" s="37"/>
      <c r="AS109" s="37"/>
      <c r="AT109" s="37"/>
      <c r="AU109" s="37"/>
      <c r="AV109" s="37"/>
      <c r="AW109" s="37"/>
      <c r="AX109" s="37"/>
      <c r="AY109" s="37"/>
      <c r="AZ109" s="37"/>
      <c r="BA109" s="37"/>
      <c r="BB109" s="37"/>
    </row>
    <row r="110" spans="1:54" s="5" customFormat="1" x14ac:dyDescent="0.25">
      <c r="A110" s="32"/>
      <c r="B110" s="32"/>
      <c r="C110" s="32"/>
      <c r="D110" s="36"/>
      <c r="E110" s="36"/>
      <c r="F110" s="36"/>
      <c r="G110" s="36"/>
      <c r="H110" s="36"/>
      <c r="I110" s="36"/>
      <c r="J110" s="36"/>
      <c r="K110" s="36"/>
      <c r="L110" s="36"/>
      <c r="M110" s="36"/>
      <c r="N110" s="36"/>
      <c r="O110" s="36"/>
      <c r="P110" s="36"/>
      <c r="Q110" s="36"/>
      <c r="R110" s="36"/>
      <c r="S110" s="36"/>
      <c r="T110" s="36"/>
      <c r="U110" s="36"/>
      <c r="V110" s="36"/>
      <c r="W110" s="36"/>
      <c r="X110" s="36"/>
      <c r="Y110" s="36"/>
      <c r="Z110" s="36"/>
      <c r="AA110" s="36"/>
      <c r="AB110" s="36"/>
      <c r="AC110" s="36"/>
      <c r="AD110" s="36"/>
      <c r="AE110" s="36"/>
      <c r="AF110" s="36"/>
      <c r="AG110" s="36"/>
      <c r="AH110" s="36"/>
      <c r="AI110" s="36"/>
      <c r="AJ110" s="36"/>
      <c r="AK110" s="36"/>
      <c r="AL110" s="36"/>
      <c r="AM110" s="36"/>
      <c r="AN110" s="36"/>
      <c r="AO110" s="36"/>
      <c r="AP110" s="36"/>
      <c r="AQ110" s="36"/>
      <c r="AR110" s="36"/>
      <c r="AS110" s="36"/>
      <c r="AT110" s="36"/>
      <c r="AU110" s="36"/>
      <c r="AV110" s="36"/>
      <c r="AW110" s="36"/>
      <c r="AX110" s="36"/>
      <c r="AY110" s="36"/>
      <c r="AZ110" s="36"/>
      <c r="BA110" s="36"/>
      <c r="BB110" s="36"/>
    </row>
    <row r="111" spans="1:54" x14ac:dyDescent="0.25">
      <c r="A111" s="34"/>
      <c r="B111" s="34"/>
      <c r="C111" s="34"/>
      <c r="D111" s="35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7"/>
      <c r="Q111" s="37"/>
      <c r="R111" s="35"/>
      <c r="S111" s="35"/>
      <c r="T111" s="35"/>
      <c r="U111" s="37"/>
      <c r="V111" s="37"/>
      <c r="W111" s="37"/>
      <c r="X111" s="37"/>
      <c r="Y111" s="37"/>
      <c r="Z111" s="37"/>
      <c r="AA111" s="35"/>
      <c r="AB111" s="35"/>
      <c r="AC111" s="35"/>
      <c r="AD111" s="35"/>
      <c r="AE111" s="35"/>
      <c r="AF111" s="37"/>
      <c r="AG111" s="37"/>
      <c r="AH111" s="37"/>
      <c r="AI111" s="37"/>
      <c r="AJ111" s="35"/>
      <c r="AK111" s="35"/>
      <c r="AL111" s="37"/>
      <c r="AM111" s="37"/>
      <c r="AN111" s="37"/>
      <c r="AO111" s="37"/>
      <c r="AP111" s="35"/>
      <c r="AQ111" s="35"/>
      <c r="AR111" s="35"/>
      <c r="AS111" s="35"/>
      <c r="AT111" s="37"/>
      <c r="AU111" s="37"/>
      <c r="AV111" s="37"/>
      <c r="AW111" s="37"/>
      <c r="AX111" s="37"/>
      <c r="AY111" s="37"/>
      <c r="AZ111" s="37"/>
      <c r="BA111" s="37"/>
      <c r="BB111" s="37"/>
    </row>
    <row r="112" spans="1:54" s="5" customFormat="1" x14ac:dyDescent="0.25">
      <c r="A112" s="32"/>
      <c r="B112" s="32"/>
      <c r="C112" s="32"/>
      <c r="D112" s="33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6"/>
      <c r="AD112" s="36"/>
      <c r="AE112" s="36"/>
      <c r="AF112" s="36"/>
      <c r="AG112" s="33"/>
      <c r="AH112" s="33"/>
      <c r="AI112" s="33"/>
      <c r="AJ112" s="33"/>
      <c r="AK112" s="33"/>
      <c r="AL112" s="33"/>
      <c r="AM112" s="33"/>
      <c r="AN112" s="33"/>
      <c r="AO112" s="33"/>
      <c r="AP112" s="33"/>
      <c r="AQ112" s="36"/>
      <c r="AR112" s="33"/>
      <c r="AS112" s="33"/>
      <c r="AT112" s="33"/>
      <c r="AU112" s="33"/>
      <c r="AV112" s="33"/>
      <c r="AW112" s="33"/>
      <c r="AX112" s="33"/>
      <c r="AY112" s="33"/>
      <c r="AZ112" s="33"/>
      <c r="BA112" s="33"/>
      <c r="BB112" s="33"/>
    </row>
    <row r="113" spans="1:54" x14ac:dyDescent="0.25">
      <c r="A113" s="34"/>
      <c r="B113" s="34"/>
      <c r="C113" s="34"/>
      <c r="D113" s="37"/>
      <c r="E113" s="37"/>
      <c r="F113" s="37"/>
      <c r="G113" s="37"/>
      <c r="H113" s="37"/>
      <c r="I113" s="37"/>
      <c r="J113" s="37"/>
      <c r="K113" s="37"/>
      <c r="L113" s="37"/>
      <c r="M113" s="37"/>
      <c r="N113" s="37"/>
      <c r="O113" s="37"/>
      <c r="P113" s="37"/>
      <c r="Q113" s="37"/>
      <c r="R113" s="37"/>
      <c r="S113" s="37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  <c r="AD113" s="37"/>
      <c r="AE113" s="37"/>
      <c r="AF113" s="37"/>
      <c r="AG113" s="37"/>
      <c r="AH113" s="37"/>
      <c r="AI113" s="37"/>
      <c r="AJ113" s="37"/>
      <c r="AK113" s="37"/>
      <c r="AL113" s="37"/>
      <c r="AM113" s="37"/>
      <c r="AN113" s="37"/>
      <c r="AO113" s="37"/>
      <c r="AP113" s="37"/>
      <c r="AQ113" s="37"/>
      <c r="AR113" s="37"/>
      <c r="AS113" s="37"/>
      <c r="AT113" s="37"/>
      <c r="AU113" s="37"/>
      <c r="AV113" s="37"/>
      <c r="AW113" s="37"/>
      <c r="AX113" s="37"/>
      <c r="AY113" s="37"/>
      <c r="AZ113" s="37"/>
      <c r="BA113" s="37"/>
      <c r="BB113" s="37"/>
    </row>
    <row r="114" spans="1:54" s="5" customFormat="1" x14ac:dyDescent="0.25">
      <c r="A114" s="32"/>
      <c r="B114" s="32"/>
      <c r="C114" s="32"/>
      <c r="D114" s="33"/>
      <c r="E114" s="33"/>
      <c r="F114" s="33"/>
      <c r="G114" s="33"/>
      <c r="H114" s="36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6"/>
      <c r="V114" s="36"/>
      <c r="W114" s="36"/>
      <c r="X114" s="36"/>
      <c r="Y114" s="36"/>
      <c r="Z114" s="36"/>
      <c r="AA114" s="36"/>
      <c r="AB114" s="36"/>
      <c r="AC114" s="36"/>
      <c r="AD114" s="36"/>
      <c r="AE114" s="36"/>
      <c r="AF114" s="36"/>
      <c r="AG114" s="36"/>
      <c r="AH114" s="36"/>
      <c r="AI114" s="36"/>
      <c r="AJ114" s="36"/>
      <c r="AK114" s="36"/>
      <c r="AL114" s="36"/>
      <c r="AM114" s="36"/>
      <c r="AN114" s="36"/>
      <c r="AO114" s="36"/>
      <c r="AP114" s="36"/>
      <c r="AQ114" s="36"/>
      <c r="AR114" s="36"/>
      <c r="AS114" s="36"/>
      <c r="AT114" s="36"/>
      <c r="AU114" s="36"/>
      <c r="AV114" s="36"/>
      <c r="AW114" s="36"/>
      <c r="AX114" s="36"/>
      <c r="AY114" s="36"/>
      <c r="AZ114" s="36"/>
      <c r="BA114" s="36"/>
      <c r="BB114" s="36"/>
    </row>
    <row r="115" spans="1:54" x14ac:dyDescent="0.25">
      <c r="A115" s="34"/>
      <c r="B115" s="34"/>
      <c r="C115" s="34"/>
      <c r="D115" s="35"/>
      <c r="E115" s="35"/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35"/>
      <c r="AE115" s="35"/>
      <c r="AF115" s="35"/>
      <c r="AG115" s="35"/>
      <c r="AH115" s="35"/>
      <c r="AI115" s="35"/>
      <c r="AJ115" s="35"/>
      <c r="AK115" s="35"/>
      <c r="AL115" s="35"/>
      <c r="AM115" s="35"/>
      <c r="AN115" s="37"/>
      <c r="AO115" s="37"/>
      <c r="AP115" s="37"/>
      <c r="AQ115" s="37"/>
      <c r="AR115" s="37"/>
      <c r="AS115" s="37"/>
      <c r="AT115" s="37"/>
      <c r="AU115" s="37"/>
      <c r="AV115" s="37"/>
      <c r="AW115" s="37"/>
      <c r="AX115" s="37"/>
      <c r="AY115" s="37"/>
      <c r="AZ115" s="37"/>
      <c r="BA115" s="37"/>
      <c r="BB115" s="37"/>
    </row>
    <row r="116" spans="1:54" s="5" customFormat="1" x14ac:dyDescent="0.25">
      <c r="A116" s="32"/>
      <c r="B116" s="32"/>
      <c r="C116" s="32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  <c r="AA116" s="33"/>
      <c r="AB116" s="36"/>
      <c r="AC116" s="36"/>
      <c r="AD116" s="36"/>
      <c r="AE116" s="36"/>
      <c r="AF116" s="36"/>
      <c r="AG116" s="36"/>
      <c r="AH116" s="36"/>
      <c r="AI116" s="36"/>
      <c r="AJ116" s="33"/>
      <c r="AK116" s="36"/>
      <c r="AL116" s="33"/>
      <c r="AM116" s="33"/>
      <c r="AN116" s="33"/>
      <c r="AO116" s="33"/>
      <c r="AP116" s="33"/>
      <c r="AQ116" s="33"/>
      <c r="AR116" s="33"/>
      <c r="AS116" s="33"/>
      <c r="AT116" s="33"/>
      <c r="AU116" s="33"/>
      <c r="AV116" s="33"/>
      <c r="AW116" s="33"/>
      <c r="AX116" s="33"/>
      <c r="AY116" s="33"/>
      <c r="AZ116" s="33"/>
      <c r="BA116" s="33"/>
      <c r="BB116" s="33"/>
    </row>
    <row r="117" spans="1:54" x14ac:dyDescent="0.25">
      <c r="A117" s="34"/>
      <c r="B117" s="34"/>
      <c r="C117" s="34"/>
      <c r="D117" s="35"/>
      <c r="E117" s="35"/>
      <c r="F117" s="35"/>
      <c r="G117" s="35"/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  <c r="AD117" s="37"/>
      <c r="AE117" s="37"/>
      <c r="AF117" s="37"/>
      <c r="AG117" s="37"/>
      <c r="AH117" s="37"/>
      <c r="AI117" s="37"/>
      <c r="AJ117" s="37"/>
      <c r="AK117" s="37"/>
      <c r="AL117" s="37"/>
      <c r="AM117" s="37"/>
      <c r="AN117" s="37"/>
      <c r="AO117" s="37"/>
      <c r="AP117" s="37"/>
      <c r="AQ117" s="37"/>
      <c r="AR117" s="37"/>
      <c r="AS117" s="37"/>
      <c r="AT117" s="37"/>
      <c r="AU117" s="37"/>
      <c r="AV117" s="37"/>
      <c r="AW117" s="37"/>
      <c r="AX117" s="37"/>
      <c r="AY117" s="37"/>
      <c r="AZ117" s="37"/>
      <c r="BA117" s="37"/>
      <c r="BB117" s="37"/>
    </row>
    <row r="118" spans="1:54" s="5" customFormat="1" x14ac:dyDescent="0.25">
      <c r="A118" s="32"/>
      <c r="B118" s="32"/>
      <c r="C118" s="32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  <c r="AE118" s="36"/>
      <c r="AF118" s="36"/>
      <c r="AG118" s="36"/>
      <c r="AH118" s="36"/>
      <c r="AI118" s="36"/>
      <c r="AJ118" s="36"/>
      <c r="AK118" s="36"/>
      <c r="AL118" s="36"/>
      <c r="AM118" s="36"/>
      <c r="AN118" s="36"/>
      <c r="AO118" s="36"/>
      <c r="AP118" s="36"/>
      <c r="AQ118" s="36"/>
      <c r="AR118" s="36"/>
      <c r="AS118" s="36"/>
      <c r="AT118" s="36"/>
      <c r="AU118" s="36"/>
      <c r="AV118" s="36"/>
      <c r="AW118" s="36"/>
      <c r="AX118" s="36"/>
      <c r="AY118" s="36"/>
      <c r="AZ118" s="36"/>
      <c r="BA118" s="36"/>
      <c r="BB118" s="36"/>
    </row>
    <row r="119" spans="1:54" x14ac:dyDescent="0.25">
      <c r="A119" s="34"/>
      <c r="B119" s="34"/>
      <c r="C119" s="34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  <c r="Y119" s="35"/>
      <c r="Z119" s="35"/>
      <c r="AA119" s="35"/>
      <c r="AB119" s="35"/>
      <c r="AC119" s="35"/>
      <c r="AD119" s="35"/>
      <c r="AE119" s="35"/>
      <c r="AF119" s="37"/>
      <c r="AG119" s="35"/>
      <c r="AH119" s="35"/>
      <c r="AI119" s="35"/>
      <c r="AJ119" s="35"/>
      <c r="AK119" s="35"/>
      <c r="AL119" s="37"/>
      <c r="AM119" s="35"/>
      <c r="AN119" s="35"/>
      <c r="AO119" s="35"/>
      <c r="AP119" s="35"/>
      <c r="AQ119" s="35"/>
      <c r="AR119" s="35"/>
      <c r="AS119" s="35"/>
      <c r="AT119" s="35"/>
      <c r="AU119" s="37"/>
      <c r="AV119" s="35"/>
      <c r="AW119" s="35"/>
      <c r="AX119" s="35"/>
      <c r="AY119" s="35"/>
      <c r="AZ119" s="35"/>
      <c r="BA119" s="35"/>
      <c r="BB119" s="35"/>
    </row>
    <row r="120" spans="1:54" s="5" customFormat="1" x14ac:dyDescent="0.25">
      <c r="A120" s="32"/>
      <c r="B120" s="32"/>
      <c r="C120" s="32"/>
      <c r="D120" s="33"/>
      <c r="E120" s="33"/>
      <c r="F120" s="33"/>
      <c r="G120" s="33"/>
      <c r="H120" s="33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3"/>
      <c r="T120" s="36"/>
      <c r="U120" s="36"/>
      <c r="V120" s="36"/>
      <c r="W120" s="36"/>
      <c r="X120" s="33"/>
      <c r="Y120" s="33"/>
      <c r="Z120" s="33"/>
      <c r="AA120" s="36"/>
      <c r="AB120" s="36"/>
      <c r="AC120" s="33"/>
      <c r="AD120" s="36"/>
      <c r="AE120" s="33"/>
      <c r="AF120" s="33"/>
      <c r="AG120" s="33"/>
      <c r="AH120" s="33"/>
      <c r="AI120" s="33"/>
      <c r="AJ120" s="36"/>
      <c r="AK120" s="36"/>
      <c r="AL120" s="33"/>
      <c r="AM120" s="33"/>
      <c r="AN120" s="33"/>
      <c r="AO120" s="36"/>
      <c r="AP120" s="36"/>
      <c r="AQ120" s="36"/>
      <c r="AR120" s="36"/>
      <c r="AS120" s="36"/>
      <c r="AT120" s="36"/>
      <c r="AU120" s="33"/>
      <c r="AV120" s="33"/>
      <c r="AW120" s="36"/>
      <c r="AX120" s="36"/>
      <c r="AY120" s="33"/>
      <c r="AZ120" s="33"/>
      <c r="BA120" s="33"/>
      <c r="BB120" s="33"/>
    </row>
    <row r="121" spans="1:54" x14ac:dyDescent="0.25">
      <c r="A121" s="34"/>
      <c r="B121" s="34"/>
      <c r="C121" s="34"/>
      <c r="D121" s="37"/>
      <c r="E121" s="37"/>
      <c r="F121" s="37"/>
      <c r="G121" s="37"/>
      <c r="H121" s="37"/>
      <c r="I121" s="37"/>
      <c r="J121" s="37"/>
      <c r="K121" s="37"/>
      <c r="L121" s="37"/>
      <c r="M121" s="37"/>
      <c r="N121" s="37"/>
      <c r="O121" s="37"/>
      <c r="P121" s="37"/>
      <c r="Q121" s="37"/>
      <c r="R121" s="37"/>
      <c r="S121" s="37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  <c r="AD121" s="37"/>
      <c r="AE121" s="37"/>
      <c r="AF121" s="37"/>
      <c r="AG121" s="37"/>
      <c r="AH121" s="37"/>
      <c r="AI121" s="37"/>
      <c r="AJ121" s="37"/>
      <c r="AK121" s="37"/>
      <c r="AL121" s="37"/>
      <c r="AM121" s="37"/>
      <c r="AN121" s="37"/>
      <c r="AO121" s="37"/>
      <c r="AP121" s="37"/>
      <c r="AQ121" s="37"/>
      <c r="AR121" s="37"/>
      <c r="AS121" s="37"/>
      <c r="AT121" s="37"/>
      <c r="AU121" s="37"/>
      <c r="AV121" s="37"/>
      <c r="AW121" s="37"/>
      <c r="AX121" s="37"/>
      <c r="AY121" s="37"/>
      <c r="AZ121" s="37"/>
      <c r="BA121" s="37"/>
      <c r="BB121" s="37"/>
    </row>
    <row r="122" spans="1:54" s="5" customFormat="1" x14ac:dyDescent="0.25">
      <c r="A122" s="32"/>
      <c r="B122" s="32"/>
      <c r="C122" s="32"/>
      <c r="D122" s="36"/>
      <c r="E122" s="36"/>
      <c r="F122" s="36"/>
      <c r="G122" s="36"/>
      <c r="H122" s="36"/>
      <c r="I122" s="36"/>
      <c r="J122" s="36"/>
      <c r="K122" s="36"/>
      <c r="L122" s="36"/>
      <c r="M122" s="36"/>
      <c r="N122" s="36"/>
      <c r="O122" s="36"/>
      <c r="P122" s="36"/>
      <c r="Q122" s="36"/>
      <c r="R122" s="36"/>
      <c r="S122" s="36"/>
      <c r="T122" s="36"/>
      <c r="U122" s="36"/>
      <c r="V122" s="36"/>
      <c r="W122" s="36"/>
      <c r="X122" s="36"/>
      <c r="Y122" s="36"/>
      <c r="Z122" s="36"/>
      <c r="AA122" s="36"/>
      <c r="AB122" s="36"/>
      <c r="AC122" s="36"/>
      <c r="AD122" s="36"/>
      <c r="AE122" s="36"/>
      <c r="AF122" s="36"/>
      <c r="AG122" s="36"/>
      <c r="AH122" s="36"/>
      <c r="AI122" s="36"/>
      <c r="AJ122" s="36"/>
      <c r="AK122" s="36"/>
      <c r="AL122" s="36"/>
      <c r="AM122" s="36"/>
      <c r="AN122" s="36"/>
      <c r="AO122" s="36"/>
      <c r="AP122" s="36"/>
      <c r="AQ122" s="36"/>
      <c r="AR122" s="36"/>
      <c r="AS122" s="36"/>
      <c r="AT122" s="36"/>
      <c r="AU122" s="36"/>
      <c r="AV122" s="36"/>
      <c r="AW122" s="36"/>
      <c r="AX122" s="36"/>
      <c r="AY122" s="36"/>
      <c r="AZ122" s="36"/>
      <c r="BA122" s="36"/>
      <c r="BB122" s="36"/>
    </row>
    <row r="123" spans="1:54" x14ac:dyDescent="0.25">
      <c r="A123" s="34"/>
      <c r="B123" s="34"/>
      <c r="C123" s="34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  <c r="AM123" s="35"/>
      <c r="AN123" s="35"/>
      <c r="AO123" s="35"/>
      <c r="AP123" s="35"/>
      <c r="AQ123" s="35"/>
      <c r="AR123" s="35"/>
      <c r="AS123" s="35"/>
      <c r="AT123" s="35"/>
      <c r="AU123" s="35"/>
      <c r="AV123" s="35"/>
      <c r="AW123" s="35"/>
      <c r="AX123" s="35"/>
      <c r="AY123" s="35"/>
      <c r="AZ123" s="35"/>
      <c r="BA123" s="35"/>
      <c r="BB123" s="35"/>
    </row>
    <row r="124" spans="1:54" s="5" customFormat="1" x14ac:dyDescent="0.25">
      <c r="A124" s="32"/>
      <c r="B124" s="32"/>
      <c r="C124" s="32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  <c r="AF124" s="36"/>
      <c r="AG124" s="33"/>
      <c r="AH124" s="33"/>
      <c r="AI124" s="33"/>
      <c r="AJ124" s="33"/>
      <c r="AK124" s="33"/>
      <c r="AL124" s="33"/>
      <c r="AM124" s="33"/>
      <c r="AN124" s="33"/>
      <c r="AO124" s="33"/>
      <c r="AP124" s="33"/>
      <c r="AQ124" s="33"/>
      <c r="AR124" s="33"/>
      <c r="AS124" s="33"/>
      <c r="AT124" s="33"/>
      <c r="AU124" s="33"/>
      <c r="AV124" s="33"/>
      <c r="AW124" s="33"/>
      <c r="AX124" s="33"/>
      <c r="AY124" s="33"/>
      <c r="AZ124" s="33"/>
      <c r="BA124" s="33"/>
      <c r="BB124" s="33"/>
    </row>
    <row r="125" spans="1:54" x14ac:dyDescent="0.25">
      <c r="A125" s="34"/>
      <c r="B125" s="34"/>
      <c r="C125" s="34"/>
      <c r="D125" s="37"/>
      <c r="E125" s="37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7"/>
      <c r="AF125" s="37"/>
      <c r="AG125" s="37"/>
      <c r="AH125" s="37"/>
      <c r="AI125" s="37"/>
      <c r="AJ125" s="37"/>
      <c r="AK125" s="37"/>
      <c r="AL125" s="37"/>
      <c r="AM125" s="37"/>
      <c r="AN125" s="37"/>
      <c r="AO125" s="37"/>
      <c r="AP125" s="37"/>
      <c r="AQ125" s="37"/>
      <c r="AR125" s="37"/>
      <c r="AS125" s="37"/>
      <c r="AT125" s="37"/>
      <c r="AU125" s="37"/>
      <c r="AV125" s="37"/>
      <c r="AW125" s="37"/>
      <c r="AX125" s="37"/>
      <c r="AY125" s="37"/>
      <c r="AZ125" s="37"/>
      <c r="BA125" s="37"/>
      <c r="BB125" s="37"/>
    </row>
    <row r="126" spans="1:54" s="5" customFormat="1" x14ac:dyDescent="0.25">
      <c r="A126" s="34"/>
      <c r="B126" s="34"/>
      <c r="C126" s="34"/>
      <c r="D126" s="35"/>
      <c r="E126" s="35"/>
      <c r="F126" s="37"/>
      <c r="G126" s="37"/>
      <c r="H126" s="37"/>
      <c r="I126" s="37"/>
      <c r="J126" s="37"/>
      <c r="K126" s="37"/>
      <c r="L126" s="37"/>
      <c r="M126" s="37"/>
      <c r="N126" s="37"/>
      <c r="O126" s="37"/>
      <c r="P126" s="37"/>
      <c r="Q126" s="37"/>
      <c r="R126" s="37"/>
      <c r="S126" s="37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  <c r="AD126" s="37"/>
      <c r="AE126" s="37"/>
      <c r="AF126" s="37"/>
      <c r="AG126" s="37"/>
      <c r="AH126" s="37"/>
      <c r="AI126" s="37"/>
      <c r="AJ126" s="37"/>
      <c r="AK126" s="37"/>
      <c r="AL126" s="37"/>
      <c r="AM126" s="37"/>
      <c r="AN126" s="37"/>
      <c r="AO126" s="37"/>
      <c r="AP126" s="37"/>
      <c r="AQ126" s="37"/>
      <c r="AR126" s="37"/>
      <c r="AS126" s="37"/>
      <c r="AT126" s="37"/>
      <c r="AU126" s="37"/>
      <c r="AV126" s="37"/>
      <c r="AW126" s="37"/>
      <c r="AX126" s="37"/>
      <c r="AY126" s="37"/>
      <c r="AZ126" s="37"/>
      <c r="BA126" s="37"/>
      <c r="BB126" s="37"/>
    </row>
    <row r="127" spans="1:54" x14ac:dyDescent="0.25">
      <c r="A127" s="34"/>
      <c r="B127" s="32"/>
      <c r="C127" s="32"/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6"/>
      <c r="U127" s="36"/>
      <c r="V127" s="36"/>
      <c r="W127" s="36"/>
      <c r="X127" s="36"/>
      <c r="Y127" s="36"/>
      <c r="Z127" s="36"/>
      <c r="AA127" s="36"/>
      <c r="AB127" s="36"/>
      <c r="AC127" s="36"/>
      <c r="AD127" s="36"/>
      <c r="AE127" s="36"/>
      <c r="AF127" s="36"/>
      <c r="AG127" s="36"/>
      <c r="AH127" s="36"/>
      <c r="AI127" s="36"/>
      <c r="AJ127" s="33"/>
      <c r="AK127" s="36"/>
      <c r="AL127" s="36"/>
      <c r="AM127" s="36"/>
      <c r="AN127" s="36"/>
      <c r="AO127" s="33"/>
      <c r="AP127" s="33"/>
      <c r="AQ127" s="33"/>
      <c r="AR127" s="36"/>
      <c r="AS127" s="36"/>
      <c r="AT127" s="33"/>
      <c r="AU127" s="36"/>
      <c r="AV127" s="36"/>
      <c r="AW127" s="36"/>
      <c r="AX127" s="36"/>
      <c r="AY127" s="33"/>
      <c r="AZ127" s="36"/>
      <c r="BA127" s="36"/>
      <c r="BB127" s="36"/>
    </row>
    <row r="128" spans="1:54" s="5" customFormat="1" x14ac:dyDescent="0.25">
      <c r="A128" s="34"/>
      <c r="B128" s="34"/>
      <c r="C128" s="34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35"/>
      <c r="AE128" s="35"/>
      <c r="AF128" s="35"/>
      <c r="AG128" s="35"/>
      <c r="AH128" s="35"/>
      <c r="AI128" s="37"/>
      <c r="AJ128" s="37"/>
      <c r="AK128" s="37"/>
      <c r="AL128" s="35"/>
      <c r="AM128" s="35"/>
      <c r="AN128" s="35"/>
      <c r="AO128" s="35"/>
      <c r="AP128" s="35"/>
      <c r="AQ128" s="35"/>
      <c r="AR128" s="35"/>
      <c r="AS128" s="35"/>
      <c r="AT128" s="35"/>
      <c r="AU128" s="35"/>
      <c r="AV128" s="35"/>
      <c r="AW128" s="35"/>
      <c r="AX128" s="35"/>
      <c r="AY128" s="35"/>
      <c r="AZ128" s="35"/>
      <c r="BA128" s="35"/>
      <c r="BB128" s="35"/>
    </row>
    <row r="129" spans="1:54" x14ac:dyDescent="0.25">
      <c r="A129" s="34"/>
      <c r="B129" s="32"/>
      <c r="C129" s="32"/>
      <c r="D129" s="36"/>
      <c r="E129" s="36"/>
      <c r="F129" s="36"/>
      <c r="G129" s="36"/>
      <c r="H129" s="36"/>
      <c r="I129" s="36"/>
      <c r="J129" s="36"/>
      <c r="K129" s="36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36"/>
      <c r="W129" s="36"/>
      <c r="X129" s="36"/>
      <c r="Y129" s="36"/>
      <c r="Z129" s="36"/>
      <c r="AA129" s="36"/>
      <c r="AB129" s="36"/>
      <c r="AC129" s="36"/>
      <c r="AD129" s="36"/>
      <c r="AE129" s="36"/>
      <c r="AF129" s="36"/>
      <c r="AG129" s="36"/>
      <c r="AH129" s="36"/>
      <c r="AI129" s="36"/>
      <c r="AJ129" s="36"/>
      <c r="AK129" s="36"/>
      <c r="AL129" s="36"/>
      <c r="AM129" s="36"/>
      <c r="AN129" s="36"/>
      <c r="AO129" s="36"/>
      <c r="AP129" s="36"/>
      <c r="AQ129" s="36"/>
      <c r="AR129" s="36"/>
      <c r="AS129" s="36"/>
      <c r="AT129" s="36"/>
      <c r="AU129" s="36"/>
      <c r="AV129" s="36"/>
      <c r="AW129" s="36"/>
      <c r="AX129" s="36"/>
      <c r="AY129" s="36"/>
      <c r="AZ129" s="36"/>
      <c r="BA129" s="36"/>
      <c r="BB129" s="36"/>
    </row>
    <row r="130" spans="1:54" x14ac:dyDescent="0.25">
      <c r="A130" s="34"/>
      <c r="B130" s="34"/>
      <c r="C130" s="34"/>
      <c r="D130" s="37"/>
      <c r="E130" s="37"/>
      <c r="F130" s="37"/>
      <c r="G130" s="37"/>
      <c r="H130" s="37"/>
      <c r="I130" s="37"/>
      <c r="J130" s="37"/>
      <c r="K130" s="37"/>
      <c r="L130" s="37"/>
      <c r="M130" s="37"/>
      <c r="N130" s="37"/>
      <c r="O130" s="37"/>
      <c r="P130" s="37"/>
      <c r="Q130" s="37"/>
      <c r="R130" s="37"/>
      <c r="S130" s="37"/>
      <c r="T130" s="37"/>
      <c r="U130" s="37"/>
      <c r="V130" s="37"/>
      <c r="W130" s="37"/>
      <c r="X130" s="37"/>
      <c r="Y130" s="37"/>
      <c r="Z130" s="37"/>
      <c r="AA130" s="37"/>
      <c r="AB130" s="37"/>
      <c r="AC130" s="37"/>
      <c r="AD130" s="37"/>
      <c r="AE130" s="37"/>
      <c r="AF130" s="37"/>
      <c r="AG130" s="37"/>
      <c r="AH130" s="37"/>
      <c r="AI130" s="37"/>
      <c r="AJ130" s="37"/>
      <c r="AK130" s="37"/>
      <c r="AL130" s="37"/>
      <c r="AM130" s="37"/>
      <c r="AN130" s="37"/>
      <c r="AO130" s="37"/>
      <c r="AP130" s="37"/>
      <c r="AQ130" s="37"/>
      <c r="AR130" s="37"/>
      <c r="AS130" s="37"/>
      <c r="AT130" s="37"/>
      <c r="AU130" s="37"/>
      <c r="AV130" s="37"/>
      <c r="AW130" s="37"/>
      <c r="AX130" s="37"/>
      <c r="AY130" s="37"/>
      <c r="AZ130" s="37"/>
      <c r="BA130" s="37"/>
      <c r="BB130" s="37"/>
    </row>
    <row r="131" spans="1:54" s="5" customFormat="1" x14ac:dyDescent="0.25">
      <c r="A131" s="32"/>
      <c r="B131" s="32"/>
      <c r="C131" s="32"/>
      <c r="D131" s="36"/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  <c r="AA131" s="36"/>
      <c r="AB131" s="36"/>
      <c r="AC131" s="36"/>
      <c r="AD131" s="36"/>
      <c r="AE131" s="36"/>
      <c r="AF131" s="36"/>
      <c r="AG131" s="36"/>
      <c r="AH131" s="36"/>
      <c r="AI131" s="36"/>
      <c r="AJ131" s="36"/>
      <c r="AK131" s="36"/>
      <c r="AL131" s="36"/>
      <c r="AM131" s="36"/>
      <c r="AN131" s="36"/>
      <c r="AO131" s="36"/>
      <c r="AP131" s="33"/>
      <c r="AQ131" s="36"/>
      <c r="AR131" s="33"/>
      <c r="AS131" s="36"/>
      <c r="AT131" s="33"/>
      <c r="AU131" s="36"/>
      <c r="AV131" s="36"/>
      <c r="AW131" s="36"/>
      <c r="AX131" s="33"/>
      <c r="AY131" s="33"/>
      <c r="AZ131" s="33"/>
      <c r="BA131" s="36"/>
      <c r="BB131" s="36"/>
    </row>
    <row r="132" spans="1:54" x14ac:dyDescent="0.25">
      <c r="A132" s="34"/>
      <c r="B132" s="34"/>
      <c r="C132" s="34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35"/>
      <c r="AE132" s="35"/>
      <c r="AF132" s="35"/>
      <c r="AG132" s="35"/>
      <c r="AH132" s="35"/>
      <c r="AI132" s="35"/>
      <c r="AJ132" s="35"/>
      <c r="AK132" s="35"/>
      <c r="AL132" s="35"/>
      <c r="AM132" s="35"/>
      <c r="AN132" s="35"/>
      <c r="AO132" s="37"/>
      <c r="AP132" s="35"/>
      <c r="AQ132" s="35"/>
      <c r="AR132" s="35"/>
      <c r="AS132" s="37"/>
      <c r="AT132" s="37"/>
      <c r="AU132" s="37"/>
      <c r="AV132" s="37"/>
      <c r="AW132" s="37"/>
      <c r="AX132" s="37"/>
      <c r="AY132" s="37"/>
      <c r="AZ132" s="35"/>
      <c r="BA132" s="35"/>
      <c r="BB132" s="37"/>
    </row>
    <row r="133" spans="1:54" s="5" customFormat="1" x14ac:dyDescent="0.25">
      <c r="A133" s="32"/>
      <c r="B133" s="32"/>
      <c r="C133" s="32"/>
      <c r="D133" s="36"/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6"/>
      <c r="W133" s="36"/>
      <c r="X133" s="36"/>
      <c r="Y133" s="36"/>
      <c r="Z133" s="36"/>
      <c r="AA133" s="36"/>
      <c r="AB133" s="36"/>
      <c r="AC133" s="36"/>
      <c r="AD133" s="36"/>
      <c r="AE133" s="36"/>
      <c r="AF133" s="36"/>
      <c r="AG133" s="36"/>
      <c r="AH133" s="36"/>
      <c r="AI133" s="36"/>
      <c r="AJ133" s="36"/>
      <c r="AK133" s="36"/>
      <c r="AL133" s="36"/>
      <c r="AM133" s="36"/>
      <c r="AN133" s="36"/>
      <c r="AO133" s="36"/>
      <c r="AP133" s="36"/>
      <c r="AQ133" s="36"/>
      <c r="AR133" s="36"/>
      <c r="AS133" s="36"/>
      <c r="AT133" s="36"/>
      <c r="AU133" s="36"/>
      <c r="AV133" s="36"/>
      <c r="AW133" s="36"/>
      <c r="AX133" s="36"/>
      <c r="AY133" s="36"/>
      <c r="AZ133" s="36"/>
      <c r="BA133" s="36"/>
      <c r="BB133" s="36"/>
    </row>
    <row r="134" spans="1:54" x14ac:dyDescent="0.25">
      <c r="A134" s="34"/>
      <c r="B134" s="34"/>
      <c r="C134" s="34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37"/>
      <c r="Q134" s="37"/>
      <c r="R134" s="37"/>
      <c r="S134" s="37"/>
      <c r="T134" s="37"/>
      <c r="U134" s="37"/>
      <c r="V134" s="37"/>
      <c r="W134" s="37"/>
      <c r="X134" s="37"/>
      <c r="Y134" s="37"/>
      <c r="Z134" s="37"/>
      <c r="AA134" s="37"/>
      <c r="AB134" s="37"/>
      <c r="AC134" s="37"/>
      <c r="AD134" s="37"/>
      <c r="AE134" s="37"/>
      <c r="AF134" s="37"/>
      <c r="AG134" s="37"/>
      <c r="AH134" s="37"/>
      <c r="AI134" s="37"/>
      <c r="AJ134" s="37"/>
      <c r="AK134" s="37"/>
      <c r="AL134" s="37"/>
      <c r="AM134" s="37"/>
      <c r="AN134" s="37"/>
      <c r="AO134" s="37"/>
      <c r="AP134" s="37"/>
      <c r="AQ134" s="37"/>
      <c r="AR134" s="37"/>
      <c r="AS134" s="37"/>
      <c r="AT134" s="37"/>
      <c r="AU134" s="37"/>
      <c r="AV134" s="37"/>
      <c r="AW134" s="37"/>
      <c r="AX134" s="37"/>
      <c r="AY134" s="37"/>
      <c r="AZ134" s="37"/>
      <c r="BA134" s="37"/>
      <c r="BB134" s="37"/>
    </row>
    <row r="135" spans="1:54" s="5" customFormat="1" x14ac:dyDescent="0.25">
      <c r="A135" s="32"/>
      <c r="B135" s="32"/>
      <c r="C135" s="32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6"/>
      <c r="Z135" s="36"/>
      <c r="AA135" s="36"/>
      <c r="AB135" s="36"/>
      <c r="AC135" s="36"/>
      <c r="AD135" s="36"/>
      <c r="AE135" s="36"/>
      <c r="AF135" s="36"/>
      <c r="AG135" s="36"/>
      <c r="AH135" s="36"/>
      <c r="AI135" s="36"/>
      <c r="AJ135" s="36"/>
      <c r="AK135" s="36"/>
      <c r="AL135" s="36"/>
      <c r="AM135" s="36"/>
      <c r="AN135" s="36"/>
      <c r="AO135" s="36"/>
      <c r="AP135" s="36"/>
      <c r="AQ135" s="36"/>
      <c r="AR135" s="36"/>
      <c r="AS135" s="36"/>
      <c r="AT135" s="36"/>
      <c r="AU135" s="36"/>
      <c r="AV135" s="36"/>
      <c r="AW135" s="36"/>
      <c r="AX135" s="36"/>
      <c r="AY135" s="36"/>
      <c r="AZ135" s="36"/>
      <c r="BA135" s="36"/>
      <c r="BB135" s="36"/>
    </row>
    <row r="136" spans="1:54" x14ac:dyDescent="0.25">
      <c r="A136" s="34"/>
      <c r="B136" s="34"/>
      <c r="C136" s="34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35"/>
      <c r="AE136" s="35"/>
      <c r="AF136" s="35"/>
      <c r="AG136" s="35"/>
      <c r="AH136" s="35"/>
      <c r="AI136" s="35"/>
      <c r="AJ136" s="35"/>
      <c r="AK136" s="35"/>
      <c r="AL136" s="35"/>
      <c r="AM136" s="35"/>
      <c r="AN136" s="35"/>
      <c r="AO136" s="35"/>
      <c r="AP136" s="35"/>
      <c r="AQ136" s="35"/>
      <c r="AR136" s="35"/>
      <c r="AS136" s="35"/>
      <c r="AT136" s="35"/>
      <c r="AU136" s="35"/>
      <c r="AV136" s="35"/>
      <c r="AW136" s="35"/>
      <c r="AX136" s="35"/>
      <c r="AY136" s="35"/>
      <c r="AZ136" s="35"/>
      <c r="BA136" s="35"/>
      <c r="BB136" s="35"/>
    </row>
    <row r="137" spans="1:54" s="5" customFormat="1" x14ac:dyDescent="0.25">
      <c r="A137" s="32"/>
      <c r="B137" s="32"/>
      <c r="C137" s="32"/>
      <c r="D137" s="36"/>
      <c r="E137" s="36"/>
      <c r="F137" s="36"/>
      <c r="G137" s="36"/>
      <c r="H137" s="36"/>
      <c r="I137" s="36"/>
      <c r="J137" s="36"/>
      <c r="K137" s="36"/>
      <c r="L137" s="36"/>
      <c r="M137" s="36"/>
      <c r="N137" s="36"/>
      <c r="O137" s="36"/>
      <c r="P137" s="36"/>
      <c r="Q137" s="36"/>
      <c r="R137" s="36"/>
      <c r="S137" s="36"/>
      <c r="T137" s="36"/>
      <c r="U137" s="36"/>
      <c r="V137" s="36"/>
      <c r="W137" s="36"/>
      <c r="X137" s="36"/>
      <c r="Y137" s="36"/>
      <c r="Z137" s="36"/>
      <c r="AA137" s="36"/>
      <c r="AB137" s="36"/>
      <c r="AC137" s="36"/>
      <c r="AD137" s="36"/>
      <c r="AE137" s="36"/>
      <c r="AF137" s="36"/>
      <c r="AG137" s="36"/>
      <c r="AH137" s="36"/>
      <c r="AI137" s="36"/>
      <c r="AJ137" s="36"/>
      <c r="AK137" s="36"/>
      <c r="AL137" s="36"/>
      <c r="AM137" s="36"/>
      <c r="AN137" s="36"/>
      <c r="AO137" s="36"/>
      <c r="AP137" s="36"/>
      <c r="AQ137" s="36"/>
      <c r="AR137" s="36"/>
      <c r="AS137" s="36"/>
      <c r="AT137" s="36"/>
      <c r="AU137" s="36"/>
      <c r="AV137" s="36"/>
      <c r="AW137" s="36"/>
      <c r="AX137" s="36"/>
      <c r="AY137" s="36"/>
      <c r="AZ137" s="36"/>
      <c r="BA137" s="36"/>
      <c r="BB137" s="36"/>
    </row>
    <row r="138" spans="1:54" x14ac:dyDescent="0.25">
      <c r="A138" s="34"/>
      <c r="B138" s="34"/>
      <c r="C138" s="34"/>
      <c r="D138" s="37"/>
      <c r="E138" s="37"/>
      <c r="F138" s="37"/>
      <c r="G138" s="37"/>
      <c r="H138" s="37"/>
      <c r="I138" s="37"/>
      <c r="J138" s="37"/>
      <c r="K138" s="37"/>
      <c r="L138" s="37"/>
      <c r="M138" s="37"/>
      <c r="N138" s="37"/>
      <c r="O138" s="37"/>
      <c r="P138" s="37"/>
      <c r="Q138" s="37"/>
      <c r="R138" s="37"/>
      <c r="S138" s="37"/>
      <c r="T138" s="37"/>
      <c r="U138" s="37"/>
      <c r="V138" s="37"/>
      <c r="W138" s="37"/>
      <c r="X138" s="37"/>
      <c r="Y138" s="37"/>
      <c r="Z138" s="37"/>
      <c r="AA138" s="37"/>
      <c r="AB138" s="37"/>
      <c r="AC138" s="37"/>
      <c r="AD138" s="37"/>
      <c r="AE138" s="37"/>
      <c r="AF138" s="37"/>
      <c r="AG138" s="37"/>
      <c r="AH138" s="37"/>
      <c r="AI138" s="37"/>
      <c r="AJ138" s="37"/>
      <c r="AK138" s="37"/>
      <c r="AL138" s="37"/>
      <c r="AM138" s="37"/>
      <c r="AN138" s="37"/>
      <c r="AO138" s="37"/>
      <c r="AP138" s="37"/>
      <c r="AQ138" s="37"/>
      <c r="AR138" s="35"/>
      <c r="AS138" s="37"/>
      <c r="AT138" s="37"/>
      <c r="AU138" s="35"/>
      <c r="AV138" s="37"/>
      <c r="AW138" s="35"/>
      <c r="AX138" s="35"/>
      <c r="AY138" s="35"/>
      <c r="AZ138" s="35"/>
      <c r="BA138" s="35"/>
      <c r="BB138" s="35"/>
    </row>
    <row r="139" spans="1:54" s="5" customFormat="1" x14ac:dyDescent="0.25">
      <c r="A139" s="32"/>
      <c r="B139" s="32"/>
      <c r="C139" s="32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F139" s="33"/>
      <c r="AG139" s="33"/>
      <c r="AH139" s="33"/>
      <c r="AI139" s="33"/>
      <c r="AJ139" s="33"/>
      <c r="AK139" s="33"/>
      <c r="AL139" s="33"/>
      <c r="AM139" s="33"/>
      <c r="AN139" s="33"/>
      <c r="AO139" s="33"/>
      <c r="AP139" s="33"/>
      <c r="AQ139" s="33"/>
      <c r="AR139" s="33"/>
      <c r="AS139" s="33"/>
      <c r="AT139" s="33"/>
      <c r="AU139" s="33"/>
      <c r="AV139" s="33"/>
      <c r="AW139" s="33"/>
      <c r="AX139" s="33"/>
      <c r="AY139" s="33"/>
      <c r="AZ139" s="33"/>
      <c r="BA139" s="33"/>
      <c r="BB139" s="33"/>
    </row>
    <row r="140" spans="1:54" x14ac:dyDescent="0.25">
      <c r="A140" s="34"/>
      <c r="B140" s="34"/>
      <c r="C140" s="34"/>
      <c r="D140" s="37"/>
      <c r="E140" s="37"/>
      <c r="F140" s="37"/>
      <c r="G140" s="37"/>
      <c r="H140" s="37"/>
      <c r="I140" s="37"/>
      <c r="J140" s="37"/>
      <c r="K140" s="37"/>
      <c r="L140" s="37"/>
      <c r="M140" s="37"/>
      <c r="N140" s="37"/>
      <c r="O140" s="37"/>
      <c r="P140" s="37"/>
      <c r="Q140" s="37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  <c r="AE140" s="35"/>
      <c r="AF140" s="35"/>
      <c r="AG140" s="35"/>
      <c r="AH140" s="35"/>
      <c r="AI140" s="35"/>
      <c r="AJ140" s="35"/>
      <c r="AK140" s="35"/>
      <c r="AL140" s="35"/>
      <c r="AM140" s="35"/>
      <c r="AN140" s="35"/>
      <c r="AO140" s="35"/>
      <c r="AP140" s="35"/>
      <c r="AQ140" s="35"/>
      <c r="AR140" s="35"/>
      <c r="AS140" s="35"/>
      <c r="AT140" s="35"/>
      <c r="AU140" s="35"/>
      <c r="AV140" s="35"/>
      <c r="AW140" s="35"/>
      <c r="AX140" s="35"/>
      <c r="AY140" s="35"/>
      <c r="AZ140" s="35"/>
      <c r="BA140" s="35"/>
      <c r="BB140" s="35"/>
    </row>
    <row r="141" spans="1:54" s="5" customFormat="1" x14ac:dyDescent="0.25">
      <c r="A141" s="32"/>
      <c r="B141" s="32"/>
      <c r="C141" s="32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6"/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  <c r="AE141" s="36"/>
      <c r="AF141" s="36"/>
      <c r="AG141" s="36"/>
      <c r="AH141" s="36"/>
      <c r="AI141" s="36"/>
      <c r="AJ141" s="36"/>
      <c r="AK141" s="36"/>
      <c r="AL141" s="36"/>
      <c r="AM141" s="36"/>
      <c r="AN141" s="33"/>
      <c r="AO141" s="36"/>
      <c r="AP141" s="33"/>
      <c r="AQ141" s="33"/>
      <c r="AR141" s="33"/>
      <c r="AS141" s="33"/>
      <c r="AT141" s="33"/>
      <c r="AU141" s="33"/>
      <c r="AV141" s="33"/>
      <c r="AW141" s="36"/>
      <c r="AX141" s="36"/>
      <c r="AY141" s="33"/>
      <c r="AZ141" s="33"/>
      <c r="BA141" s="33"/>
      <c r="BB141" s="33"/>
    </row>
    <row r="142" spans="1:54" x14ac:dyDescent="0.25">
      <c r="A142" s="34"/>
      <c r="B142" s="34"/>
      <c r="C142" s="34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</row>
    <row r="143" spans="1:54" s="5" customFormat="1" x14ac:dyDescent="0.25">
      <c r="A143" s="32"/>
      <c r="B143" s="32"/>
      <c r="C143" s="32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F143" s="33"/>
      <c r="AG143" s="33"/>
      <c r="AH143" s="33"/>
      <c r="AI143" s="33"/>
      <c r="AJ143" s="33"/>
      <c r="AK143" s="33"/>
      <c r="AL143" s="33"/>
      <c r="AM143" s="33"/>
      <c r="AN143" s="33"/>
      <c r="AO143" s="33"/>
      <c r="AP143" s="33"/>
      <c r="AQ143" s="33"/>
      <c r="AR143" s="33"/>
      <c r="AS143" s="33"/>
      <c r="AT143" s="33"/>
      <c r="AU143" s="33"/>
      <c r="AV143" s="33"/>
      <c r="AW143" s="33"/>
      <c r="AX143" s="36"/>
      <c r="AY143" s="36"/>
      <c r="AZ143" s="36"/>
      <c r="BA143" s="36"/>
      <c r="BB143" s="36"/>
    </row>
    <row r="144" spans="1:54" x14ac:dyDescent="0.25">
      <c r="A144" s="34"/>
      <c r="B144" s="34"/>
      <c r="C144" s="34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7"/>
      <c r="AY144" s="37"/>
      <c r="AZ144" s="37"/>
      <c r="BA144" s="37"/>
      <c r="BB144" s="37"/>
    </row>
    <row r="145" spans="1:54" s="5" customFormat="1" x14ac:dyDescent="0.25">
      <c r="A145" s="32"/>
      <c r="B145" s="32"/>
      <c r="C145" s="32"/>
      <c r="D145" s="33"/>
      <c r="E145" s="33"/>
      <c r="F145" s="36"/>
      <c r="G145" s="36"/>
      <c r="H145" s="36"/>
      <c r="I145" s="36"/>
      <c r="J145" s="36"/>
      <c r="K145" s="36"/>
      <c r="L145" s="36"/>
      <c r="M145" s="36"/>
      <c r="N145" s="36"/>
      <c r="O145" s="36"/>
      <c r="P145" s="36"/>
      <c r="Q145" s="36"/>
      <c r="R145" s="36"/>
      <c r="S145" s="36"/>
      <c r="T145" s="36"/>
      <c r="U145" s="36"/>
      <c r="V145" s="36"/>
      <c r="W145" s="36"/>
      <c r="X145" s="36"/>
      <c r="Y145" s="36"/>
      <c r="Z145" s="36"/>
      <c r="AA145" s="36"/>
      <c r="AB145" s="36"/>
      <c r="AC145" s="36"/>
      <c r="AD145" s="36"/>
      <c r="AE145" s="36"/>
      <c r="AF145" s="36"/>
      <c r="AG145" s="36"/>
      <c r="AH145" s="36"/>
      <c r="AI145" s="36"/>
      <c r="AJ145" s="36"/>
      <c r="AK145" s="36"/>
      <c r="AL145" s="36"/>
      <c r="AM145" s="36"/>
      <c r="AN145" s="36"/>
      <c r="AO145" s="36"/>
      <c r="AP145" s="36"/>
      <c r="AQ145" s="36"/>
      <c r="AR145" s="36"/>
      <c r="AS145" s="36"/>
      <c r="AT145" s="36"/>
      <c r="AU145" s="36"/>
      <c r="AV145" s="36"/>
      <c r="AW145" s="36"/>
      <c r="AX145" s="36"/>
      <c r="AY145" s="36"/>
      <c r="AZ145" s="36"/>
      <c r="BA145" s="36"/>
      <c r="BB145" s="36"/>
    </row>
    <row r="146" spans="1:54" x14ac:dyDescent="0.25">
      <c r="A146" s="34"/>
      <c r="B146" s="34"/>
      <c r="C146" s="34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</row>
    <row r="147" spans="1:54" s="5" customFormat="1" x14ac:dyDescent="0.25">
      <c r="A147" s="32"/>
      <c r="B147" s="32"/>
      <c r="C147" s="32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6"/>
      <c r="AW147" s="33"/>
      <c r="AX147" s="36"/>
      <c r="AY147" s="33"/>
      <c r="AZ147" s="33"/>
      <c r="BA147" s="33"/>
      <c r="BB147" s="33"/>
    </row>
    <row r="148" spans="1:54" x14ac:dyDescent="0.25">
      <c r="A148" s="34"/>
      <c r="B148" s="34"/>
      <c r="C148" s="34"/>
      <c r="D148" s="35"/>
      <c r="E148" s="35"/>
      <c r="F148" s="35"/>
      <c r="G148" s="35"/>
      <c r="H148" s="37"/>
      <c r="I148" s="35"/>
      <c r="J148" s="35"/>
      <c r="K148" s="35"/>
      <c r="L148" s="35"/>
      <c r="M148" s="37"/>
      <c r="N148" s="37"/>
      <c r="O148" s="37"/>
      <c r="P148" s="37"/>
      <c r="Q148" s="37"/>
      <c r="R148" s="37"/>
      <c r="S148" s="37"/>
      <c r="T148" s="37"/>
      <c r="U148" s="37"/>
      <c r="V148" s="37"/>
      <c r="W148" s="37"/>
      <c r="X148" s="37"/>
      <c r="Y148" s="37"/>
      <c r="Z148" s="37"/>
      <c r="AA148" s="37"/>
      <c r="AB148" s="37"/>
      <c r="AC148" s="37"/>
      <c r="AD148" s="37"/>
      <c r="AE148" s="37"/>
      <c r="AF148" s="37"/>
      <c r="AG148" s="37"/>
      <c r="AH148" s="37"/>
      <c r="AI148" s="37"/>
      <c r="AJ148" s="37"/>
      <c r="AK148" s="37"/>
      <c r="AL148" s="37"/>
      <c r="AM148" s="37"/>
      <c r="AN148" s="37"/>
      <c r="AO148" s="37"/>
      <c r="AP148" s="37"/>
      <c r="AQ148" s="37"/>
      <c r="AR148" s="37"/>
      <c r="AS148" s="37"/>
      <c r="AT148" s="37"/>
      <c r="AU148" s="37"/>
      <c r="AV148" s="37"/>
      <c r="AW148" s="37"/>
      <c r="AX148" s="37"/>
      <c r="AY148" s="37"/>
      <c r="AZ148" s="37"/>
      <c r="BA148" s="37"/>
      <c r="BB148" s="37"/>
    </row>
    <row r="149" spans="1:54" s="5" customFormat="1" x14ac:dyDescent="0.25">
      <c r="A149" s="32"/>
      <c r="B149" s="32"/>
      <c r="C149" s="32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</row>
    <row r="150" spans="1:54" x14ac:dyDescent="0.25">
      <c r="A150" s="34"/>
      <c r="B150" s="34"/>
      <c r="C150" s="34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</row>
    <row r="151" spans="1:54" s="5" customFormat="1" x14ac:dyDescent="0.25">
      <c r="A151" s="32"/>
      <c r="B151" s="32"/>
      <c r="C151" s="32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3"/>
      <c r="AY151" s="33"/>
      <c r="AZ151" s="33"/>
      <c r="BA151" s="33"/>
      <c r="BB151" s="33"/>
    </row>
    <row r="152" spans="1:54" x14ac:dyDescent="0.25">
      <c r="A152" s="34"/>
      <c r="B152" s="34"/>
      <c r="C152" s="34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</row>
    <row r="153" spans="1:54" s="5" customFormat="1" x14ac:dyDescent="0.25">
      <c r="A153" s="34"/>
      <c r="B153" s="34"/>
      <c r="C153" s="34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7"/>
      <c r="AK153" s="37"/>
      <c r="AL153" s="37"/>
      <c r="AM153" s="37"/>
      <c r="AN153" s="37"/>
      <c r="AO153" s="37"/>
      <c r="AP153" s="37"/>
      <c r="AQ153" s="37"/>
      <c r="AR153" s="37"/>
      <c r="AS153" s="37"/>
      <c r="AT153" s="37"/>
      <c r="AU153" s="37"/>
      <c r="AV153" s="37"/>
      <c r="AW153" s="37"/>
      <c r="AX153" s="37"/>
      <c r="AY153" s="37"/>
      <c r="AZ153" s="37"/>
      <c r="BA153" s="37"/>
      <c r="BB153" s="37"/>
    </row>
    <row r="154" spans="1:54" x14ac:dyDescent="0.25">
      <c r="A154" s="34"/>
      <c r="B154" s="32"/>
      <c r="C154" s="32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  <c r="AM154" s="33"/>
      <c r="AN154" s="36"/>
      <c r="AO154" s="33"/>
      <c r="AP154" s="33"/>
      <c r="AQ154" s="33"/>
      <c r="AR154" s="33"/>
      <c r="AS154" s="36"/>
      <c r="AT154" s="36"/>
      <c r="AU154" s="33"/>
      <c r="AV154" s="33"/>
      <c r="AW154" s="36"/>
      <c r="AX154" s="33"/>
      <c r="AY154" s="36"/>
      <c r="AZ154" s="36"/>
      <c r="BA154" s="33"/>
      <c r="BB154" s="36"/>
    </row>
    <row r="155" spans="1:54" s="5" customFormat="1" x14ac:dyDescent="0.25">
      <c r="A155" s="34"/>
      <c r="B155" s="34"/>
      <c r="C155" s="34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  <c r="AM155" s="35"/>
      <c r="AN155" s="35"/>
      <c r="AO155" s="35"/>
      <c r="AP155" s="35"/>
      <c r="AQ155" s="35"/>
      <c r="AR155" s="35"/>
      <c r="AS155" s="35"/>
      <c r="AT155" s="35"/>
      <c r="AU155" s="35"/>
      <c r="AV155" s="35"/>
      <c r="AW155" s="35"/>
      <c r="AX155" s="35"/>
      <c r="AY155" s="35"/>
      <c r="AZ155" s="35"/>
      <c r="BA155" s="35"/>
      <c r="BB155" s="35"/>
    </row>
    <row r="156" spans="1:54" x14ac:dyDescent="0.25">
      <c r="A156" s="34"/>
      <c r="B156" s="32"/>
      <c r="C156" s="32"/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36"/>
      <c r="AI156" s="36"/>
      <c r="AJ156" s="36"/>
      <c r="AK156" s="36"/>
      <c r="AL156" s="36"/>
      <c r="AM156" s="36"/>
      <c r="AN156" s="36"/>
      <c r="AO156" s="36"/>
      <c r="AP156" s="36"/>
      <c r="AQ156" s="36"/>
      <c r="AR156" s="36"/>
      <c r="AS156" s="36"/>
      <c r="AT156" s="36"/>
      <c r="AU156" s="36"/>
      <c r="AV156" s="36"/>
      <c r="AW156" s="36"/>
      <c r="AX156" s="36"/>
      <c r="AY156" s="36"/>
      <c r="AZ156" s="36"/>
      <c r="BA156" s="36"/>
      <c r="BB156" s="36"/>
    </row>
    <row r="157" spans="1:54" x14ac:dyDescent="0.25">
      <c r="A157" s="34"/>
      <c r="B157" s="34"/>
      <c r="C157" s="34"/>
      <c r="D157" s="37"/>
      <c r="E157" s="37"/>
      <c r="F157" s="37"/>
      <c r="G157" s="37"/>
      <c r="H157" s="37"/>
      <c r="I157" s="37"/>
      <c r="J157" s="37"/>
      <c r="K157" s="37"/>
      <c r="L157" s="37"/>
      <c r="M157" s="37"/>
      <c r="N157" s="37"/>
      <c r="O157" s="37"/>
      <c r="P157" s="37"/>
      <c r="Q157" s="37"/>
      <c r="R157" s="37"/>
      <c r="S157" s="37"/>
      <c r="T157" s="37"/>
      <c r="U157" s="37"/>
      <c r="V157" s="37"/>
      <c r="W157" s="37"/>
      <c r="X157" s="37"/>
      <c r="Y157" s="37"/>
      <c r="Z157" s="37"/>
      <c r="AA157" s="37"/>
      <c r="AB157" s="37"/>
      <c r="AC157" s="37"/>
      <c r="AD157" s="37"/>
      <c r="AE157" s="37"/>
      <c r="AF157" s="37"/>
      <c r="AG157" s="37"/>
      <c r="AH157" s="37"/>
      <c r="AI157" s="37"/>
      <c r="AJ157" s="37"/>
      <c r="AK157" s="37"/>
      <c r="AL157" s="37"/>
      <c r="AM157" s="37"/>
      <c r="AN157" s="37"/>
      <c r="AO157" s="37"/>
      <c r="AP157" s="37"/>
      <c r="AQ157" s="37"/>
      <c r="AR157" s="37"/>
      <c r="AS157" s="37"/>
      <c r="AT157" s="37"/>
      <c r="AU157" s="37"/>
      <c r="AV157" s="37"/>
      <c r="AW157" s="37"/>
      <c r="AX157" s="37"/>
      <c r="AY157" s="37"/>
      <c r="AZ157" s="37"/>
      <c r="BA157" s="37"/>
      <c r="BB157" s="37"/>
    </row>
    <row r="158" spans="1:54" s="5" customFormat="1" x14ac:dyDescent="0.25">
      <c r="A158" s="32"/>
      <c r="B158" s="32"/>
      <c r="C158" s="32"/>
      <c r="D158" s="33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6"/>
      <c r="V158" s="36"/>
      <c r="W158" s="36"/>
      <c r="X158" s="36"/>
      <c r="Y158" s="36"/>
      <c r="Z158" s="36"/>
      <c r="AA158" s="36"/>
      <c r="AB158" s="36"/>
      <c r="AC158" s="36"/>
      <c r="AD158" s="36"/>
      <c r="AE158" s="36"/>
      <c r="AF158" s="36"/>
      <c r="AG158" s="36"/>
      <c r="AH158" s="36"/>
      <c r="AI158" s="36"/>
      <c r="AJ158" s="36"/>
      <c r="AK158" s="36"/>
      <c r="AL158" s="36"/>
      <c r="AM158" s="36"/>
      <c r="AN158" s="36"/>
      <c r="AO158" s="36"/>
      <c r="AP158" s="36"/>
      <c r="AQ158" s="36"/>
      <c r="AR158" s="36"/>
      <c r="AS158" s="36"/>
      <c r="AT158" s="36"/>
      <c r="AU158" s="36"/>
      <c r="AV158" s="36"/>
      <c r="AW158" s="36"/>
      <c r="AX158" s="36"/>
      <c r="AY158" s="36"/>
      <c r="AZ158" s="36"/>
      <c r="BA158" s="36"/>
      <c r="BB158" s="36"/>
    </row>
    <row r="159" spans="1:54" x14ac:dyDescent="0.25">
      <c r="A159" s="34"/>
      <c r="B159" s="34"/>
      <c r="C159" s="34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  <c r="AM159" s="35"/>
      <c r="AN159" s="35"/>
      <c r="AO159" s="35"/>
      <c r="AP159" s="35"/>
      <c r="AQ159" s="35"/>
      <c r="AR159" s="35"/>
      <c r="AS159" s="35"/>
      <c r="AT159" s="35"/>
      <c r="AU159" s="35"/>
      <c r="AV159" s="35"/>
      <c r="AW159" s="35"/>
      <c r="AX159" s="35"/>
      <c r="AY159" s="35"/>
      <c r="AZ159" s="35"/>
      <c r="BA159" s="35"/>
      <c r="BB159" s="35"/>
    </row>
    <row r="160" spans="1:54" s="5" customFormat="1" x14ac:dyDescent="0.25">
      <c r="A160" s="32"/>
      <c r="B160" s="32"/>
      <c r="C160" s="32"/>
      <c r="D160" s="36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  <c r="W160" s="36"/>
      <c r="X160" s="36"/>
      <c r="Y160" s="36"/>
      <c r="Z160" s="36"/>
      <c r="AA160" s="36"/>
      <c r="AB160" s="36"/>
      <c r="AC160" s="36"/>
      <c r="AD160" s="36"/>
      <c r="AE160" s="36"/>
      <c r="AF160" s="36"/>
      <c r="AG160" s="36"/>
      <c r="AH160" s="36"/>
      <c r="AI160" s="36"/>
      <c r="AJ160" s="36"/>
      <c r="AK160" s="36"/>
      <c r="AL160" s="36"/>
      <c r="AM160" s="36"/>
      <c r="AN160" s="36"/>
      <c r="AO160" s="36"/>
      <c r="AP160" s="36"/>
      <c r="AQ160" s="36"/>
      <c r="AR160" s="36"/>
      <c r="AS160" s="36"/>
      <c r="AT160" s="36"/>
      <c r="AU160" s="36"/>
      <c r="AV160" s="36"/>
      <c r="AW160" s="36"/>
      <c r="AX160" s="36"/>
      <c r="AY160" s="36"/>
      <c r="AZ160" s="36"/>
      <c r="BA160" s="36"/>
      <c r="BB160" s="36"/>
    </row>
    <row r="161" spans="1:54" x14ac:dyDescent="0.25">
      <c r="A161" s="34"/>
      <c r="B161" s="34"/>
      <c r="C161" s="34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  <c r="AM161" s="35"/>
      <c r="AN161" s="35"/>
      <c r="AO161" s="35"/>
      <c r="AP161" s="35"/>
      <c r="AQ161" s="37"/>
      <c r="AR161" s="37"/>
      <c r="AS161" s="37"/>
      <c r="AT161" s="37"/>
      <c r="AU161" s="37"/>
      <c r="AV161" s="37"/>
      <c r="AW161" s="37"/>
      <c r="AX161" s="37"/>
      <c r="AY161" s="37"/>
      <c r="AZ161" s="37"/>
      <c r="BA161" s="37"/>
      <c r="BB161" s="37"/>
    </row>
    <row r="162" spans="1:54" s="5" customFormat="1" x14ac:dyDescent="0.25">
      <c r="A162" s="32"/>
      <c r="B162" s="32"/>
      <c r="C162" s="32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  <c r="AM162" s="33"/>
      <c r="AN162" s="33"/>
      <c r="AO162" s="33"/>
      <c r="AP162" s="33"/>
      <c r="AQ162" s="36"/>
      <c r="AR162" s="36"/>
      <c r="AS162" s="36"/>
      <c r="AT162" s="36"/>
      <c r="AU162" s="36"/>
      <c r="AV162" s="36"/>
      <c r="AW162" s="36"/>
      <c r="AX162" s="36"/>
      <c r="AY162" s="36"/>
      <c r="AZ162" s="36"/>
      <c r="BA162" s="36"/>
      <c r="BB162" s="36"/>
    </row>
    <row r="163" spans="1:54" x14ac:dyDescent="0.25">
      <c r="A163" s="34"/>
      <c r="B163" s="34"/>
      <c r="C163" s="34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  <c r="AM163" s="35"/>
      <c r="AN163" s="35"/>
      <c r="AO163" s="35"/>
      <c r="AP163" s="35"/>
      <c r="AQ163" s="37"/>
      <c r="AR163" s="35"/>
      <c r="AS163" s="37"/>
      <c r="AT163" s="35"/>
      <c r="AU163" s="35"/>
      <c r="AV163" s="35"/>
      <c r="AW163" s="35"/>
      <c r="AX163" s="35"/>
      <c r="AY163" s="35"/>
      <c r="AZ163" s="37"/>
      <c r="BA163" s="37"/>
      <c r="BB163" s="37"/>
    </row>
    <row r="164" spans="1:54" s="5" customFormat="1" x14ac:dyDescent="0.25">
      <c r="A164" s="32"/>
      <c r="B164" s="32"/>
      <c r="C164" s="32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  <c r="AM164" s="33"/>
      <c r="AN164" s="33"/>
      <c r="AO164" s="33"/>
      <c r="AP164" s="33"/>
      <c r="AQ164" s="36"/>
      <c r="AR164" s="36"/>
      <c r="AS164" s="36"/>
      <c r="AT164" s="36"/>
      <c r="AU164" s="36"/>
      <c r="AV164" s="36"/>
      <c r="AW164" s="36"/>
      <c r="AX164" s="36"/>
      <c r="AY164" s="36"/>
      <c r="AZ164" s="36"/>
      <c r="BA164" s="36"/>
      <c r="BB164" s="36"/>
    </row>
    <row r="165" spans="1:54" x14ac:dyDescent="0.25">
      <c r="A165" s="34"/>
      <c r="B165" s="34"/>
      <c r="C165" s="34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  <c r="AM165" s="35"/>
      <c r="AN165" s="35"/>
      <c r="AO165" s="35"/>
      <c r="AP165" s="35"/>
      <c r="AQ165" s="37"/>
      <c r="AR165" s="37"/>
      <c r="AS165" s="37"/>
      <c r="AT165" s="35"/>
      <c r="AU165" s="35"/>
      <c r="AV165" s="37"/>
      <c r="AW165" s="37"/>
      <c r="AX165" s="37"/>
      <c r="AY165" s="35"/>
      <c r="AZ165" s="35"/>
      <c r="BA165" s="35"/>
      <c r="BB165" s="37"/>
    </row>
    <row r="166" spans="1:54" s="5" customFormat="1" x14ac:dyDescent="0.25">
      <c r="A166" s="32"/>
      <c r="B166" s="32"/>
      <c r="C166" s="32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  <c r="AM166" s="33"/>
      <c r="AN166" s="33"/>
      <c r="AO166" s="33"/>
      <c r="AP166" s="33"/>
      <c r="AQ166" s="36"/>
      <c r="AR166" s="36"/>
      <c r="AS166" s="36"/>
      <c r="AT166" s="36"/>
      <c r="AU166" s="36"/>
      <c r="AV166" s="36"/>
      <c r="AW166" s="36"/>
      <c r="AX166" s="36"/>
      <c r="AY166" s="36"/>
      <c r="AZ166" s="36"/>
      <c r="BA166" s="36"/>
      <c r="BB166" s="36"/>
    </row>
    <row r="167" spans="1:54" x14ac:dyDescent="0.25">
      <c r="A167" s="34"/>
      <c r="B167" s="34"/>
      <c r="C167" s="34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  <c r="AM167" s="35"/>
      <c r="AN167" s="35"/>
      <c r="AO167" s="35"/>
      <c r="AP167" s="35"/>
      <c r="AQ167" s="35"/>
      <c r="AR167" s="35"/>
      <c r="AS167" s="35"/>
      <c r="AT167" s="35"/>
      <c r="AU167" s="35"/>
      <c r="AV167" s="35"/>
      <c r="AW167" s="35"/>
      <c r="AX167" s="35"/>
      <c r="AY167" s="35"/>
      <c r="AZ167" s="35"/>
      <c r="BA167" s="35"/>
      <c r="BB167" s="35"/>
    </row>
    <row r="168" spans="1:54" s="5" customFormat="1" x14ac:dyDescent="0.25">
      <c r="A168" s="32"/>
      <c r="B168" s="32"/>
      <c r="C168" s="32"/>
      <c r="D168" s="33"/>
      <c r="E168" s="33"/>
      <c r="F168" s="33"/>
      <c r="G168" s="33"/>
      <c r="H168" s="33"/>
      <c r="I168" s="33"/>
      <c r="J168" s="33"/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  <c r="AM168" s="33"/>
      <c r="AN168" s="33"/>
      <c r="AO168" s="33"/>
      <c r="AP168" s="33"/>
      <c r="AQ168" s="36"/>
      <c r="AR168" s="36"/>
      <c r="AS168" s="36"/>
      <c r="AT168" s="36"/>
      <c r="AU168" s="36"/>
      <c r="AV168" s="36"/>
      <c r="AW168" s="36"/>
      <c r="AX168" s="36"/>
      <c r="AY168" s="36"/>
      <c r="AZ168" s="36"/>
      <c r="BA168" s="36"/>
      <c r="BB168" s="36"/>
    </row>
    <row r="169" spans="1:54" x14ac:dyDescent="0.25">
      <c r="A169" s="34"/>
      <c r="B169" s="34"/>
      <c r="C169" s="34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  <c r="AM169" s="35"/>
      <c r="AN169" s="35"/>
      <c r="AO169" s="35"/>
      <c r="AP169" s="35"/>
      <c r="AQ169" s="37"/>
      <c r="AR169" s="37"/>
      <c r="AS169" s="37"/>
      <c r="AT169" s="37"/>
      <c r="AU169" s="37"/>
      <c r="AV169" s="37"/>
      <c r="AW169" s="37"/>
      <c r="AX169" s="37"/>
      <c r="AY169" s="37"/>
      <c r="AZ169" s="37"/>
      <c r="BA169" s="37"/>
      <c r="BB169" s="37"/>
    </row>
    <row r="170" spans="1:54" s="5" customFormat="1" x14ac:dyDescent="0.25">
      <c r="A170" s="32"/>
      <c r="B170" s="32"/>
      <c r="C170" s="32"/>
      <c r="D170" s="33"/>
      <c r="E170" s="33"/>
      <c r="F170" s="33"/>
      <c r="G170" s="33"/>
      <c r="H170" s="33"/>
      <c r="I170" s="33"/>
      <c r="J170" s="33"/>
      <c r="K170" s="33"/>
      <c r="L170" s="33"/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  <c r="AM170" s="33"/>
      <c r="AN170" s="33"/>
      <c r="AO170" s="33"/>
      <c r="AP170" s="33"/>
      <c r="AQ170" s="36"/>
      <c r="AR170" s="36"/>
      <c r="AS170" s="36"/>
      <c r="AT170" s="36"/>
      <c r="AU170" s="36"/>
      <c r="AV170" s="36"/>
      <c r="AW170" s="36"/>
      <c r="AX170" s="36"/>
      <c r="AY170" s="36"/>
      <c r="AZ170" s="36"/>
      <c r="BA170" s="36"/>
      <c r="BB170" s="36"/>
    </row>
    <row r="171" spans="1:54" x14ac:dyDescent="0.25">
      <c r="A171" s="34"/>
      <c r="B171" s="34"/>
      <c r="C171" s="34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  <c r="AM171" s="35"/>
      <c r="AN171" s="35"/>
      <c r="AO171" s="35"/>
      <c r="AP171" s="35"/>
      <c r="AQ171" s="35"/>
      <c r="AR171" s="35"/>
      <c r="AS171" s="35"/>
      <c r="AT171" s="35"/>
      <c r="AU171" s="35"/>
      <c r="AV171" s="35"/>
      <c r="AW171" s="35"/>
      <c r="AX171" s="35"/>
      <c r="AY171" s="35"/>
      <c r="AZ171" s="35"/>
      <c r="BA171" s="35"/>
      <c r="BB171" s="35"/>
    </row>
    <row r="172" spans="1:54" s="5" customFormat="1" x14ac:dyDescent="0.25">
      <c r="A172" s="32"/>
      <c r="B172" s="32"/>
      <c r="C172" s="32"/>
      <c r="D172" s="33"/>
      <c r="E172" s="33"/>
      <c r="F172" s="33"/>
      <c r="G172" s="33"/>
      <c r="H172" s="33"/>
      <c r="I172" s="33"/>
      <c r="J172" s="33"/>
      <c r="K172" s="33"/>
      <c r="L172" s="33"/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  <c r="AM172" s="33"/>
      <c r="AN172" s="33"/>
      <c r="AO172" s="33"/>
      <c r="AP172" s="33"/>
      <c r="AQ172" s="36"/>
      <c r="AR172" s="36"/>
      <c r="AS172" s="36"/>
      <c r="AT172" s="36"/>
      <c r="AU172" s="36"/>
      <c r="AV172" s="36"/>
      <c r="AW172" s="36"/>
      <c r="AX172" s="36"/>
      <c r="AY172" s="36"/>
      <c r="AZ172" s="36"/>
      <c r="BA172" s="36"/>
      <c r="BB172" s="36"/>
    </row>
    <row r="173" spans="1:54" x14ac:dyDescent="0.25">
      <c r="A173" s="34"/>
      <c r="B173" s="34"/>
      <c r="C173" s="34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  <c r="AF173" s="35"/>
      <c r="AG173" s="35"/>
      <c r="AH173" s="35"/>
      <c r="AI173" s="35"/>
      <c r="AJ173" s="35"/>
      <c r="AK173" s="35"/>
      <c r="AL173" s="35"/>
      <c r="AM173" s="35"/>
      <c r="AN173" s="35"/>
      <c r="AO173" s="35"/>
      <c r="AP173" s="35"/>
      <c r="AQ173" s="35"/>
      <c r="AR173" s="35"/>
      <c r="AS173" s="35"/>
      <c r="AT173" s="35"/>
      <c r="AU173" s="35"/>
      <c r="AV173" s="35"/>
      <c r="AW173" s="35"/>
      <c r="AX173" s="35"/>
      <c r="AY173" s="35"/>
      <c r="AZ173" s="35"/>
      <c r="BA173" s="35"/>
      <c r="BB173" s="35"/>
    </row>
    <row r="174" spans="1:54" s="5" customFormat="1" x14ac:dyDescent="0.25">
      <c r="A174" s="32"/>
      <c r="B174" s="32"/>
      <c r="C174" s="32"/>
      <c r="D174" s="33"/>
      <c r="E174" s="33"/>
      <c r="F174" s="33"/>
      <c r="G174" s="33"/>
      <c r="H174" s="33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  <c r="AF174" s="33"/>
      <c r="AG174" s="33"/>
      <c r="AH174" s="33"/>
      <c r="AI174" s="33"/>
      <c r="AJ174" s="33"/>
      <c r="AK174" s="33"/>
      <c r="AL174" s="33"/>
      <c r="AM174" s="33"/>
      <c r="AN174" s="33"/>
      <c r="AO174" s="33"/>
      <c r="AP174" s="33"/>
      <c r="AQ174" s="33"/>
      <c r="AR174" s="33"/>
      <c r="AS174" s="33"/>
      <c r="AT174" s="33"/>
      <c r="AU174" s="36"/>
      <c r="AV174" s="33"/>
      <c r="AW174" s="33"/>
      <c r="AX174" s="33"/>
      <c r="AY174" s="36"/>
      <c r="AZ174" s="33"/>
      <c r="BA174" s="33"/>
      <c r="BB174" s="33"/>
    </row>
    <row r="175" spans="1:54" x14ac:dyDescent="0.25">
      <c r="A175" s="34"/>
      <c r="B175" s="34"/>
      <c r="C175" s="34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  <c r="Y175" s="35"/>
      <c r="Z175" s="35"/>
      <c r="AA175" s="35"/>
      <c r="AB175" s="35"/>
      <c r="AC175" s="35"/>
      <c r="AD175" s="35"/>
      <c r="AE175" s="35"/>
      <c r="AF175" s="35"/>
      <c r="AG175" s="35"/>
      <c r="AH175" s="35"/>
      <c r="AI175" s="35"/>
      <c r="AJ175" s="35"/>
      <c r="AK175" s="35"/>
      <c r="AL175" s="35"/>
      <c r="AM175" s="35"/>
      <c r="AN175" s="35"/>
      <c r="AO175" s="35"/>
      <c r="AP175" s="35"/>
      <c r="AQ175" s="35"/>
      <c r="AR175" s="35"/>
      <c r="AS175" s="35"/>
      <c r="AT175" s="35"/>
      <c r="AU175" s="35"/>
      <c r="AV175" s="35"/>
      <c r="AW175" s="35"/>
      <c r="AX175" s="35"/>
      <c r="AY175" s="35"/>
      <c r="AZ175" s="35"/>
      <c r="BA175" s="35"/>
      <c r="BB175" s="35"/>
    </row>
    <row r="176" spans="1:54" s="5" customFormat="1" x14ac:dyDescent="0.25">
      <c r="A176" s="32"/>
      <c r="B176" s="32"/>
      <c r="C176" s="32"/>
      <c r="D176" s="33"/>
      <c r="E176" s="33"/>
      <c r="F176" s="33"/>
      <c r="G176" s="33"/>
      <c r="H176" s="33"/>
      <c r="I176" s="33"/>
      <c r="J176" s="33"/>
      <c r="K176" s="33"/>
      <c r="L176" s="33"/>
      <c r="M176" s="33"/>
      <c r="N176" s="33"/>
      <c r="O176" s="33"/>
      <c r="P176" s="33"/>
      <c r="Q176" s="33"/>
      <c r="R176" s="33"/>
      <c r="S176" s="33"/>
      <c r="T176" s="33"/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F176" s="33"/>
      <c r="AG176" s="33"/>
      <c r="AH176" s="33"/>
      <c r="AI176" s="33"/>
      <c r="AJ176" s="33"/>
      <c r="AK176" s="33"/>
      <c r="AL176" s="33"/>
      <c r="AM176" s="33"/>
      <c r="AN176" s="33"/>
      <c r="AO176" s="33"/>
      <c r="AP176" s="33"/>
      <c r="AQ176" s="33"/>
      <c r="AR176" s="33"/>
      <c r="AS176" s="33"/>
      <c r="AT176" s="33"/>
      <c r="AU176" s="36"/>
      <c r="AV176" s="33"/>
      <c r="AW176" s="33"/>
      <c r="AX176" s="36"/>
      <c r="AY176" s="36"/>
      <c r="AZ176" s="33"/>
      <c r="BA176" s="33"/>
      <c r="BB176" s="36"/>
    </row>
    <row r="177" spans="1:54" x14ac:dyDescent="0.25">
      <c r="A177" s="34"/>
      <c r="B177" s="34"/>
      <c r="C177" s="34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5"/>
      <c r="AA177" s="35"/>
      <c r="AB177" s="35"/>
      <c r="AC177" s="35"/>
      <c r="AD177" s="35"/>
      <c r="AE177" s="35"/>
      <c r="AF177" s="35"/>
      <c r="AG177" s="35"/>
      <c r="AH177" s="35"/>
      <c r="AI177" s="35"/>
      <c r="AJ177" s="35"/>
      <c r="AK177" s="35"/>
      <c r="AL177" s="35"/>
      <c r="AM177" s="35"/>
      <c r="AN177" s="35"/>
      <c r="AO177" s="35"/>
      <c r="AP177" s="35"/>
      <c r="AQ177" s="35"/>
      <c r="AR177" s="35"/>
      <c r="AS177" s="35"/>
      <c r="AT177" s="35"/>
      <c r="AU177" s="35"/>
      <c r="AV177" s="35"/>
      <c r="AW177" s="35"/>
      <c r="AX177" s="37"/>
      <c r="AY177" s="37"/>
      <c r="AZ177" s="37"/>
      <c r="BA177" s="37"/>
      <c r="BB177" s="37"/>
    </row>
    <row r="178" spans="1:54" s="5" customFormat="1" x14ac:dyDescent="0.25">
      <c r="A178" s="34"/>
      <c r="B178" s="32"/>
      <c r="C178" s="32"/>
      <c r="D178" s="33"/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F178" s="33"/>
      <c r="AG178" s="33"/>
      <c r="AH178" s="33"/>
      <c r="AI178" s="33"/>
      <c r="AJ178" s="33"/>
      <c r="AK178" s="33"/>
      <c r="AL178" s="33"/>
      <c r="AM178" s="33"/>
      <c r="AN178" s="33"/>
      <c r="AO178" s="33"/>
      <c r="AP178" s="33"/>
      <c r="AQ178" s="33"/>
      <c r="AR178" s="33"/>
      <c r="AS178" s="33"/>
      <c r="AT178" s="33"/>
      <c r="AU178" s="33"/>
      <c r="AV178" s="33"/>
      <c r="AW178" s="33"/>
      <c r="AX178" s="36"/>
      <c r="AY178" s="36"/>
      <c r="AZ178" s="36"/>
      <c r="BA178" s="36"/>
      <c r="BB178" s="36"/>
    </row>
    <row r="179" spans="1:54" x14ac:dyDescent="0.25">
      <c r="A179" s="34"/>
      <c r="B179" s="34"/>
      <c r="C179" s="34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5"/>
      <c r="W179" s="35"/>
      <c r="X179" s="35"/>
      <c r="Y179" s="35"/>
      <c r="Z179" s="35"/>
      <c r="AA179" s="35"/>
      <c r="AB179" s="35"/>
      <c r="AC179" s="35"/>
      <c r="AD179" s="35"/>
      <c r="AE179" s="35"/>
      <c r="AF179" s="35"/>
      <c r="AG179" s="35"/>
      <c r="AH179" s="35"/>
      <c r="AI179" s="35"/>
      <c r="AJ179" s="35"/>
      <c r="AK179" s="35"/>
      <c r="AL179" s="35"/>
      <c r="AM179" s="35"/>
      <c r="AN179" s="35"/>
      <c r="AO179" s="35"/>
      <c r="AP179" s="35"/>
      <c r="AQ179" s="35"/>
      <c r="AR179" s="35"/>
      <c r="AS179" s="35"/>
      <c r="AT179" s="35"/>
      <c r="AU179" s="35"/>
      <c r="AV179" s="35"/>
      <c r="AW179" s="35"/>
      <c r="AX179" s="37"/>
      <c r="AY179" s="37"/>
      <c r="AZ179" s="37"/>
      <c r="BA179" s="37"/>
      <c r="BB179" s="37"/>
    </row>
    <row r="180" spans="1:54" s="5" customFormat="1" x14ac:dyDescent="0.25">
      <c r="A180" s="34"/>
      <c r="B180" s="32"/>
      <c r="C180" s="32"/>
      <c r="D180" s="33"/>
      <c r="E180" s="33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  <c r="AA180" s="33"/>
      <c r="AB180" s="33"/>
      <c r="AC180" s="33"/>
      <c r="AD180" s="33"/>
      <c r="AE180" s="33"/>
      <c r="AF180" s="33"/>
      <c r="AG180" s="33"/>
      <c r="AH180" s="33"/>
      <c r="AI180" s="33"/>
      <c r="AJ180" s="33"/>
      <c r="AK180" s="33"/>
      <c r="AL180" s="33"/>
      <c r="AM180" s="33"/>
      <c r="AN180" s="33"/>
      <c r="AO180" s="33"/>
      <c r="AP180" s="33"/>
      <c r="AQ180" s="33"/>
      <c r="AR180" s="33"/>
      <c r="AS180" s="33"/>
      <c r="AT180" s="33"/>
      <c r="AU180" s="33"/>
      <c r="AV180" s="33"/>
      <c r="AW180" s="33"/>
      <c r="AX180" s="36"/>
      <c r="AY180" s="36"/>
      <c r="AZ180" s="36"/>
      <c r="BA180" s="36"/>
      <c r="BB180" s="36"/>
    </row>
    <row r="181" spans="1:54" s="5" customFormat="1" x14ac:dyDescent="0.25">
      <c r="A181" s="32"/>
      <c r="B181" s="32"/>
      <c r="C181" s="32"/>
      <c r="D181" s="33"/>
      <c r="E181" s="33"/>
      <c r="F181" s="33"/>
      <c r="G181" s="33"/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F181" s="33"/>
      <c r="AG181" s="33"/>
      <c r="AH181" s="33"/>
      <c r="AI181" s="33"/>
      <c r="AJ181" s="33"/>
      <c r="AK181" s="33"/>
      <c r="AL181" s="33"/>
      <c r="AM181" s="33"/>
      <c r="AN181" s="33"/>
      <c r="AO181" s="33"/>
      <c r="AP181" s="33"/>
      <c r="AQ181" s="36"/>
      <c r="AR181" s="36"/>
      <c r="AS181" s="36"/>
      <c r="AT181" s="36"/>
      <c r="AU181" s="36"/>
      <c r="AV181" s="36"/>
      <c r="AW181" s="36"/>
      <c r="AX181" s="36"/>
      <c r="AY181" s="36"/>
      <c r="AZ181" s="36"/>
      <c r="BA181" s="36"/>
      <c r="BB181" s="36"/>
    </row>
    <row r="182" spans="1:54" x14ac:dyDescent="0.25">
      <c r="A182" s="34"/>
      <c r="B182" s="34"/>
      <c r="C182" s="34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35"/>
      <c r="AA182" s="35"/>
      <c r="AB182" s="35"/>
      <c r="AC182" s="35"/>
      <c r="AD182" s="35"/>
      <c r="AE182" s="35"/>
      <c r="AF182" s="35"/>
      <c r="AG182" s="35"/>
      <c r="AH182" s="35"/>
      <c r="AI182" s="35"/>
      <c r="AJ182" s="35"/>
      <c r="AK182" s="35"/>
      <c r="AL182" s="35"/>
      <c r="AM182" s="35"/>
      <c r="AN182" s="35"/>
      <c r="AO182" s="35"/>
      <c r="AP182" s="35"/>
      <c r="AQ182" s="37"/>
      <c r="AR182" s="37"/>
      <c r="AS182" s="37"/>
      <c r="AT182" s="37"/>
      <c r="AU182" s="37"/>
      <c r="AV182" s="37"/>
      <c r="AW182" s="37"/>
      <c r="AX182" s="37"/>
      <c r="AY182" s="37"/>
      <c r="AZ182" s="37"/>
      <c r="BA182" s="37"/>
      <c r="BB182" s="37"/>
    </row>
    <row r="183" spans="1:54" s="5" customFormat="1" x14ac:dyDescent="0.25">
      <c r="A183" s="32"/>
      <c r="B183" s="32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3"/>
      <c r="V183" s="33"/>
      <c r="W183" s="33"/>
      <c r="X183" s="33"/>
      <c r="Y183" s="33"/>
      <c r="Z183" s="33"/>
      <c r="AA183" s="33"/>
      <c r="AB183" s="33"/>
      <c r="AC183" s="33"/>
      <c r="AD183" s="33"/>
      <c r="AE183" s="33"/>
      <c r="AF183" s="33"/>
      <c r="AG183" s="33"/>
      <c r="AH183" s="33"/>
      <c r="AI183" s="33"/>
      <c r="AJ183" s="33"/>
      <c r="AK183" s="33"/>
      <c r="AL183" s="33"/>
      <c r="AM183" s="33"/>
      <c r="AN183" s="33"/>
      <c r="AO183" s="33"/>
      <c r="AP183" s="33"/>
      <c r="AQ183" s="36"/>
      <c r="AR183" s="36"/>
      <c r="AS183" s="36"/>
      <c r="AT183" s="36"/>
      <c r="AU183" s="36"/>
      <c r="AV183" s="36"/>
      <c r="AW183" s="36"/>
      <c r="AX183" s="36"/>
      <c r="AY183" s="36"/>
      <c r="AZ183" s="36"/>
      <c r="BA183" s="36"/>
      <c r="BB183" s="36"/>
    </row>
    <row r="184" spans="1:54" x14ac:dyDescent="0.25">
      <c r="A184" s="34"/>
      <c r="B184" s="34"/>
      <c r="C184" s="34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  <c r="AB184" s="35"/>
      <c r="AC184" s="35"/>
      <c r="AD184" s="35"/>
      <c r="AE184" s="35"/>
      <c r="AF184" s="35"/>
      <c r="AG184" s="35"/>
      <c r="AH184" s="35"/>
      <c r="AI184" s="35"/>
      <c r="AJ184" s="35"/>
      <c r="AK184" s="35"/>
      <c r="AL184" s="35"/>
      <c r="AM184" s="35"/>
      <c r="AN184" s="35"/>
      <c r="AO184" s="35"/>
      <c r="AP184" s="35"/>
      <c r="AQ184" s="37"/>
      <c r="AR184" s="37"/>
      <c r="AS184" s="37"/>
      <c r="AT184" s="37"/>
      <c r="AU184" s="37"/>
      <c r="AV184" s="37"/>
      <c r="AW184" s="37"/>
      <c r="AX184" s="37"/>
      <c r="AY184" s="37"/>
      <c r="AZ184" s="37"/>
      <c r="BA184" s="37"/>
      <c r="BB184" s="37"/>
    </row>
    <row r="185" spans="1:54" s="5" customFormat="1" x14ac:dyDescent="0.25">
      <c r="A185" s="32"/>
      <c r="B185" s="32"/>
      <c r="C185" s="32"/>
      <c r="D185" s="36"/>
      <c r="E185" s="36"/>
      <c r="F185" s="36"/>
      <c r="G185" s="36"/>
      <c r="H185" s="36"/>
      <c r="I185" s="36"/>
      <c r="J185" s="36"/>
      <c r="K185" s="36"/>
      <c r="L185" s="36"/>
      <c r="M185" s="36"/>
      <c r="N185" s="36"/>
      <c r="O185" s="36"/>
      <c r="P185" s="36"/>
      <c r="Q185" s="36"/>
      <c r="R185" s="36"/>
      <c r="S185" s="36"/>
      <c r="T185" s="36"/>
      <c r="U185" s="36"/>
      <c r="V185" s="36"/>
      <c r="W185" s="36"/>
      <c r="X185" s="36"/>
      <c r="Y185" s="36"/>
      <c r="Z185" s="36"/>
      <c r="AA185" s="36"/>
      <c r="AB185" s="36"/>
      <c r="AC185" s="36"/>
      <c r="AD185" s="36"/>
      <c r="AE185" s="36"/>
      <c r="AF185" s="36"/>
      <c r="AG185" s="36"/>
      <c r="AH185" s="36"/>
      <c r="AI185" s="36"/>
      <c r="AJ185" s="36"/>
      <c r="AK185" s="36"/>
      <c r="AL185" s="36"/>
      <c r="AM185" s="36"/>
      <c r="AN185" s="36"/>
      <c r="AO185" s="36"/>
      <c r="AP185" s="36"/>
      <c r="AQ185" s="36"/>
      <c r="AR185" s="36"/>
      <c r="AS185" s="36"/>
      <c r="AT185" s="36"/>
      <c r="AU185" s="36"/>
      <c r="AV185" s="36"/>
      <c r="AW185" s="36"/>
      <c r="AX185" s="36"/>
      <c r="AY185" s="36"/>
      <c r="AZ185" s="36"/>
      <c r="BA185" s="36"/>
      <c r="BB185" s="36"/>
    </row>
    <row r="186" spans="1:54" x14ac:dyDescent="0.25">
      <c r="A186" s="34"/>
      <c r="B186" s="34"/>
      <c r="C186" s="34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35"/>
      <c r="AA186" s="35"/>
      <c r="AB186" s="35"/>
      <c r="AC186" s="35"/>
      <c r="AD186" s="35"/>
      <c r="AE186" s="35"/>
      <c r="AF186" s="35"/>
      <c r="AG186" s="35"/>
      <c r="AH186" s="35"/>
      <c r="AI186" s="35"/>
      <c r="AJ186" s="35"/>
      <c r="AK186" s="35"/>
      <c r="AL186" s="35"/>
      <c r="AM186" s="35"/>
      <c r="AN186" s="35"/>
      <c r="AO186" s="35"/>
      <c r="AP186" s="35"/>
      <c r="AQ186" s="35"/>
      <c r="AR186" s="35"/>
      <c r="AS186" s="35"/>
      <c r="AT186" s="35"/>
      <c r="AU186" s="35"/>
      <c r="AV186" s="35"/>
      <c r="AW186" s="35"/>
      <c r="AX186" s="35"/>
      <c r="AY186" s="35"/>
      <c r="AZ186" s="35"/>
      <c r="BA186" s="35"/>
      <c r="BB186" s="35"/>
    </row>
    <row r="187" spans="1:54" s="5" customFormat="1" x14ac:dyDescent="0.25">
      <c r="A187" s="32"/>
      <c r="B187" s="32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/>
      <c r="Z187" s="33"/>
      <c r="AA187" s="33"/>
      <c r="AB187" s="33"/>
      <c r="AC187" s="33"/>
      <c r="AD187" s="33"/>
      <c r="AE187" s="33"/>
      <c r="AF187" s="33"/>
      <c r="AG187" s="33"/>
      <c r="AH187" s="33"/>
      <c r="AI187" s="33"/>
      <c r="AJ187" s="33"/>
      <c r="AK187" s="33"/>
      <c r="AL187" s="33"/>
      <c r="AM187" s="33"/>
      <c r="AN187" s="33"/>
      <c r="AO187" s="33"/>
      <c r="AP187" s="33"/>
      <c r="AQ187" s="33"/>
      <c r="AR187" s="33"/>
      <c r="AS187" s="33"/>
      <c r="AT187" s="33"/>
      <c r="AU187" s="36"/>
      <c r="AV187" s="33"/>
      <c r="AW187" s="33"/>
      <c r="AX187" s="36"/>
      <c r="AY187" s="36"/>
      <c r="AZ187" s="36"/>
      <c r="BA187" s="36"/>
      <c r="BB187" s="36"/>
    </row>
    <row r="188" spans="1:54" x14ac:dyDescent="0.25">
      <c r="A188" s="34"/>
      <c r="B188" s="34"/>
      <c r="C188" s="34"/>
      <c r="D188" s="37"/>
      <c r="E188" s="37"/>
      <c r="F188" s="37"/>
      <c r="G188" s="37"/>
      <c r="H188" s="37"/>
      <c r="I188" s="37"/>
      <c r="J188" s="37"/>
      <c r="K188" s="37"/>
      <c r="L188" s="37"/>
      <c r="M188" s="37"/>
      <c r="N188" s="37"/>
      <c r="O188" s="37"/>
      <c r="P188" s="37"/>
      <c r="Q188" s="37"/>
      <c r="R188" s="37"/>
      <c r="S188" s="37"/>
      <c r="T188" s="37"/>
      <c r="U188" s="37"/>
      <c r="V188" s="37"/>
      <c r="W188" s="37"/>
      <c r="X188" s="37"/>
      <c r="Y188" s="37"/>
      <c r="Z188" s="37"/>
      <c r="AA188" s="37"/>
      <c r="AB188" s="37"/>
      <c r="AC188" s="37"/>
      <c r="AD188" s="37"/>
      <c r="AE188" s="37"/>
      <c r="AF188" s="37"/>
      <c r="AG188" s="37"/>
      <c r="AH188" s="37"/>
      <c r="AI188" s="37"/>
      <c r="AJ188" s="37"/>
      <c r="AK188" s="37"/>
      <c r="AL188" s="37"/>
      <c r="AM188" s="37"/>
      <c r="AN188" s="37"/>
      <c r="AO188" s="37"/>
      <c r="AP188" s="37"/>
      <c r="AQ188" s="37"/>
      <c r="AR188" s="37"/>
      <c r="AS188" s="37"/>
      <c r="AT188" s="37"/>
      <c r="AU188" s="37"/>
      <c r="AV188" s="37"/>
      <c r="AW188" s="37"/>
      <c r="AX188" s="37"/>
      <c r="AY188" s="37"/>
      <c r="AZ188" s="37"/>
      <c r="BA188" s="37"/>
      <c r="BB188" s="37"/>
    </row>
    <row r="189" spans="1:54" s="5" customFormat="1" x14ac:dyDescent="0.25">
      <c r="A189" s="32"/>
      <c r="B189" s="32"/>
      <c r="C189" s="32"/>
      <c r="D189" s="36"/>
      <c r="E189" s="36"/>
      <c r="F189" s="36"/>
      <c r="G189" s="36"/>
      <c r="H189" s="36"/>
      <c r="I189" s="36"/>
      <c r="J189" s="36"/>
      <c r="K189" s="36"/>
      <c r="L189" s="36"/>
      <c r="M189" s="36"/>
      <c r="N189" s="36"/>
      <c r="O189" s="36"/>
      <c r="P189" s="36"/>
      <c r="Q189" s="36"/>
      <c r="R189" s="36"/>
      <c r="S189" s="36"/>
      <c r="T189" s="36"/>
      <c r="U189" s="36"/>
      <c r="V189" s="36"/>
      <c r="W189" s="36"/>
      <c r="X189" s="36"/>
      <c r="Y189" s="36"/>
      <c r="Z189" s="36"/>
      <c r="AA189" s="36"/>
      <c r="AB189" s="36"/>
      <c r="AC189" s="36"/>
      <c r="AD189" s="36"/>
      <c r="AE189" s="36"/>
      <c r="AF189" s="36"/>
      <c r="AG189" s="36"/>
      <c r="AH189" s="36"/>
      <c r="AI189" s="36"/>
      <c r="AJ189" s="36"/>
      <c r="AK189" s="36"/>
      <c r="AL189" s="36"/>
      <c r="AM189" s="36"/>
      <c r="AN189" s="36"/>
      <c r="AO189" s="36"/>
      <c r="AP189" s="36"/>
      <c r="AQ189" s="36"/>
      <c r="AR189" s="36"/>
      <c r="AS189" s="36"/>
      <c r="AT189" s="36"/>
      <c r="AU189" s="36"/>
      <c r="AV189" s="36"/>
      <c r="AW189" s="36"/>
      <c r="AX189" s="36"/>
      <c r="AY189" s="36"/>
      <c r="AZ189" s="36"/>
      <c r="BA189" s="36"/>
      <c r="BB189" s="36"/>
    </row>
    <row r="190" spans="1:54" x14ac:dyDescent="0.25">
      <c r="A190" s="34"/>
      <c r="B190" s="34"/>
      <c r="C190" s="34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  <c r="Y190" s="35"/>
      <c r="Z190" s="35"/>
      <c r="AA190" s="35"/>
      <c r="AB190" s="35"/>
      <c r="AC190" s="35"/>
      <c r="AD190" s="35"/>
      <c r="AE190" s="35"/>
      <c r="AF190" s="35"/>
      <c r="AG190" s="35"/>
      <c r="AH190" s="35"/>
      <c r="AI190" s="35"/>
      <c r="AJ190" s="35"/>
      <c r="AK190" s="35"/>
      <c r="AL190" s="35"/>
      <c r="AM190" s="35"/>
      <c r="AN190" s="35"/>
      <c r="AO190" s="35"/>
      <c r="AP190" s="35"/>
      <c r="AQ190" s="37"/>
      <c r="AR190" s="37"/>
      <c r="AS190" s="37"/>
      <c r="AT190" s="37"/>
      <c r="AU190" s="35"/>
      <c r="AV190" s="37"/>
      <c r="AW190" s="35"/>
      <c r="AX190" s="35"/>
      <c r="AY190" s="35"/>
      <c r="AZ190" s="35"/>
      <c r="BA190" s="35"/>
      <c r="BB190" s="35"/>
    </row>
  </sheetData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575"/>
  <sheetViews>
    <sheetView workbookViewId="0">
      <selection activeCell="BX31" sqref="BX31"/>
    </sheetView>
  </sheetViews>
  <sheetFormatPr defaultRowHeight="15" x14ac:dyDescent="0.25"/>
  <cols>
    <col min="1" max="1" width="12.28515625" bestFit="1" customWidth="1"/>
    <col min="2" max="2" width="26.28515625" bestFit="1" customWidth="1"/>
    <col min="3" max="3" width="22" customWidth="1"/>
    <col min="4" max="5" width="11.28515625" customWidth="1"/>
    <col min="6" max="52" width="11.28515625" hidden="1" customWidth="1"/>
    <col min="53" max="54" width="11.28515625" customWidth="1"/>
    <col min="55" max="55" width="11.28515625" hidden="1" customWidth="1"/>
    <col min="56" max="56" width="18" hidden="1" customWidth="1"/>
    <col min="57" max="61" width="9.140625" hidden="1" customWidth="1"/>
    <col min="62" max="63" width="0" hidden="1" customWidth="1"/>
  </cols>
  <sheetData>
    <row r="1" spans="1:62" s="1" customFormat="1" ht="10.5" x14ac:dyDescent="0.15">
      <c r="A1" s="9" t="s">
        <v>0</v>
      </c>
      <c r="B1" s="10" t="s">
        <v>1</v>
      </c>
      <c r="C1" s="10" t="s">
        <v>2</v>
      </c>
      <c r="D1" s="10" t="s">
        <v>51</v>
      </c>
      <c r="E1" s="10" t="s">
        <v>52</v>
      </c>
      <c r="F1" s="10" t="s">
        <v>53</v>
      </c>
      <c r="G1" s="10" t="s">
        <v>54</v>
      </c>
      <c r="H1" s="10" t="s">
        <v>55</v>
      </c>
      <c r="I1" s="10" t="s">
        <v>56</v>
      </c>
      <c r="J1" s="10" t="s">
        <v>57</v>
      </c>
      <c r="K1" s="10" t="s">
        <v>58</v>
      </c>
      <c r="L1" s="10" t="s">
        <v>59</v>
      </c>
      <c r="M1" s="10" t="s">
        <v>60</v>
      </c>
      <c r="N1" s="10" t="s">
        <v>61</v>
      </c>
      <c r="O1" s="10" t="s">
        <v>62</v>
      </c>
      <c r="P1" s="10" t="s">
        <v>63</v>
      </c>
      <c r="Q1" s="10" t="s">
        <v>64</v>
      </c>
      <c r="R1" s="10" t="s">
        <v>65</v>
      </c>
      <c r="S1" s="10" t="s">
        <v>66</v>
      </c>
      <c r="T1" s="10" t="s">
        <v>67</v>
      </c>
      <c r="U1" s="10" t="s">
        <v>68</v>
      </c>
      <c r="V1" s="10" t="s">
        <v>69</v>
      </c>
      <c r="W1" s="10" t="s">
        <v>70</v>
      </c>
      <c r="X1" s="10" t="s">
        <v>71</v>
      </c>
      <c r="Y1" s="10" t="s">
        <v>72</v>
      </c>
      <c r="Z1" s="10" t="s">
        <v>73</v>
      </c>
      <c r="AA1" s="10" t="s">
        <v>74</v>
      </c>
      <c r="AB1" s="10" t="s">
        <v>75</v>
      </c>
      <c r="AC1" s="10" t="s">
        <v>76</v>
      </c>
      <c r="AD1" s="10" t="s">
        <v>77</v>
      </c>
      <c r="AE1" s="10" t="s">
        <v>78</v>
      </c>
      <c r="AF1" s="10" t="s">
        <v>79</v>
      </c>
      <c r="AG1" s="10" t="s">
        <v>80</v>
      </c>
      <c r="AH1" s="10" t="s">
        <v>81</v>
      </c>
      <c r="AI1" s="10" t="s">
        <v>82</v>
      </c>
      <c r="AJ1" s="10" t="s">
        <v>83</v>
      </c>
      <c r="AK1" s="10" t="s">
        <v>84</v>
      </c>
      <c r="AL1" s="10" t="s">
        <v>85</v>
      </c>
      <c r="AM1" s="10" t="s">
        <v>86</v>
      </c>
      <c r="AN1" s="10" t="s">
        <v>87</v>
      </c>
      <c r="AO1" s="10" t="s">
        <v>88</v>
      </c>
      <c r="AP1" s="10" t="s">
        <v>89</v>
      </c>
      <c r="AQ1" s="10" t="s">
        <v>90</v>
      </c>
      <c r="AR1" s="10" t="s">
        <v>91</v>
      </c>
      <c r="AS1" s="10" t="s">
        <v>92</v>
      </c>
      <c r="AT1" s="10" t="s">
        <v>93</v>
      </c>
      <c r="AU1" s="10" t="s">
        <v>94</v>
      </c>
      <c r="AV1" s="10" t="s">
        <v>99</v>
      </c>
      <c r="AW1" s="10" t="s">
        <v>95</v>
      </c>
      <c r="AX1" s="10" t="s">
        <v>96</v>
      </c>
      <c r="AY1" s="10" t="s">
        <v>97</v>
      </c>
      <c r="AZ1" s="10" t="s">
        <v>98</v>
      </c>
      <c r="BA1" s="10" t="s">
        <v>40</v>
      </c>
      <c r="BB1" s="10" t="s">
        <v>41</v>
      </c>
      <c r="BC1" s="11" t="s">
        <v>3</v>
      </c>
      <c r="BD1" s="1" t="s">
        <v>36</v>
      </c>
      <c r="BE1" s="22" t="s">
        <v>37</v>
      </c>
      <c r="BF1" s="22" t="s">
        <v>38</v>
      </c>
      <c r="BG1" s="1" t="s">
        <v>39</v>
      </c>
      <c r="BH1" s="1" t="s">
        <v>40</v>
      </c>
      <c r="BI1" s="1" t="s">
        <v>41</v>
      </c>
    </row>
    <row r="2" spans="1:62" x14ac:dyDescent="0.25">
      <c r="A2" s="12" t="s">
        <v>4</v>
      </c>
      <c r="B2" s="2" t="s">
        <v>5</v>
      </c>
      <c r="C2" s="2" t="s">
        <v>6</v>
      </c>
      <c r="D2" s="3">
        <v>4850</v>
      </c>
      <c r="E2" s="3">
        <v>5220</v>
      </c>
      <c r="F2" s="3">
        <v>4360</v>
      </c>
      <c r="G2" s="3">
        <v>5350</v>
      </c>
      <c r="H2" s="3">
        <v>5140</v>
      </c>
      <c r="I2" s="3">
        <v>7040</v>
      </c>
      <c r="J2" s="3">
        <v>8000</v>
      </c>
      <c r="K2" s="3">
        <v>6560</v>
      </c>
      <c r="L2" s="3">
        <v>6860</v>
      </c>
      <c r="M2" s="3">
        <v>9360</v>
      </c>
      <c r="N2" s="3">
        <v>9930</v>
      </c>
      <c r="O2" s="3">
        <v>5860</v>
      </c>
      <c r="P2" s="3">
        <v>9000</v>
      </c>
      <c r="Q2" s="3">
        <v>9900</v>
      </c>
      <c r="R2" s="3">
        <v>7700</v>
      </c>
      <c r="S2" s="3">
        <v>5855</v>
      </c>
      <c r="T2" s="3">
        <v>8300</v>
      </c>
      <c r="U2" s="3">
        <v>9700</v>
      </c>
      <c r="V2" s="3">
        <v>9000</v>
      </c>
      <c r="W2" s="3">
        <v>6400</v>
      </c>
      <c r="X2" s="3">
        <v>12900</v>
      </c>
      <c r="Y2" s="3">
        <v>9600</v>
      </c>
      <c r="Z2" s="3">
        <v>9000</v>
      </c>
      <c r="AA2" s="3">
        <v>9500</v>
      </c>
      <c r="AB2" s="3">
        <v>11900</v>
      </c>
      <c r="AC2" s="3">
        <v>12400</v>
      </c>
      <c r="AD2" s="3">
        <v>9250</v>
      </c>
      <c r="AE2" s="3">
        <v>9200</v>
      </c>
      <c r="AF2" s="3">
        <v>4900</v>
      </c>
      <c r="AG2" s="3">
        <v>5200</v>
      </c>
      <c r="AH2" s="3">
        <v>7685</v>
      </c>
      <c r="AI2" s="3">
        <v>10600</v>
      </c>
      <c r="AJ2" s="3">
        <v>10200</v>
      </c>
      <c r="AK2" s="3">
        <v>10000</v>
      </c>
      <c r="AL2" s="3">
        <v>11404</v>
      </c>
      <c r="AM2" s="3">
        <v>11100</v>
      </c>
      <c r="AN2" s="3">
        <v>15537</v>
      </c>
      <c r="AO2" s="3">
        <v>19361</v>
      </c>
      <c r="AP2" s="3">
        <v>13504</v>
      </c>
      <c r="AQ2" s="3">
        <v>17200</v>
      </c>
      <c r="AR2" s="3">
        <v>15359</v>
      </c>
      <c r="AS2" s="3">
        <v>14712</v>
      </c>
      <c r="AT2" s="3">
        <v>15500</v>
      </c>
      <c r="AU2" s="3">
        <v>14951</v>
      </c>
      <c r="AV2" s="3">
        <v>20483</v>
      </c>
      <c r="AW2" s="3">
        <v>15800</v>
      </c>
      <c r="AX2" s="3">
        <v>22500</v>
      </c>
      <c r="AY2" s="3">
        <v>22017</v>
      </c>
      <c r="AZ2" s="3">
        <v>15500</v>
      </c>
      <c r="BA2" s="3">
        <v>22800</v>
      </c>
      <c r="BB2" s="3">
        <v>22000</v>
      </c>
      <c r="BC2" s="13">
        <v>0</v>
      </c>
      <c r="BD2" s="20">
        <f t="shared" ref="BD2:BI21" si="0">AW2/AW547</f>
        <v>2.2588918848594198E-2</v>
      </c>
      <c r="BE2" s="20">
        <f t="shared" si="0"/>
        <v>3.1531550469399684E-2</v>
      </c>
      <c r="BF2" s="20">
        <f t="shared" si="0"/>
        <v>2.7712745068422803E-2</v>
      </c>
      <c r="BG2" s="20">
        <f t="shared" si="0"/>
        <v>1.9403523179073238E-2</v>
      </c>
      <c r="BH2" s="20">
        <f t="shared" si="0"/>
        <v>2.8064059909382627E-2</v>
      </c>
      <c r="BI2" s="20">
        <f t="shared" si="0"/>
        <v>2.6995819329252057E-2</v>
      </c>
      <c r="BJ2" s="23">
        <f>AVERAGE(BH2,BI2,BG2)</f>
        <v>2.4821134139235975E-2</v>
      </c>
    </row>
    <row r="3" spans="1:62" s="5" customFormat="1" x14ac:dyDescent="0.25">
      <c r="A3" s="14"/>
      <c r="B3" s="6"/>
      <c r="C3" s="6" t="s">
        <v>7</v>
      </c>
      <c r="D3" s="7">
        <v>0</v>
      </c>
      <c r="E3" s="7">
        <v>0</v>
      </c>
      <c r="F3" s="7">
        <v>0</v>
      </c>
      <c r="G3" s="7">
        <v>0</v>
      </c>
      <c r="H3" s="7">
        <v>0</v>
      </c>
      <c r="I3" s="7">
        <v>1</v>
      </c>
      <c r="J3" s="7">
        <v>0</v>
      </c>
      <c r="K3" s="7">
        <v>1</v>
      </c>
      <c r="L3" s="7">
        <v>0</v>
      </c>
      <c r="M3" s="7">
        <v>0</v>
      </c>
      <c r="N3" s="7">
        <v>1</v>
      </c>
      <c r="O3" s="7">
        <v>1</v>
      </c>
      <c r="P3" s="7">
        <v>0</v>
      </c>
      <c r="Q3" s="7">
        <v>0</v>
      </c>
      <c r="R3" s="7">
        <v>0</v>
      </c>
      <c r="S3" s="7">
        <v>0</v>
      </c>
      <c r="T3" s="7">
        <v>0</v>
      </c>
      <c r="U3" s="7">
        <v>0</v>
      </c>
      <c r="V3" s="7">
        <v>0</v>
      </c>
      <c r="W3" s="7">
        <v>0</v>
      </c>
      <c r="X3" s="7">
        <v>0</v>
      </c>
      <c r="Y3" s="7">
        <v>0</v>
      </c>
      <c r="Z3" s="7">
        <v>0</v>
      </c>
      <c r="AA3" s="7">
        <v>0</v>
      </c>
      <c r="AB3" s="7">
        <v>0</v>
      </c>
      <c r="AC3" s="7">
        <v>0</v>
      </c>
      <c r="AD3" s="7">
        <v>0</v>
      </c>
      <c r="AE3" s="7">
        <v>0</v>
      </c>
      <c r="AF3" s="7">
        <v>0</v>
      </c>
      <c r="AG3" s="7">
        <v>0</v>
      </c>
      <c r="AH3" s="7">
        <v>3</v>
      </c>
      <c r="AI3" s="7">
        <v>1</v>
      </c>
      <c r="AJ3" s="7">
        <v>1</v>
      </c>
      <c r="AK3" s="7">
        <v>1</v>
      </c>
      <c r="AL3" s="7">
        <v>1</v>
      </c>
      <c r="AM3" s="7">
        <v>2</v>
      </c>
      <c r="AN3" s="7">
        <v>1</v>
      </c>
      <c r="AO3" s="7">
        <v>2</v>
      </c>
      <c r="AP3" s="7">
        <v>2</v>
      </c>
      <c r="AQ3" s="7">
        <v>23</v>
      </c>
      <c r="AR3" s="7">
        <v>23</v>
      </c>
      <c r="AS3" s="7">
        <v>2</v>
      </c>
      <c r="AT3" s="7">
        <v>3</v>
      </c>
      <c r="AU3" s="7">
        <v>35</v>
      </c>
      <c r="AV3" s="7">
        <v>10</v>
      </c>
      <c r="AW3" s="7">
        <v>64</v>
      </c>
      <c r="AX3" s="7">
        <v>13</v>
      </c>
      <c r="AY3" s="7">
        <v>123</v>
      </c>
      <c r="AZ3" s="7">
        <v>32</v>
      </c>
      <c r="BA3" s="7">
        <v>250</v>
      </c>
      <c r="BB3" s="7">
        <v>100</v>
      </c>
      <c r="BC3" s="15">
        <v>0</v>
      </c>
      <c r="BD3" s="21">
        <f t="shared" si="0"/>
        <v>7.9370984944316292E-4</v>
      </c>
      <c r="BE3" s="21">
        <f t="shared" si="0"/>
        <v>1.4352904807119041E-4</v>
      </c>
      <c r="BF3" s="21">
        <f t="shared" si="0"/>
        <v>1.2485154846371693E-3</v>
      </c>
      <c r="BG3" s="21">
        <f t="shared" si="0"/>
        <v>3.87470182958577E-4</v>
      </c>
      <c r="BH3" s="21">
        <f t="shared" si="0"/>
        <v>2.7826628970859953E-3</v>
      </c>
      <c r="BI3" s="21">
        <f t="shared" si="0"/>
        <v>1.0904768655332978E-3</v>
      </c>
      <c r="BJ3" s="23">
        <f t="shared" ref="BJ3:BJ68" si="1">AVERAGE(BH3,BI3,BG3)</f>
        <v>1.4202033151926232E-3</v>
      </c>
    </row>
    <row r="4" spans="1:62" x14ac:dyDescent="0.25">
      <c r="A4" s="12"/>
      <c r="B4" s="2"/>
      <c r="C4" s="2" t="s">
        <v>8</v>
      </c>
      <c r="D4" s="3">
        <v>1748</v>
      </c>
      <c r="E4" s="3">
        <v>2923</v>
      </c>
      <c r="F4" s="3">
        <v>2613</v>
      </c>
      <c r="G4" s="3">
        <v>3422</v>
      </c>
      <c r="H4" s="3">
        <v>2667</v>
      </c>
      <c r="I4" s="3">
        <v>3855</v>
      </c>
      <c r="J4" s="3">
        <v>4117</v>
      </c>
      <c r="K4" s="3">
        <v>3229</v>
      </c>
      <c r="L4" s="3">
        <v>3765</v>
      </c>
      <c r="M4" s="3">
        <v>5559</v>
      </c>
      <c r="N4" s="3">
        <v>6441</v>
      </c>
      <c r="O4" s="3">
        <v>2537</v>
      </c>
      <c r="P4" s="3">
        <v>4702</v>
      </c>
      <c r="Q4" s="3">
        <v>5716</v>
      </c>
      <c r="R4" s="3">
        <v>3485</v>
      </c>
      <c r="S4" s="3">
        <v>3238</v>
      </c>
      <c r="T4" s="3">
        <v>5231</v>
      </c>
      <c r="U4" s="3">
        <v>5916</v>
      </c>
      <c r="V4" s="3">
        <v>5965</v>
      </c>
      <c r="W4" s="3">
        <v>3417</v>
      </c>
      <c r="X4" s="3">
        <v>9098</v>
      </c>
      <c r="Y4" s="3">
        <v>5765</v>
      </c>
      <c r="Z4" s="3">
        <v>6056</v>
      </c>
      <c r="AA4" s="3">
        <v>5448</v>
      </c>
      <c r="AB4" s="3">
        <v>7126</v>
      </c>
      <c r="AC4" s="3">
        <v>7367</v>
      </c>
      <c r="AD4" s="3">
        <v>4032</v>
      </c>
      <c r="AE4" s="3">
        <v>4340</v>
      </c>
      <c r="AF4" s="3">
        <v>1800</v>
      </c>
      <c r="AG4" s="3">
        <v>2800</v>
      </c>
      <c r="AH4" s="3">
        <v>4000</v>
      </c>
      <c r="AI4" s="3">
        <v>6070</v>
      </c>
      <c r="AJ4" s="3">
        <v>4749</v>
      </c>
      <c r="AK4" s="3">
        <v>4100</v>
      </c>
      <c r="AL4" s="3">
        <v>5782</v>
      </c>
      <c r="AM4" s="3">
        <v>7494</v>
      </c>
      <c r="AN4" s="3">
        <v>10828</v>
      </c>
      <c r="AO4" s="3">
        <v>12222</v>
      </c>
      <c r="AP4" s="3">
        <v>7882</v>
      </c>
      <c r="AQ4" s="3">
        <v>11923</v>
      </c>
      <c r="AR4" s="3">
        <v>9676</v>
      </c>
      <c r="AS4" s="3">
        <v>10864</v>
      </c>
      <c r="AT4" s="3">
        <v>11199</v>
      </c>
      <c r="AU4" s="3">
        <v>10944</v>
      </c>
      <c r="AV4" s="3">
        <v>14574</v>
      </c>
      <c r="AW4" s="3">
        <v>9464</v>
      </c>
      <c r="AX4" s="3">
        <v>15309</v>
      </c>
      <c r="AY4" s="3">
        <v>14798</v>
      </c>
      <c r="AZ4" s="3">
        <v>10318</v>
      </c>
      <c r="BA4" s="3">
        <v>16500</v>
      </c>
      <c r="BB4" s="3">
        <v>14500</v>
      </c>
      <c r="BC4" s="13">
        <v>0</v>
      </c>
      <c r="BD4" s="20">
        <f t="shared" si="0"/>
        <v>0.11673574106966647</v>
      </c>
      <c r="BE4" s="20">
        <f t="shared" si="0"/>
        <v>0.16276300541161209</v>
      </c>
      <c r="BF4" s="20">
        <f t="shared" si="0"/>
        <v>0.15003244383161651</v>
      </c>
      <c r="BG4" s="20">
        <f t="shared" si="0"/>
        <v>0.12215421407176767</v>
      </c>
      <c r="BH4" s="20">
        <f t="shared" si="0"/>
        <v>0.17013290989142427</v>
      </c>
      <c r="BI4" s="20">
        <f t="shared" si="0"/>
        <v>0.15969690628544997</v>
      </c>
      <c r="BJ4" s="23">
        <f t="shared" si="1"/>
        <v>0.15066134341621398</v>
      </c>
    </row>
    <row r="5" spans="1:62" s="5" customFormat="1" x14ac:dyDescent="0.25">
      <c r="A5" s="14"/>
      <c r="B5" s="6"/>
      <c r="C5" s="6" t="s">
        <v>9</v>
      </c>
      <c r="D5" s="8">
        <v>3076</v>
      </c>
      <c r="E5" s="8">
        <v>2331</v>
      </c>
      <c r="F5" s="8">
        <v>1624</v>
      </c>
      <c r="G5" s="8">
        <v>2016</v>
      </c>
      <c r="H5" s="8">
        <v>2447</v>
      </c>
      <c r="I5" s="8">
        <v>3205</v>
      </c>
      <c r="J5" s="8">
        <v>3781</v>
      </c>
      <c r="K5" s="8">
        <v>3377</v>
      </c>
      <c r="L5" s="8">
        <v>3103</v>
      </c>
      <c r="M5" s="8">
        <v>3823</v>
      </c>
      <c r="N5" s="8">
        <v>2977</v>
      </c>
      <c r="O5" s="8">
        <v>3855</v>
      </c>
      <c r="P5" s="8">
        <v>3936</v>
      </c>
      <c r="Q5" s="8">
        <v>4457</v>
      </c>
      <c r="R5" s="8">
        <v>3632</v>
      </c>
      <c r="S5" s="8">
        <v>2863</v>
      </c>
      <c r="T5" s="8">
        <v>3401</v>
      </c>
      <c r="U5" s="8">
        <v>3533</v>
      </c>
      <c r="V5" s="8">
        <v>3296</v>
      </c>
      <c r="W5" s="8">
        <v>3048</v>
      </c>
      <c r="X5" s="8">
        <v>3700</v>
      </c>
      <c r="Y5" s="8">
        <v>3500</v>
      </c>
      <c r="Z5" s="8">
        <v>3200</v>
      </c>
      <c r="AA5" s="8">
        <v>4250</v>
      </c>
      <c r="AB5" s="8">
        <v>4475</v>
      </c>
      <c r="AC5" s="8">
        <v>5000</v>
      </c>
      <c r="AD5" s="8">
        <v>5250</v>
      </c>
      <c r="AE5" s="8">
        <v>4666</v>
      </c>
      <c r="AF5" s="8">
        <v>3000</v>
      </c>
      <c r="AG5" s="8">
        <v>2900</v>
      </c>
      <c r="AH5" s="8">
        <v>3303</v>
      </c>
      <c r="AI5" s="8">
        <v>4401</v>
      </c>
      <c r="AJ5" s="8">
        <v>5102</v>
      </c>
      <c r="AK5" s="8">
        <v>5766</v>
      </c>
      <c r="AL5" s="8">
        <v>5479</v>
      </c>
      <c r="AM5" s="8">
        <v>4308</v>
      </c>
      <c r="AN5" s="8">
        <v>4323</v>
      </c>
      <c r="AO5" s="8">
        <v>6350</v>
      </c>
      <c r="AP5" s="8">
        <v>6450</v>
      </c>
      <c r="AQ5" s="8">
        <v>5520</v>
      </c>
      <c r="AR5" s="8">
        <v>5600</v>
      </c>
      <c r="AS5" s="8">
        <v>4150</v>
      </c>
      <c r="AT5" s="8">
        <v>4100</v>
      </c>
      <c r="AU5" s="8">
        <v>4400</v>
      </c>
      <c r="AV5" s="8">
        <v>5200</v>
      </c>
      <c r="AW5" s="8">
        <v>6200</v>
      </c>
      <c r="AX5" s="8">
        <v>6700</v>
      </c>
      <c r="AY5" s="8">
        <v>7000</v>
      </c>
      <c r="AZ5" s="8">
        <v>6400</v>
      </c>
      <c r="BA5" s="8">
        <v>6900</v>
      </c>
      <c r="BB5" s="8">
        <v>7300</v>
      </c>
      <c r="BC5" s="15">
        <v>0</v>
      </c>
      <c r="BD5" s="21">
        <f t="shared" si="0"/>
        <v>8.7822055517703928E-3</v>
      </c>
      <c r="BE5" s="21">
        <f t="shared" si="0"/>
        <v>9.2450518274845728E-3</v>
      </c>
      <c r="BF5" s="21">
        <f t="shared" si="0"/>
        <v>9.0644808318603547E-3</v>
      </c>
      <c r="BG5" s="21">
        <f t="shared" si="0"/>
        <v>8.2036031763326051E-3</v>
      </c>
      <c r="BH5" s="21">
        <f t="shared" si="0"/>
        <v>8.5337634020280669E-3</v>
      </c>
      <c r="BI5" s="21">
        <f t="shared" si="0"/>
        <v>8.698522323625545E-3</v>
      </c>
      <c r="BJ5" s="23">
        <f t="shared" si="1"/>
        <v>8.4786296339954062E-3</v>
      </c>
    </row>
    <row r="6" spans="1:62" x14ac:dyDescent="0.25">
      <c r="A6" s="12"/>
      <c r="B6" s="2" t="s">
        <v>10</v>
      </c>
      <c r="C6" s="2" t="s">
        <v>6</v>
      </c>
      <c r="D6" s="4">
        <v>569</v>
      </c>
      <c r="E6" s="4">
        <v>496</v>
      </c>
      <c r="F6" s="4">
        <v>612</v>
      </c>
      <c r="G6" s="4">
        <v>450</v>
      </c>
      <c r="H6" s="4">
        <v>635</v>
      </c>
      <c r="I6" s="4">
        <v>530</v>
      </c>
      <c r="J6" s="4">
        <v>400</v>
      </c>
      <c r="K6" s="4">
        <v>335</v>
      </c>
      <c r="L6" s="4">
        <v>515</v>
      </c>
      <c r="M6" s="4">
        <v>665</v>
      </c>
      <c r="N6" s="4">
        <v>385</v>
      </c>
      <c r="O6" s="4">
        <v>415</v>
      </c>
      <c r="P6" s="4">
        <v>560</v>
      </c>
      <c r="Q6" s="4">
        <v>580</v>
      </c>
      <c r="R6" s="4">
        <v>789</v>
      </c>
      <c r="S6" s="4">
        <v>641</v>
      </c>
      <c r="T6" s="4">
        <v>735</v>
      </c>
      <c r="U6" s="3">
        <v>1056</v>
      </c>
      <c r="V6" s="4">
        <v>798</v>
      </c>
      <c r="W6" s="4">
        <v>735</v>
      </c>
      <c r="X6" s="4">
        <v>390</v>
      </c>
      <c r="Y6" s="4">
        <v>701</v>
      </c>
      <c r="Z6" s="4">
        <v>512</v>
      </c>
      <c r="AA6" s="4">
        <v>826</v>
      </c>
      <c r="AB6" s="4">
        <v>786</v>
      </c>
      <c r="AC6" s="4">
        <v>547</v>
      </c>
      <c r="AD6" s="4">
        <v>482</v>
      </c>
      <c r="AE6" s="3">
        <v>1295</v>
      </c>
      <c r="AF6" s="4">
        <v>896</v>
      </c>
      <c r="AG6" s="3">
        <v>1272</v>
      </c>
      <c r="AH6" s="3">
        <v>1355</v>
      </c>
      <c r="AI6" s="3">
        <v>1148</v>
      </c>
      <c r="AJ6" s="4">
        <v>666</v>
      </c>
      <c r="AK6" s="3">
        <v>1079</v>
      </c>
      <c r="AL6" s="3">
        <v>1637</v>
      </c>
      <c r="AM6" s="3">
        <v>2090</v>
      </c>
      <c r="AN6" s="3">
        <v>1493</v>
      </c>
      <c r="AO6" s="3">
        <v>1428</v>
      </c>
      <c r="AP6" s="4">
        <v>918</v>
      </c>
      <c r="AQ6" s="4">
        <v>615</v>
      </c>
      <c r="AR6" s="4">
        <v>758</v>
      </c>
      <c r="AS6" s="4">
        <v>300</v>
      </c>
      <c r="AT6" s="4">
        <v>290</v>
      </c>
      <c r="AU6" s="4">
        <v>515</v>
      </c>
      <c r="AV6" s="4">
        <v>675</v>
      </c>
      <c r="AW6" s="4">
        <v>625</v>
      </c>
      <c r="AX6" s="4">
        <v>800</v>
      </c>
      <c r="AY6" s="4">
        <v>703</v>
      </c>
      <c r="AZ6" s="4">
        <v>600</v>
      </c>
      <c r="BA6" s="3">
        <v>1000</v>
      </c>
      <c r="BB6" s="3">
        <v>1250</v>
      </c>
      <c r="BC6" s="13">
        <v>0</v>
      </c>
      <c r="BD6" s="20">
        <f t="shared" si="0"/>
        <v>5.3678939819466987E-3</v>
      </c>
      <c r="BE6" s="20">
        <f t="shared" si="0"/>
        <v>6.5674974550947365E-3</v>
      </c>
      <c r="BF6" s="20">
        <f t="shared" si="0"/>
        <v>5.8738500873139875E-3</v>
      </c>
      <c r="BG6" s="20">
        <f t="shared" si="0"/>
        <v>5.6021362813019364E-3</v>
      </c>
      <c r="BH6" s="20">
        <f t="shared" si="0"/>
        <v>9.8673823808020211E-3</v>
      </c>
      <c r="BI6" s="20">
        <f t="shared" si="0"/>
        <v>1.091388508115565E-2</v>
      </c>
      <c r="BJ6" s="23">
        <f t="shared" si="1"/>
        <v>8.7944679144198699E-3</v>
      </c>
    </row>
    <row r="7" spans="1:62" s="5" customFormat="1" x14ac:dyDescent="0.25">
      <c r="A7" s="14"/>
      <c r="B7" s="6"/>
      <c r="C7" s="6" t="s">
        <v>7</v>
      </c>
      <c r="D7" s="7">
        <v>29</v>
      </c>
      <c r="E7" s="7">
        <v>26</v>
      </c>
      <c r="F7" s="7">
        <v>23</v>
      </c>
      <c r="G7" s="7">
        <v>33</v>
      </c>
      <c r="H7" s="7">
        <v>73</v>
      </c>
      <c r="I7" s="7">
        <v>71</v>
      </c>
      <c r="J7" s="7">
        <v>49</v>
      </c>
      <c r="K7" s="7">
        <v>27</v>
      </c>
      <c r="L7" s="7">
        <v>85</v>
      </c>
      <c r="M7" s="7">
        <v>36</v>
      </c>
      <c r="N7" s="7">
        <v>37</v>
      </c>
      <c r="O7" s="7">
        <v>135</v>
      </c>
      <c r="P7" s="7">
        <v>37</v>
      </c>
      <c r="Q7" s="7">
        <v>39</v>
      </c>
      <c r="R7" s="7">
        <v>50</v>
      </c>
      <c r="S7" s="7">
        <v>15</v>
      </c>
      <c r="T7" s="7">
        <v>11</v>
      </c>
      <c r="U7" s="7">
        <v>36</v>
      </c>
      <c r="V7" s="7">
        <v>32</v>
      </c>
      <c r="W7" s="7">
        <v>21</v>
      </c>
      <c r="X7" s="7">
        <v>58</v>
      </c>
      <c r="Y7" s="7">
        <v>71</v>
      </c>
      <c r="Z7" s="7">
        <v>71</v>
      </c>
      <c r="AA7" s="7">
        <v>21</v>
      </c>
      <c r="AB7" s="7">
        <v>40</v>
      </c>
      <c r="AC7" s="7">
        <v>88</v>
      </c>
      <c r="AD7" s="7">
        <v>102</v>
      </c>
      <c r="AE7" s="7">
        <v>92</v>
      </c>
      <c r="AF7" s="7">
        <v>3</v>
      </c>
      <c r="AG7" s="7">
        <v>44</v>
      </c>
      <c r="AH7" s="7">
        <v>28</v>
      </c>
      <c r="AI7" s="7">
        <v>2</v>
      </c>
      <c r="AJ7" s="7">
        <v>9</v>
      </c>
      <c r="AK7" s="7">
        <v>69</v>
      </c>
      <c r="AL7" s="7">
        <v>39</v>
      </c>
      <c r="AM7" s="7">
        <v>28</v>
      </c>
      <c r="AN7" s="7">
        <v>5</v>
      </c>
      <c r="AO7" s="7">
        <v>25</v>
      </c>
      <c r="AP7" s="7">
        <v>20</v>
      </c>
      <c r="AQ7" s="7">
        <v>41</v>
      </c>
      <c r="AR7" s="7">
        <v>11</v>
      </c>
      <c r="AS7" s="7">
        <v>22</v>
      </c>
      <c r="AT7" s="7">
        <v>254</v>
      </c>
      <c r="AU7" s="7">
        <v>206</v>
      </c>
      <c r="AV7" s="7">
        <v>110</v>
      </c>
      <c r="AW7" s="7">
        <v>157</v>
      </c>
      <c r="AX7" s="7">
        <v>176</v>
      </c>
      <c r="AY7" s="7">
        <v>181</v>
      </c>
      <c r="AZ7" s="7">
        <v>98</v>
      </c>
      <c r="BA7" s="7">
        <v>77</v>
      </c>
      <c r="BB7" s="7">
        <v>50</v>
      </c>
      <c r="BC7" s="15">
        <v>0</v>
      </c>
      <c r="BD7" s="21">
        <f t="shared" si="0"/>
        <v>3.5067342699515312E-3</v>
      </c>
      <c r="BE7" s="21">
        <f t="shared" si="0"/>
        <v>4.6280470167503751E-3</v>
      </c>
      <c r="BF7" s="21">
        <f t="shared" si="0"/>
        <v>4.6459098026130031E-3</v>
      </c>
      <c r="BG7" s="21">
        <f t="shared" si="0"/>
        <v>3.2511694257373186E-3</v>
      </c>
      <c r="BH7" s="21">
        <f t="shared" si="0"/>
        <v>2.129189248976883E-3</v>
      </c>
      <c r="BI7" s="21">
        <f t="shared" si="0"/>
        <v>1.3113722198908938E-3</v>
      </c>
      <c r="BJ7" s="23">
        <f t="shared" si="1"/>
        <v>2.2305769648683651E-3</v>
      </c>
    </row>
    <row r="8" spans="1:62" x14ac:dyDescent="0.25">
      <c r="A8" s="12"/>
      <c r="B8" s="2"/>
      <c r="C8" s="2" t="s">
        <v>8</v>
      </c>
      <c r="D8" s="4">
        <v>66</v>
      </c>
      <c r="E8" s="4">
        <v>141</v>
      </c>
      <c r="F8" s="4">
        <v>216</v>
      </c>
      <c r="G8" s="4">
        <v>100</v>
      </c>
      <c r="H8" s="4">
        <v>1</v>
      </c>
      <c r="I8" s="4">
        <v>34</v>
      </c>
      <c r="J8" s="4">
        <v>127</v>
      </c>
      <c r="K8" s="4">
        <v>25</v>
      </c>
      <c r="L8" s="4">
        <v>1</v>
      </c>
      <c r="M8" s="4">
        <v>56</v>
      </c>
      <c r="N8" s="4">
        <v>209</v>
      </c>
      <c r="O8" s="4">
        <v>1</v>
      </c>
      <c r="P8" s="4">
        <v>0</v>
      </c>
      <c r="Q8" s="4">
        <v>45</v>
      </c>
      <c r="R8" s="4">
        <v>30</v>
      </c>
      <c r="S8" s="4">
        <v>393</v>
      </c>
      <c r="T8" s="4">
        <v>347</v>
      </c>
      <c r="U8" s="4">
        <v>425</v>
      </c>
      <c r="V8" s="4">
        <v>320</v>
      </c>
      <c r="W8" s="4">
        <v>541</v>
      </c>
      <c r="X8" s="4">
        <v>150</v>
      </c>
      <c r="Y8" s="4">
        <v>295</v>
      </c>
      <c r="Z8" s="4">
        <v>113</v>
      </c>
      <c r="AA8" s="4">
        <v>117</v>
      </c>
      <c r="AB8" s="4">
        <v>367</v>
      </c>
      <c r="AC8" s="4">
        <v>245</v>
      </c>
      <c r="AD8" s="4">
        <v>66</v>
      </c>
      <c r="AE8" s="4">
        <v>253</v>
      </c>
      <c r="AF8" s="4">
        <v>551</v>
      </c>
      <c r="AG8" s="4">
        <v>568</v>
      </c>
      <c r="AH8" s="4">
        <v>646</v>
      </c>
      <c r="AI8" s="4">
        <v>566</v>
      </c>
      <c r="AJ8" s="4">
        <v>299</v>
      </c>
      <c r="AK8" s="4">
        <v>317</v>
      </c>
      <c r="AL8" s="4">
        <v>905</v>
      </c>
      <c r="AM8" s="3">
        <v>1222</v>
      </c>
      <c r="AN8" s="3">
        <v>1332</v>
      </c>
      <c r="AO8" s="3">
        <v>1000</v>
      </c>
      <c r="AP8" s="3">
        <v>1100</v>
      </c>
      <c r="AQ8" s="4">
        <v>319</v>
      </c>
      <c r="AR8" s="4">
        <v>446</v>
      </c>
      <c r="AS8" s="4">
        <v>231</v>
      </c>
      <c r="AT8" s="4">
        <v>26</v>
      </c>
      <c r="AU8" s="4">
        <v>28</v>
      </c>
      <c r="AV8" s="4">
        <v>98</v>
      </c>
      <c r="AW8" s="4">
        <v>52</v>
      </c>
      <c r="AX8" s="4">
        <v>33</v>
      </c>
      <c r="AY8" s="4">
        <v>14</v>
      </c>
      <c r="AZ8" s="4">
        <v>52</v>
      </c>
      <c r="BA8" s="4">
        <v>56</v>
      </c>
      <c r="BB8" s="4">
        <v>350</v>
      </c>
      <c r="BC8" s="13">
        <v>0</v>
      </c>
      <c r="BD8" s="20">
        <f t="shared" si="0"/>
        <v>1.1593168948142863E-3</v>
      </c>
      <c r="BE8" s="20">
        <f t="shared" si="0"/>
        <v>8.8056356067883442E-4</v>
      </c>
      <c r="BF8" s="20">
        <f t="shared" si="0"/>
        <v>3.5892834252018973E-4</v>
      </c>
      <c r="BG8" s="20">
        <f t="shared" si="0"/>
        <v>1.7295858972226842E-3</v>
      </c>
      <c r="BH8" s="20">
        <f t="shared" si="0"/>
        <v>1.5739179314221473E-3</v>
      </c>
      <c r="BI8" s="20">
        <f t="shared" si="0"/>
        <v>9.17912404930501E-3</v>
      </c>
      <c r="BJ8" s="23">
        <f t="shared" si="1"/>
        <v>4.1608759593166136E-3</v>
      </c>
    </row>
    <row r="9" spans="1:62" s="5" customFormat="1" x14ac:dyDescent="0.25">
      <c r="A9" s="14"/>
      <c r="B9" s="6"/>
      <c r="C9" s="6" t="s">
        <v>9</v>
      </c>
      <c r="D9" s="7">
        <v>502</v>
      </c>
      <c r="E9" s="7">
        <v>481</v>
      </c>
      <c r="F9" s="7">
        <v>355</v>
      </c>
      <c r="G9" s="7">
        <v>462</v>
      </c>
      <c r="H9" s="7">
        <v>512</v>
      </c>
      <c r="I9" s="7">
        <v>517</v>
      </c>
      <c r="J9" s="7">
        <v>492</v>
      </c>
      <c r="K9" s="7">
        <v>437</v>
      </c>
      <c r="L9" s="7">
        <v>450</v>
      </c>
      <c r="M9" s="7">
        <v>490</v>
      </c>
      <c r="N9" s="7">
        <v>490</v>
      </c>
      <c r="O9" s="7">
        <v>513</v>
      </c>
      <c r="P9" s="7">
        <v>483</v>
      </c>
      <c r="Q9" s="7">
        <v>545</v>
      </c>
      <c r="R9" s="7">
        <v>564</v>
      </c>
      <c r="S9" s="7">
        <v>557</v>
      </c>
      <c r="T9" s="7">
        <v>535</v>
      </c>
      <c r="U9" s="7">
        <v>477</v>
      </c>
      <c r="V9" s="7">
        <v>523</v>
      </c>
      <c r="W9" s="7">
        <v>484</v>
      </c>
      <c r="X9" s="7">
        <v>406</v>
      </c>
      <c r="Y9" s="7">
        <v>381</v>
      </c>
      <c r="Z9" s="7">
        <v>497</v>
      </c>
      <c r="AA9" s="7">
        <v>538</v>
      </c>
      <c r="AB9" s="7">
        <v>487</v>
      </c>
      <c r="AC9" s="7">
        <v>563</v>
      </c>
      <c r="AD9" s="7">
        <v>623</v>
      </c>
      <c r="AE9" s="7">
        <v>598</v>
      </c>
      <c r="AF9" s="7">
        <v>565</v>
      </c>
      <c r="AG9" s="7">
        <v>542</v>
      </c>
      <c r="AH9" s="7">
        <v>624</v>
      </c>
      <c r="AI9" s="7">
        <v>615</v>
      </c>
      <c r="AJ9" s="7">
        <v>597</v>
      </c>
      <c r="AK9" s="7">
        <v>551</v>
      </c>
      <c r="AL9" s="7">
        <v>468</v>
      </c>
      <c r="AM9" s="7">
        <v>468</v>
      </c>
      <c r="AN9" s="7">
        <v>479</v>
      </c>
      <c r="AO9" s="7">
        <v>434</v>
      </c>
      <c r="AP9" s="7">
        <v>389</v>
      </c>
      <c r="AQ9" s="7">
        <v>409</v>
      </c>
      <c r="AR9" s="7">
        <v>359</v>
      </c>
      <c r="AS9" s="7">
        <v>284</v>
      </c>
      <c r="AT9" s="7">
        <v>534</v>
      </c>
      <c r="AU9" s="7">
        <v>559</v>
      </c>
      <c r="AV9" s="7">
        <v>629</v>
      </c>
      <c r="AW9" s="7">
        <v>709</v>
      </c>
      <c r="AX9" s="7">
        <v>794</v>
      </c>
      <c r="AY9" s="7">
        <v>834</v>
      </c>
      <c r="AZ9" s="7">
        <v>784</v>
      </c>
      <c r="BA9" s="7">
        <v>784</v>
      </c>
      <c r="BB9" s="7">
        <v>834</v>
      </c>
      <c r="BC9" s="15">
        <v>0</v>
      </c>
      <c r="BD9" s="21">
        <f t="shared" si="0"/>
        <v>6.1631808619760425E-3</v>
      </c>
      <c r="BE9" s="21">
        <f t="shared" si="0"/>
        <v>6.5089436492712276E-3</v>
      </c>
      <c r="BF9" s="21">
        <f t="shared" si="0"/>
        <v>6.8826077986383332E-3</v>
      </c>
      <c r="BG9" s="21">
        <f t="shared" si="0"/>
        <v>7.3004255477647105E-3</v>
      </c>
      <c r="BH9" s="21">
        <f t="shared" si="0"/>
        <v>6.6187706308937872E-3</v>
      </c>
      <c r="BI9" s="21">
        <f t="shared" si="0"/>
        <v>7.1298504783155088E-3</v>
      </c>
      <c r="BJ9" s="23">
        <f t="shared" si="1"/>
        <v>7.016348885658003E-3</v>
      </c>
    </row>
    <row r="10" spans="1:62" x14ac:dyDescent="0.25">
      <c r="A10" s="12"/>
      <c r="B10" s="2" t="s">
        <v>11</v>
      </c>
      <c r="C10" s="2" t="s">
        <v>6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3">
        <v>7000</v>
      </c>
      <c r="AE10" s="3">
        <v>10000</v>
      </c>
      <c r="AF10" s="3">
        <v>6500</v>
      </c>
      <c r="AG10" s="3">
        <v>10750</v>
      </c>
      <c r="AH10" s="3">
        <v>11500</v>
      </c>
      <c r="AI10" s="3">
        <v>11350</v>
      </c>
      <c r="AJ10" s="3">
        <v>11350</v>
      </c>
      <c r="AK10" s="3">
        <v>12400</v>
      </c>
      <c r="AL10" s="3">
        <v>12500</v>
      </c>
      <c r="AM10" s="3">
        <v>12480</v>
      </c>
      <c r="AN10" s="3">
        <v>11200</v>
      </c>
      <c r="AO10" s="3">
        <v>19500</v>
      </c>
      <c r="AP10" s="3">
        <v>20000</v>
      </c>
      <c r="AQ10" s="3">
        <v>21200</v>
      </c>
      <c r="AR10" s="3">
        <v>27800</v>
      </c>
      <c r="AS10" s="3">
        <v>30000</v>
      </c>
      <c r="AT10" s="3">
        <v>35500</v>
      </c>
      <c r="AU10" s="3">
        <v>33000</v>
      </c>
      <c r="AV10" s="3">
        <v>39000</v>
      </c>
      <c r="AW10" s="3">
        <v>40500</v>
      </c>
      <c r="AX10" s="3">
        <v>48800</v>
      </c>
      <c r="AY10" s="3">
        <v>46200</v>
      </c>
      <c r="AZ10" s="3">
        <v>32000</v>
      </c>
      <c r="BA10" s="3">
        <v>54500</v>
      </c>
      <c r="BB10" s="3">
        <v>49500</v>
      </c>
      <c r="BC10" s="13">
        <v>0</v>
      </c>
      <c r="BD10" s="20">
        <f t="shared" si="0"/>
        <v>0.1835361294269594</v>
      </c>
      <c r="BE10" s="20">
        <f t="shared" si="0"/>
        <v>0.20657571126811242</v>
      </c>
      <c r="BF10" s="20">
        <f t="shared" si="0"/>
        <v>0.20961887477313976</v>
      </c>
      <c r="BG10" s="20">
        <f t="shared" si="0"/>
        <v>0.15097757982939533</v>
      </c>
      <c r="BH10" s="20">
        <f t="shared" si="0"/>
        <v>0.20943655801584801</v>
      </c>
      <c r="BI10" s="20">
        <f t="shared" si="0"/>
        <v>0.1896755207455206</v>
      </c>
      <c r="BJ10" s="23">
        <f t="shared" si="1"/>
        <v>0.18336321953025467</v>
      </c>
    </row>
    <row r="11" spans="1:62" s="5" customFormat="1" x14ac:dyDescent="0.25">
      <c r="A11" s="14"/>
      <c r="B11" s="6"/>
      <c r="C11" s="6" t="s">
        <v>7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4</v>
      </c>
      <c r="AK11" s="7">
        <v>60</v>
      </c>
      <c r="AL11" s="7">
        <v>88</v>
      </c>
      <c r="AM11" s="7">
        <v>92</v>
      </c>
      <c r="AN11" s="7">
        <v>356</v>
      </c>
      <c r="AO11" s="7">
        <v>948</v>
      </c>
      <c r="AP11" s="7">
        <v>275</v>
      </c>
      <c r="AQ11" s="7">
        <v>218</v>
      </c>
      <c r="AR11" s="7">
        <v>320</v>
      </c>
      <c r="AS11" s="7">
        <v>251</v>
      </c>
      <c r="AT11" s="7">
        <v>383</v>
      </c>
      <c r="AU11" s="7">
        <v>537</v>
      </c>
      <c r="AV11" s="7">
        <v>692</v>
      </c>
      <c r="AW11" s="7">
        <v>584</v>
      </c>
      <c r="AX11" s="8">
        <v>1986</v>
      </c>
      <c r="AY11" s="8">
        <v>2954</v>
      </c>
      <c r="AZ11" s="8">
        <v>1241</v>
      </c>
      <c r="BA11" s="7">
        <v>0</v>
      </c>
      <c r="BB11" s="7">
        <v>0</v>
      </c>
      <c r="BC11" s="15">
        <v>0</v>
      </c>
      <c r="BD11" s="21">
        <f t="shared" si="0"/>
        <v>9.1066444198412578E-3</v>
      </c>
      <c r="BE11" s="21">
        <f t="shared" si="0"/>
        <v>2.875635289518266E-2</v>
      </c>
      <c r="BF11" s="21">
        <f t="shared" si="0"/>
        <v>3.7817976981475078E-2</v>
      </c>
      <c r="BG11" s="21">
        <f t="shared" si="0"/>
        <v>1.6038564929693962E-2</v>
      </c>
      <c r="BH11" s="21">
        <f t="shared" si="0"/>
        <v>0</v>
      </c>
      <c r="BI11" s="21">
        <f t="shared" si="0"/>
        <v>0</v>
      </c>
      <c r="BJ11" s="23">
        <f t="shared" si="1"/>
        <v>5.3461883098979875E-3</v>
      </c>
    </row>
    <row r="12" spans="1:62" x14ac:dyDescent="0.25">
      <c r="A12" s="12"/>
      <c r="B12" s="2"/>
      <c r="C12" s="2" t="s">
        <v>8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3">
        <v>2088</v>
      </c>
      <c r="AF12" s="4">
        <v>445</v>
      </c>
      <c r="AG12" s="3">
        <v>2968</v>
      </c>
      <c r="AH12" s="3">
        <v>4469</v>
      </c>
      <c r="AI12" s="3">
        <v>3213</v>
      </c>
      <c r="AJ12" s="3">
        <v>2211</v>
      </c>
      <c r="AK12" s="3">
        <v>3023</v>
      </c>
      <c r="AL12" s="3">
        <v>2581</v>
      </c>
      <c r="AM12" s="3">
        <v>2103</v>
      </c>
      <c r="AN12" s="4">
        <v>757</v>
      </c>
      <c r="AO12" s="3">
        <v>2821</v>
      </c>
      <c r="AP12" s="3">
        <v>3061</v>
      </c>
      <c r="AQ12" s="3">
        <v>4125</v>
      </c>
      <c r="AR12" s="3">
        <v>7304</v>
      </c>
      <c r="AS12" s="3">
        <v>5960</v>
      </c>
      <c r="AT12" s="3">
        <v>8624</v>
      </c>
      <c r="AU12" s="3">
        <v>6741</v>
      </c>
      <c r="AV12" s="3">
        <v>9568</v>
      </c>
      <c r="AW12" s="3">
        <v>7249</v>
      </c>
      <c r="AX12" s="3">
        <v>9560</v>
      </c>
      <c r="AY12" s="3">
        <v>13839</v>
      </c>
      <c r="AZ12" s="3">
        <v>5590</v>
      </c>
      <c r="BA12" s="3">
        <v>13088</v>
      </c>
      <c r="BB12" s="3">
        <v>11000</v>
      </c>
      <c r="BC12" s="13">
        <v>0</v>
      </c>
      <c r="BD12" s="20">
        <f t="shared" si="0"/>
        <v>0.11427985874637407</v>
      </c>
      <c r="BE12" s="20">
        <f t="shared" si="0"/>
        <v>0.13491201083811971</v>
      </c>
      <c r="BF12" s="20">
        <f t="shared" si="0"/>
        <v>0.17567756267851475</v>
      </c>
      <c r="BG12" s="20">
        <f t="shared" si="0"/>
        <v>7.2746674995445196E-2</v>
      </c>
      <c r="BH12" s="20">
        <f t="shared" si="0"/>
        <v>0.14124299882369445</v>
      </c>
      <c r="BI12" s="20">
        <f t="shared" si="0"/>
        <v>0.11166379047812405</v>
      </c>
      <c r="BJ12" s="23">
        <f t="shared" si="1"/>
        <v>0.10855115476575457</v>
      </c>
    </row>
    <row r="13" spans="1:62" s="5" customFormat="1" x14ac:dyDescent="0.25">
      <c r="A13" s="14"/>
      <c r="B13" s="6"/>
      <c r="C13" s="6" t="s">
        <v>9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8">
        <v>4433</v>
      </c>
      <c r="AE13" s="8">
        <v>5806</v>
      </c>
      <c r="AF13" s="8">
        <v>6404</v>
      </c>
      <c r="AG13" s="8">
        <v>6703</v>
      </c>
      <c r="AH13" s="8">
        <v>7451</v>
      </c>
      <c r="AI13" s="8">
        <v>8225</v>
      </c>
      <c r="AJ13" s="8">
        <v>9018</v>
      </c>
      <c r="AK13" s="8">
        <v>9305</v>
      </c>
      <c r="AL13" s="8">
        <v>9247</v>
      </c>
      <c r="AM13" s="8">
        <v>10830</v>
      </c>
      <c r="AN13" s="8">
        <v>11628</v>
      </c>
      <c r="AO13" s="8">
        <v>13560</v>
      </c>
      <c r="AP13" s="8">
        <v>18317</v>
      </c>
      <c r="AQ13" s="8">
        <v>17927</v>
      </c>
      <c r="AR13" s="8">
        <v>18331</v>
      </c>
      <c r="AS13" s="8">
        <v>22012</v>
      </c>
      <c r="AT13" s="8">
        <v>24813</v>
      </c>
      <c r="AU13" s="8">
        <v>26443</v>
      </c>
      <c r="AV13" s="8">
        <v>28763</v>
      </c>
      <c r="AW13" s="8">
        <v>33338</v>
      </c>
      <c r="AX13" s="8">
        <v>35093</v>
      </c>
      <c r="AY13" s="8">
        <v>36161</v>
      </c>
      <c r="AZ13" s="8">
        <v>32823</v>
      </c>
      <c r="BA13" s="8">
        <v>35723</v>
      </c>
      <c r="BB13" s="8">
        <v>39865</v>
      </c>
      <c r="BC13" s="15">
        <v>0</v>
      </c>
      <c r="BD13" s="21">
        <f t="shared" si="0"/>
        <v>0.15424547507125144</v>
      </c>
      <c r="BE13" s="21">
        <f t="shared" si="0"/>
        <v>0.15557062808100153</v>
      </c>
      <c r="BF13" s="21">
        <f t="shared" si="0"/>
        <v>0.15684803164633829</v>
      </c>
      <c r="BG13" s="21">
        <f t="shared" si="0"/>
        <v>0.14829423006546577</v>
      </c>
      <c r="BH13" s="21">
        <f t="shared" si="0"/>
        <v>0.15011934578339581</v>
      </c>
      <c r="BI13" s="21">
        <f t="shared" si="0"/>
        <v>0.15586147037205011</v>
      </c>
      <c r="BJ13" s="23">
        <f t="shared" si="1"/>
        <v>0.15142501540697056</v>
      </c>
    </row>
    <row r="14" spans="1:62" x14ac:dyDescent="0.25">
      <c r="A14" s="12"/>
      <c r="B14" s="2" t="s">
        <v>12</v>
      </c>
      <c r="C14" s="2" t="s">
        <v>6</v>
      </c>
      <c r="D14" s="4">
        <v>97</v>
      </c>
      <c r="E14" s="4">
        <v>118</v>
      </c>
      <c r="F14" s="4">
        <v>116</v>
      </c>
      <c r="G14" s="4">
        <v>124</v>
      </c>
      <c r="H14" s="4">
        <v>174</v>
      </c>
      <c r="I14" s="4">
        <v>107</v>
      </c>
      <c r="J14" s="4">
        <v>141</v>
      </c>
      <c r="K14" s="4">
        <v>184</v>
      </c>
      <c r="L14" s="4">
        <v>224</v>
      </c>
      <c r="M14" s="4">
        <v>265</v>
      </c>
      <c r="N14" s="4">
        <v>187</v>
      </c>
      <c r="O14" s="4">
        <v>191</v>
      </c>
      <c r="P14" s="4">
        <v>169</v>
      </c>
      <c r="Q14" s="4">
        <v>205</v>
      </c>
      <c r="R14" s="4">
        <v>228</v>
      </c>
      <c r="S14" s="4">
        <v>201</v>
      </c>
      <c r="T14" s="4">
        <v>208</v>
      </c>
      <c r="U14" s="4">
        <v>201</v>
      </c>
      <c r="V14" s="4">
        <v>203</v>
      </c>
      <c r="W14" s="4">
        <v>173</v>
      </c>
      <c r="X14" s="4">
        <v>186</v>
      </c>
      <c r="Y14" s="4">
        <v>230</v>
      </c>
      <c r="Z14" s="4">
        <v>180</v>
      </c>
      <c r="AA14" s="4">
        <v>309</v>
      </c>
      <c r="AB14" s="4">
        <v>260</v>
      </c>
      <c r="AC14" s="4">
        <v>283</v>
      </c>
      <c r="AD14" s="4">
        <v>229</v>
      </c>
      <c r="AE14" s="4">
        <v>247</v>
      </c>
      <c r="AF14" s="4">
        <v>291</v>
      </c>
      <c r="AG14" s="4">
        <v>215</v>
      </c>
      <c r="AH14" s="4">
        <v>299</v>
      </c>
      <c r="AI14" s="4">
        <v>425</v>
      </c>
      <c r="AJ14" s="4">
        <v>395</v>
      </c>
      <c r="AK14" s="4">
        <v>395</v>
      </c>
      <c r="AL14" s="4">
        <v>602</v>
      </c>
      <c r="AM14" s="4">
        <v>641</v>
      </c>
      <c r="AN14" s="4">
        <v>783</v>
      </c>
      <c r="AO14" s="4">
        <v>673</v>
      </c>
      <c r="AP14" s="3">
        <v>1078</v>
      </c>
      <c r="AQ14" s="4">
        <v>588</v>
      </c>
      <c r="AR14" s="4">
        <v>567</v>
      </c>
      <c r="AS14" s="4">
        <v>463</v>
      </c>
      <c r="AT14" s="4">
        <v>467</v>
      </c>
      <c r="AU14" s="4">
        <v>742</v>
      </c>
      <c r="AV14" s="4">
        <v>683</v>
      </c>
      <c r="AW14" s="4">
        <v>764</v>
      </c>
      <c r="AX14" s="4">
        <v>691</v>
      </c>
      <c r="AY14" s="4">
        <v>810</v>
      </c>
      <c r="AZ14" s="4">
        <v>867</v>
      </c>
      <c r="BA14" s="4">
        <v>706</v>
      </c>
      <c r="BB14" s="3">
        <v>1138</v>
      </c>
      <c r="BC14" s="13">
        <v>0</v>
      </c>
      <c r="BD14" s="20">
        <f t="shared" si="0"/>
        <v>1.8251139501772558E-3</v>
      </c>
      <c r="BE14" s="20">
        <f t="shared" si="0"/>
        <v>1.6441107050403532E-3</v>
      </c>
      <c r="BF14" s="20">
        <f t="shared" si="0"/>
        <v>1.8680682559853137E-3</v>
      </c>
      <c r="BG14" s="20">
        <f t="shared" si="0"/>
        <v>1.9349612003454809E-3</v>
      </c>
      <c r="BH14" s="20">
        <f t="shared" si="0"/>
        <v>1.6032592034118083E-3</v>
      </c>
      <c r="BI14" s="20">
        <f t="shared" si="0"/>
        <v>2.5250676198907873E-3</v>
      </c>
      <c r="BJ14" s="23">
        <f t="shared" si="1"/>
        <v>2.0210960078826923E-3</v>
      </c>
    </row>
    <row r="15" spans="1:62" s="5" customFormat="1" x14ac:dyDescent="0.25">
      <c r="A15" s="14"/>
      <c r="B15" s="6"/>
      <c r="C15" s="6" t="s">
        <v>7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9</v>
      </c>
      <c r="Y15" s="7">
        <v>0</v>
      </c>
      <c r="Z15" s="7">
        <v>0</v>
      </c>
      <c r="AA15" s="7">
        <v>0</v>
      </c>
      <c r="AB15" s="7">
        <v>0</v>
      </c>
      <c r="AC15" s="7">
        <v>2</v>
      </c>
      <c r="AD15" s="7">
        <v>0</v>
      </c>
      <c r="AE15" s="7">
        <v>0</v>
      </c>
      <c r="AF15" s="7">
        <v>0</v>
      </c>
      <c r="AG15" s="7">
        <v>4</v>
      </c>
      <c r="AH15" s="7">
        <v>1</v>
      </c>
      <c r="AI15" s="7">
        <v>2</v>
      </c>
      <c r="AJ15" s="7">
        <v>1</v>
      </c>
      <c r="AK15" s="7">
        <v>6</v>
      </c>
      <c r="AL15" s="7">
        <v>5</v>
      </c>
      <c r="AM15" s="7">
        <v>7</v>
      </c>
      <c r="AN15" s="7">
        <v>9</v>
      </c>
      <c r="AO15" s="7">
        <v>8</v>
      </c>
      <c r="AP15" s="7">
        <v>15</v>
      </c>
      <c r="AQ15" s="7">
        <v>15</v>
      </c>
      <c r="AR15" s="7">
        <v>13</v>
      </c>
      <c r="AS15" s="7">
        <v>5</v>
      </c>
      <c r="AT15" s="7">
        <v>14</v>
      </c>
      <c r="AU15" s="7">
        <v>16</v>
      </c>
      <c r="AV15" s="7">
        <v>10</v>
      </c>
      <c r="AW15" s="7">
        <v>8</v>
      </c>
      <c r="AX15" s="7">
        <v>7</v>
      </c>
      <c r="AY15" s="7">
        <v>9</v>
      </c>
      <c r="AZ15" s="7">
        <v>6</v>
      </c>
      <c r="BA15" s="7">
        <v>8</v>
      </c>
      <c r="BB15" s="7">
        <v>5</v>
      </c>
      <c r="BC15" s="15">
        <v>0</v>
      </c>
      <c r="BD15" s="21">
        <f t="shared" si="0"/>
        <v>3.0188679245283021E-4</v>
      </c>
      <c r="BE15" s="21">
        <f t="shared" si="0"/>
        <v>2.4799829944023241E-4</v>
      </c>
      <c r="BF15" s="21">
        <f t="shared" si="0"/>
        <v>3.0573767707307132E-4</v>
      </c>
      <c r="BG15" s="21">
        <f t="shared" si="0"/>
        <v>2.2100261519761318E-4</v>
      </c>
      <c r="BH15" s="21">
        <f t="shared" si="0"/>
        <v>2.8495102404274265E-4</v>
      </c>
      <c r="BI15" s="21">
        <f t="shared" si="0"/>
        <v>1.7104542966611932E-4</v>
      </c>
      <c r="BJ15" s="23">
        <f t="shared" si="1"/>
        <v>2.256663563021584E-4</v>
      </c>
    </row>
    <row r="16" spans="1:62" x14ac:dyDescent="0.25">
      <c r="A16" s="12"/>
      <c r="B16" s="2"/>
      <c r="C16" s="2" t="s">
        <v>8</v>
      </c>
      <c r="D16" s="4">
        <v>11</v>
      </c>
      <c r="E16" s="4">
        <v>37</v>
      </c>
      <c r="F16" s="4">
        <v>14</v>
      </c>
      <c r="G16" s="4">
        <v>5</v>
      </c>
      <c r="H16" s="4">
        <v>49</v>
      </c>
      <c r="I16" s="4">
        <v>35</v>
      </c>
      <c r="J16" s="4">
        <v>32</v>
      </c>
      <c r="K16" s="4">
        <v>46</v>
      </c>
      <c r="L16" s="4">
        <v>78</v>
      </c>
      <c r="M16" s="4">
        <v>96</v>
      </c>
      <c r="N16" s="4">
        <v>82</v>
      </c>
      <c r="O16" s="4">
        <v>29</v>
      </c>
      <c r="P16" s="4">
        <v>34</v>
      </c>
      <c r="Q16" s="4">
        <v>56</v>
      </c>
      <c r="R16" s="4">
        <v>61</v>
      </c>
      <c r="S16" s="4">
        <v>111</v>
      </c>
      <c r="T16" s="4">
        <v>170</v>
      </c>
      <c r="U16" s="4">
        <v>99</v>
      </c>
      <c r="V16" s="4">
        <v>70</v>
      </c>
      <c r="W16" s="4">
        <v>95</v>
      </c>
      <c r="X16" s="4">
        <v>95</v>
      </c>
      <c r="Y16" s="4">
        <v>97</v>
      </c>
      <c r="Z16" s="4">
        <v>71</v>
      </c>
      <c r="AA16" s="4">
        <v>140</v>
      </c>
      <c r="AB16" s="4">
        <v>165</v>
      </c>
      <c r="AC16" s="4">
        <v>150</v>
      </c>
      <c r="AD16" s="4">
        <v>97</v>
      </c>
      <c r="AE16" s="4">
        <v>43</v>
      </c>
      <c r="AF16" s="4">
        <v>36</v>
      </c>
      <c r="AG16" s="4">
        <v>53</v>
      </c>
      <c r="AH16" s="4">
        <v>75</v>
      </c>
      <c r="AI16" s="4">
        <v>207</v>
      </c>
      <c r="AJ16" s="4">
        <v>276</v>
      </c>
      <c r="AK16" s="4">
        <v>203</v>
      </c>
      <c r="AL16" s="4">
        <v>327</v>
      </c>
      <c r="AM16" s="4">
        <v>366</v>
      </c>
      <c r="AN16" s="4">
        <v>530</v>
      </c>
      <c r="AO16" s="4">
        <v>543</v>
      </c>
      <c r="AP16" s="4">
        <v>741</v>
      </c>
      <c r="AQ16" s="4">
        <v>417</v>
      </c>
      <c r="AR16" s="4">
        <v>381</v>
      </c>
      <c r="AS16" s="4">
        <v>134</v>
      </c>
      <c r="AT16" s="4">
        <v>193</v>
      </c>
      <c r="AU16" s="4">
        <v>294</v>
      </c>
      <c r="AV16" s="4">
        <v>325</v>
      </c>
      <c r="AW16" s="4">
        <v>485</v>
      </c>
      <c r="AX16" s="4">
        <v>452</v>
      </c>
      <c r="AY16" s="4">
        <v>443</v>
      </c>
      <c r="AZ16" s="4">
        <v>554</v>
      </c>
      <c r="BA16" s="4">
        <v>430</v>
      </c>
      <c r="BB16" s="4">
        <v>625</v>
      </c>
      <c r="BC16" s="13">
        <v>0</v>
      </c>
      <c r="BD16" s="20">
        <f t="shared" si="0"/>
        <v>1.6338768360059291E-2</v>
      </c>
      <c r="BE16" s="20">
        <f t="shared" si="0"/>
        <v>1.4397197005892658E-2</v>
      </c>
      <c r="BF16" s="20">
        <f t="shared" si="0"/>
        <v>1.4181899670262829E-2</v>
      </c>
      <c r="BG16" s="20">
        <f t="shared" si="0"/>
        <v>1.9161593801881573E-2</v>
      </c>
      <c r="BH16" s="20">
        <f t="shared" si="0"/>
        <v>1.3954243063443129E-2</v>
      </c>
      <c r="BI16" s="20">
        <f t="shared" si="0"/>
        <v>2.0559886838382842E-2</v>
      </c>
      <c r="BJ16" s="23">
        <f t="shared" si="1"/>
        <v>1.7891907901235848E-2</v>
      </c>
    </row>
    <row r="17" spans="1:62" s="5" customFormat="1" x14ac:dyDescent="0.25">
      <c r="A17" s="14"/>
      <c r="B17" s="6"/>
      <c r="C17" s="6" t="s">
        <v>9</v>
      </c>
      <c r="D17" s="7">
        <v>95</v>
      </c>
      <c r="E17" s="7">
        <v>90</v>
      </c>
      <c r="F17" s="7">
        <v>86</v>
      </c>
      <c r="G17" s="7">
        <v>101</v>
      </c>
      <c r="H17" s="7">
        <v>106</v>
      </c>
      <c r="I17" s="7">
        <v>106</v>
      </c>
      <c r="J17" s="7">
        <v>109</v>
      </c>
      <c r="K17" s="7">
        <v>111</v>
      </c>
      <c r="L17" s="7">
        <v>117</v>
      </c>
      <c r="M17" s="7">
        <v>148</v>
      </c>
      <c r="N17" s="7">
        <v>150</v>
      </c>
      <c r="O17" s="7">
        <v>165</v>
      </c>
      <c r="P17" s="7">
        <v>135</v>
      </c>
      <c r="Q17" s="7">
        <v>130</v>
      </c>
      <c r="R17" s="7">
        <v>141</v>
      </c>
      <c r="S17" s="7">
        <v>140</v>
      </c>
      <c r="T17" s="7">
        <v>66</v>
      </c>
      <c r="U17" s="7">
        <v>112</v>
      </c>
      <c r="V17" s="7">
        <v>120</v>
      </c>
      <c r="W17" s="7">
        <v>100</v>
      </c>
      <c r="X17" s="7">
        <v>100</v>
      </c>
      <c r="Y17" s="7">
        <v>115</v>
      </c>
      <c r="Z17" s="7">
        <v>110</v>
      </c>
      <c r="AA17" s="7">
        <v>125</v>
      </c>
      <c r="AB17" s="7">
        <v>125</v>
      </c>
      <c r="AC17" s="7">
        <v>139</v>
      </c>
      <c r="AD17" s="7">
        <v>125</v>
      </c>
      <c r="AE17" s="7">
        <v>200</v>
      </c>
      <c r="AF17" s="7">
        <v>208</v>
      </c>
      <c r="AG17" s="7">
        <v>210</v>
      </c>
      <c r="AH17" s="7">
        <v>219</v>
      </c>
      <c r="AI17" s="7">
        <v>180</v>
      </c>
      <c r="AJ17" s="7">
        <v>175</v>
      </c>
      <c r="AK17" s="7">
        <v>189</v>
      </c>
      <c r="AL17" s="7">
        <v>200</v>
      </c>
      <c r="AM17" s="7">
        <v>210</v>
      </c>
      <c r="AN17" s="7">
        <v>215</v>
      </c>
      <c r="AO17" s="7">
        <v>220</v>
      </c>
      <c r="AP17" s="7">
        <v>225</v>
      </c>
      <c r="AQ17" s="7">
        <v>230</v>
      </c>
      <c r="AR17" s="7">
        <v>325</v>
      </c>
      <c r="AS17" s="7">
        <v>325</v>
      </c>
      <c r="AT17" s="7">
        <v>325</v>
      </c>
      <c r="AU17" s="7">
        <v>350</v>
      </c>
      <c r="AV17" s="7">
        <v>375</v>
      </c>
      <c r="AW17" s="7">
        <v>325</v>
      </c>
      <c r="AX17" s="7">
        <v>325</v>
      </c>
      <c r="AY17" s="7">
        <v>325</v>
      </c>
      <c r="AZ17" s="7">
        <v>330</v>
      </c>
      <c r="BA17" s="7">
        <v>330</v>
      </c>
      <c r="BB17" s="7">
        <v>350</v>
      </c>
      <c r="BC17" s="15">
        <v>0</v>
      </c>
      <c r="BD17" s="21">
        <f t="shared" si="0"/>
        <v>7.8705262112739843E-4</v>
      </c>
      <c r="BE17" s="21">
        <f t="shared" si="0"/>
        <v>7.7644017707614128E-4</v>
      </c>
      <c r="BF17" s="21">
        <f t="shared" si="0"/>
        <v>7.6241504936930683E-4</v>
      </c>
      <c r="BG17" s="21">
        <f t="shared" si="0"/>
        <v>7.5842890303601392E-4</v>
      </c>
      <c r="BH17" s="21">
        <f t="shared" si="0"/>
        <v>7.5812050440284223E-4</v>
      </c>
      <c r="BI17" s="21">
        <f t="shared" si="0"/>
        <v>7.8434536295021425E-4</v>
      </c>
      <c r="BJ17" s="23">
        <f t="shared" si="1"/>
        <v>7.6696492346302336E-4</v>
      </c>
    </row>
    <row r="18" spans="1:62" x14ac:dyDescent="0.25">
      <c r="A18" s="12"/>
      <c r="B18" s="2" t="s">
        <v>13</v>
      </c>
      <c r="C18" s="2" t="s">
        <v>6</v>
      </c>
      <c r="D18" s="3">
        <v>1252</v>
      </c>
      <c r="E18" s="3">
        <v>1394</v>
      </c>
      <c r="F18" s="4">
        <v>952</v>
      </c>
      <c r="G18" s="3">
        <v>1267</v>
      </c>
      <c r="H18" s="4">
        <v>857</v>
      </c>
      <c r="I18" s="3">
        <v>2130</v>
      </c>
      <c r="J18" s="3">
        <v>1380</v>
      </c>
      <c r="K18" s="3">
        <v>1897</v>
      </c>
      <c r="L18" s="3">
        <v>2484</v>
      </c>
      <c r="M18" s="3">
        <v>3820</v>
      </c>
      <c r="N18" s="3">
        <v>4660</v>
      </c>
      <c r="O18" s="3">
        <v>2360</v>
      </c>
      <c r="P18" s="3">
        <v>4600</v>
      </c>
      <c r="Q18" s="3">
        <v>5900</v>
      </c>
      <c r="R18" s="3">
        <v>4830</v>
      </c>
      <c r="S18" s="3">
        <v>5060</v>
      </c>
      <c r="T18" s="3">
        <v>6600</v>
      </c>
      <c r="U18" s="3">
        <v>7200</v>
      </c>
      <c r="V18" s="3">
        <v>6500</v>
      </c>
      <c r="W18" s="3">
        <v>2960</v>
      </c>
      <c r="X18" s="3">
        <v>7100</v>
      </c>
      <c r="Y18" s="3">
        <v>8000</v>
      </c>
      <c r="Z18" s="3">
        <v>7600</v>
      </c>
      <c r="AA18" s="3">
        <v>6900</v>
      </c>
      <c r="AB18" s="3">
        <v>6200</v>
      </c>
      <c r="AC18" s="3">
        <v>4200</v>
      </c>
      <c r="AD18" s="3">
        <v>3100</v>
      </c>
      <c r="AE18" s="3">
        <v>3000</v>
      </c>
      <c r="AF18" s="3">
        <v>1400</v>
      </c>
      <c r="AG18" s="3">
        <v>2050</v>
      </c>
      <c r="AH18" s="3">
        <v>2252</v>
      </c>
      <c r="AI18" s="3">
        <v>2767</v>
      </c>
      <c r="AJ18" s="3">
        <v>2860</v>
      </c>
      <c r="AK18" s="3">
        <v>2270</v>
      </c>
      <c r="AL18" s="3">
        <v>1649</v>
      </c>
      <c r="AM18" s="3">
        <v>2132</v>
      </c>
      <c r="AN18" s="3">
        <v>2499</v>
      </c>
      <c r="AO18" s="3">
        <v>3762</v>
      </c>
      <c r="AP18" s="3">
        <v>3222</v>
      </c>
      <c r="AQ18" s="3">
        <v>3344</v>
      </c>
      <c r="AR18" s="3">
        <v>2706</v>
      </c>
      <c r="AS18" s="3">
        <v>2750</v>
      </c>
      <c r="AT18" s="3">
        <v>2800</v>
      </c>
      <c r="AU18" s="3">
        <v>2165</v>
      </c>
      <c r="AV18" s="3">
        <v>2894</v>
      </c>
      <c r="AW18" s="3">
        <v>2328</v>
      </c>
      <c r="AX18" s="3">
        <v>2795</v>
      </c>
      <c r="AY18" s="3">
        <v>2937</v>
      </c>
      <c r="AZ18" s="3">
        <v>1660</v>
      </c>
      <c r="BA18" s="3">
        <v>3629</v>
      </c>
      <c r="BB18" s="3">
        <v>3800</v>
      </c>
      <c r="BC18" s="13">
        <v>0</v>
      </c>
      <c r="BD18" s="20">
        <f t="shared" si="0"/>
        <v>3.903813260891438E-2</v>
      </c>
      <c r="BE18" s="20">
        <f t="shared" si="0"/>
        <v>4.8482220294882916E-2</v>
      </c>
      <c r="BF18" s="20">
        <f t="shared" si="0"/>
        <v>4.4561440774401065E-2</v>
      </c>
      <c r="BG18" s="20">
        <f t="shared" si="0"/>
        <v>2.5599111741664869E-2</v>
      </c>
      <c r="BH18" s="20">
        <f t="shared" si="0"/>
        <v>6.1241709840187654E-2</v>
      </c>
      <c r="BI18" s="20">
        <f t="shared" si="0"/>
        <v>5.8257190163733368E-2</v>
      </c>
      <c r="BJ18" s="23">
        <f t="shared" si="1"/>
        <v>4.8366003915195299E-2</v>
      </c>
    </row>
    <row r="19" spans="1:62" s="5" customFormat="1" x14ac:dyDescent="0.25">
      <c r="A19" s="14"/>
      <c r="B19" s="6"/>
      <c r="C19" s="6" t="s">
        <v>7</v>
      </c>
      <c r="D19" s="7">
        <v>3</v>
      </c>
      <c r="E19" s="7">
        <v>5</v>
      </c>
      <c r="F19" s="7">
        <v>4</v>
      </c>
      <c r="G19" s="7">
        <v>5</v>
      </c>
      <c r="H19" s="7">
        <v>6</v>
      </c>
      <c r="I19" s="7">
        <v>3</v>
      </c>
      <c r="J19" s="7">
        <v>2</v>
      </c>
      <c r="K19" s="7">
        <v>3</v>
      </c>
      <c r="L19" s="7">
        <v>1</v>
      </c>
      <c r="M19" s="7">
        <v>1</v>
      </c>
      <c r="N19" s="7">
        <v>1</v>
      </c>
      <c r="O19" s="7">
        <v>1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4</v>
      </c>
      <c r="AO19" s="7">
        <v>4</v>
      </c>
      <c r="AP19" s="7">
        <v>1</v>
      </c>
      <c r="AQ19" s="7">
        <v>1</v>
      </c>
      <c r="AR19" s="7">
        <v>0</v>
      </c>
      <c r="AS19" s="7">
        <v>1</v>
      </c>
      <c r="AT19" s="7">
        <v>1</v>
      </c>
      <c r="AU19" s="7">
        <v>1</v>
      </c>
      <c r="AV19" s="7">
        <v>0</v>
      </c>
      <c r="AW19" s="7">
        <v>0</v>
      </c>
      <c r="AX19" s="7">
        <v>2</v>
      </c>
      <c r="AY19" s="7">
        <v>1</v>
      </c>
      <c r="AZ19" s="7">
        <v>1</v>
      </c>
      <c r="BA19" s="7">
        <v>0</v>
      </c>
      <c r="BB19" s="7">
        <v>0</v>
      </c>
      <c r="BC19" s="15">
        <v>0</v>
      </c>
      <c r="BD19" s="21">
        <f t="shared" si="0"/>
        <v>0</v>
      </c>
      <c r="BE19" s="21">
        <f t="shared" si="0"/>
        <v>4.1330853482124408E-4</v>
      </c>
      <c r="BF19" s="21">
        <f t="shared" si="0"/>
        <v>1.0331645831180907E-4</v>
      </c>
      <c r="BG19" s="21">
        <f t="shared" si="0"/>
        <v>1.6361256544502619E-4</v>
      </c>
      <c r="BH19" s="21">
        <f t="shared" si="0"/>
        <v>0</v>
      </c>
      <c r="BI19" s="21">
        <f t="shared" si="0"/>
        <v>0</v>
      </c>
      <c r="BJ19" s="23">
        <f t="shared" si="1"/>
        <v>5.4537521815008727E-5</v>
      </c>
    </row>
    <row r="20" spans="1:62" x14ac:dyDescent="0.25">
      <c r="A20" s="12"/>
      <c r="B20" s="2"/>
      <c r="C20" s="2" t="s">
        <v>8</v>
      </c>
      <c r="D20" s="4">
        <v>287</v>
      </c>
      <c r="E20" s="4">
        <v>428</v>
      </c>
      <c r="F20" s="4">
        <v>547</v>
      </c>
      <c r="G20" s="4">
        <v>653</v>
      </c>
      <c r="H20" s="4">
        <v>140</v>
      </c>
      <c r="I20" s="3">
        <v>1044</v>
      </c>
      <c r="J20" s="4">
        <v>419</v>
      </c>
      <c r="K20" s="4">
        <v>627</v>
      </c>
      <c r="L20" s="3">
        <v>1316</v>
      </c>
      <c r="M20" s="3">
        <v>1994</v>
      </c>
      <c r="N20" s="3">
        <v>2335</v>
      </c>
      <c r="O20" s="4">
        <v>507</v>
      </c>
      <c r="P20" s="3">
        <v>2278</v>
      </c>
      <c r="Q20" s="3">
        <v>2950</v>
      </c>
      <c r="R20" s="3">
        <v>2342</v>
      </c>
      <c r="S20" s="3">
        <v>3433</v>
      </c>
      <c r="T20" s="3">
        <v>4122</v>
      </c>
      <c r="U20" s="3">
        <v>4652</v>
      </c>
      <c r="V20" s="3">
        <v>3755</v>
      </c>
      <c r="W20" s="3">
        <v>1494</v>
      </c>
      <c r="X20" s="3">
        <v>4940</v>
      </c>
      <c r="Y20" s="3">
        <v>5544</v>
      </c>
      <c r="Z20" s="3">
        <v>5197</v>
      </c>
      <c r="AA20" s="3">
        <v>4134</v>
      </c>
      <c r="AB20" s="3">
        <v>3140</v>
      </c>
      <c r="AC20" s="3">
        <v>1950</v>
      </c>
      <c r="AD20" s="4">
        <v>975</v>
      </c>
      <c r="AE20" s="3">
        <v>1440</v>
      </c>
      <c r="AF20" s="4">
        <v>386</v>
      </c>
      <c r="AG20" s="3">
        <v>1200</v>
      </c>
      <c r="AH20" s="3">
        <v>1300</v>
      </c>
      <c r="AI20" s="3">
        <v>1200</v>
      </c>
      <c r="AJ20" s="3">
        <v>1048</v>
      </c>
      <c r="AK20" s="4">
        <v>425</v>
      </c>
      <c r="AL20" s="4">
        <v>192</v>
      </c>
      <c r="AM20" s="4">
        <v>800</v>
      </c>
      <c r="AN20" s="4">
        <v>798</v>
      </c>
      <c r="AO20" s="3">
        <v>1334</v>
      </c>
      <c r="AP20" s="4">
        <v>565</v>
      </c>
      <c r="AQ20" s="4">
        <v>920</v>
      </c>
      <c r="AR20" s="4">
        <v>439</v>
      </c>
      <c r="AS20" s="4">
        <v>419</v>
      </c>
      <c r="AT20" s="4">
        <v>639</v>
      </c>
      <c r="AU20" s="4">
        <v>192</v>
      </c>
      <c r="AV20" s="4">
        <v>351</v>
      </c>
      <c r="AW20" s="4">
        <v>197</v>
      </c>
      <c r="AX20" s="3">
        <v>1083</v>
      </c>
      <c r="AY20" s="3">
        <v>1223</v>
      </c>
      <c r="AZ20" s="3">
        <v>1113</v>
      </c>
      <c r="BA20" s="3">
        <v>1750</v>
      </c>
      <c r="BB20" s="3">
        <v>1400</v>
      </c>
      <c r="BC20" s="13">
        <v>0</v>
      </c>
      <c r="BD20" s="20">
        <f t="shared" si="0"/>
        <v>3.6630717738936405E-2</v>
      </c>
      <c r="BE20" s="20">
        <f t="shared" si="0"/>
        <v>0.19824272377814386</v>
      </c>
      <c r="BF20" s="20">
        <f t="shared" si="0"/>
        <v>0.12569373072970194</v>
      </c>
      <c r="BG20" s="20">
        <f t="shared" si="0"/>
        <v>0.18599598930481284</v>
      </c>
      <c r="BH20" s="20">
        <f t="shared" si="0"/>
        <v>0.26323706377858003</v>
      </c>
      <c r="BI20" s="20">
        <f t="shared" si="0"/>
        <v>0.21475686454977758</v>
      </c>
      <c r="BJ20" s="23">
        <f t="shared" si="1"/>
        <v>0.22132997254439016</v>
      </c>
    </row>
    <row r="21" spans="1:62" s="5" customFormat="1" x14ac:dyDescent="0.25">
      <c r="A21" s="14"/>
      <c r="B21" s="6"/>
      <c r="C21" s="6" t="s">
        <v>9</v>
      </c>
      <c r="D21" s="7">
        <v>976</v>
      </c>
      <c r="E21" s="7">
        <v>964</v>
      </c>
      <c r="F21" s="7">
        <v>363</v>
      </c>
      <c r="G21" s="7">
        <v>640</v>
      </c>
      <c r="H21" s="7">
        <v>735</v>
      </c>
      <c r="I21" s="8">
        <v>1077</v>
      </c>
      <c r="J21" s="7">
        <v>936</v>
      </c>
      <c r="K21" s="8">
        <v>1226</v>
      </c>
      <c r="L21" s="8">
        <v>1153</v>
      </c>
      <c r="M21" s="8">
        <v>1903</v>
      </c>
      <c r="N21" s="8">
        <v>2227</v>
      </c>
      <c r="O21" s="8">
        <v>1900</v>
      </c>
      <c r="P21" s="8">
        <v>2305</v>
      </c>
      <c r="Q21" s="8">
        <v>3000</v>
      </c>
      <c r="R21" s="8">
        <v>2298</v>
      </c>
      <c r="S21" s="8">
        <v>1668</v>
      </c>
      <c r="T21" s="8">
        <v>2579</v>
      </c>
      <c r="U21" s="8">
        <v>2417</v>
      </c>
      <c r="V21" s="8">
        <v>2856</v>
      </c>
      <c r="W21" s="8">
        <v>1585</v>
      </c>
      <c r="X21" s="8">
        <v>2050</v>
      </c>
      <c r="Y21" s="8">
        <v>2090</v>
      </c>
      <c r="Z21" s="8">
        <v>2700</v>
      </c>
      <c r="AA21" s="8">
        <v>2900</v>
      </c>
      <c r="AB21" s="8">
        <v>2880</v>
      </c>
      <c r="AC21" s="8">
        <v>2400</v>
      </c>
      <c r="AD21" s="8">
        <v>2100</v>
      </c>
      <c r="AE21" s="8">
        <v>1600</v>
      </c>
      <c r="AF21" s="7">
        <v>800</v>
      </c>
      <c r="AG21" s="7">
        <v>900</v>
      </c>
      <c r="AH21" s="8">
        <v>1000</v>
      </c>
      <c r="AI21" s="8">
        <v>1300</v>
      </c>
      <c r="AJ21" s="8">
        <v>1754</v>
      </c>
      <c r="AK21" s="8">
        <v>1885</v>
      </c>
      <c r="AL21" s="8">
        <v>1608</v>
      </c>
      <c r="AM21" s="8">
        <v>1350</v>
      </c>
      <c r="AN21" s="8">
        <v>1656</v>
      </c>
      <c r="AO21" s="8">
        <v>2070</v>
      </c>
      <c r="AP21" s="8">
        <v>2550</v>
      </c>
      <c r="AQ21" s="8">
        <v>2500</v>
      </c>
      <c r="AR21" s="8">
        <v>2500</v>
      </c>
      <c r="AS21" s="8">
        <v>2300</v>
      </c>
      <c r="AT21" s="8">
        <v>2250</v>
      </c>
      <c r="AU21" s="8">
        <v>2000</v>
      </c>
      <c r="AV21" s="8">
        <v>2600</v>
      </c>
      <c r="AW21" s="8">
        <v>2300</v>
      </c>
      <c r="AX21" s="8">
        <v>1700</v>
      </c>
      <c r="AY21" s="8">
        <v>1200</v>
      </c>
      <c r="AZ21" s="8">
        <v>1100</v>
      </c>
      <c r="BA21" s="8">
        <v>1900</v>
      </c>
      <c r="BB21" s="8">
        <v>2300</v>
      </c>
      <c r="BC21" s="15">
        <v>0</v>
      </c>
      <c r="BD21" s="21">
        <f t="shared" si="0"/>
        <v>3.8790413708194894E-2</v>
      </c>
      <c r="BE21" s="21">
        <f t="shared" si="0"/>
        <v>2.9415836101882614E-2</v>
      </c>
      <c r="BF21" s="21">
        <f t="shared" si="0"/>
        <v>1.8612731108077925E-2</v>
      </c>
      <c r="BG21" s="21">
        <f t="shared" si="0"/>
        <v>1.7056908047759344E-2</v>
      </c>
      <c r="BH21" s="21">
        <f t="shared" si="0"/>
        <v>3.1109801224743754E-2</v>
      </c>
      <c r="BI21" s="21">
        <f t="shared" si="0"/>
        <v>3.5525076069999849E-2</v>
      </c>
      <c r="BJ21" s="23">
        <f t="shared" si="1"/>
        <v>2.7897261780834317E-2</v>
      </c>
    </row>
    <row r="22" spans="1:62" s="5" customFormat="1" x14ac:dyDescent="0.25">
      <c r="A22" s="12"/>
      <c r="B22" s="2" t="s">
        <v>14</v>
      </c>
      <c r="C22" s="2" t="s">
        <v>42</v>
      </c>
      <c r="D22" s="4">
        <v>819</v>
      </c>
      <c r="E22" s="4">
        <v>684</v>
      </c>
      <c r="F22" s="4">
        <v>840</v>
      </c>
      <c r="G22" s="3">
        <v>1096</v>
      </c>
      <c r="H22" s="4">
        <v>974</v>
      </c>
      <c r="I22" s="3">
        <v>1290</v>
      </c>
      <c r="J22" s="3">
        <v>1014</v>
      </c>
      <c r="K22" s="4">
        <v>766</v>
      </c>
      <c r="L22" s="4">
        <v>912</v>
      </c>
      <c r="M22" s="4">
        <v>970</v>
      </c>
      <c r="N22" s="4">
        <v>908</v>
      </c>
      <c r="O22" s="4">
        <v>990</v>
      </c>
      <c r="P22" s="3">
        <v>1293</v>
      </c>
      <c r="Q22" s="3">
        <v>1650</v>
      </c>
      <c r="R22" s="3">
        <v>1532</v>
      </c>
      <c r="S22" s="3">
        <v>1349</v>
      </c>
      <c r="T22" s="3">
        <v>1592</v>
      </c>
      <c r="U22" s="3">
        <v>1665</v>
      </c>
      <c r="V22" s="3">
        <v>1387</v>
      </c>
      <c r="W22" s="3">
        <v>1395</v>
      </c>
      <c r="X22" s="3">
        <v>1715</v>
      </c>
      <c r="Y22" s="3">
        <v>1618</v>
      </c>
      <c r="Z22" s="3">
        <v>1617</v>
      </c>
      <c r="AA22" s="3">
        <v>1621</v>
      </c>
      <c r="AB22" s="3">
        <v>1535</v>
      </c>
      <c r="AC22" s="3">
        <v>1160</v>
      </c>
      <c r="AD22" s="3">
        <v>1108</v>
      </c>
      <c r="AE22" s="3">
        <v>1100</v>
      </c>
      <c r="AF22" s="3">
        <v>1284</v>
      </c>
      <c r="AG22" s="4">
        <v>944</v>
      </c>
      <c r="AH22" s="3">
        <v>1300</v>
      </c>
      <c r="AI22" s="3">
        <v>1550</v>
      </c>
      <c r="AJ22" s="3">
        <v>1350</v>
      </c>
      <c r="AK22" s="3">
        <v>1080</v>
      </c>
      <c r="AL22" s="3">
        <v>1180</v>
      </c>
      <c r="AM22" s="3">
        <v>1590</v>
      </c>
      <c r="AN22" s="3">
        <v>1380</v>
      </c>
      <c r="AO22" s="3">
        <v>1750</v>
      </c>
      <c r="AP22" s="3">
        <v>1830</v>
      </c>
      <c r="AQ22" s="3">
        <v>1670</v>
      </c>
      <c r="AR22" s="3">
        <v>1540</v>
      </c>
      <c r="AS22" s="3">
        <v>1600</v>
      </c>
      <c r="AT22" s="3">
        <v>1650</v>
      </c>
      <c r="AU22" s="3">
        <v>1925</v>
      </c>
      <c r="AV22" s="3">
        <v>1815</v>
      </c>
      <c r="AW22" s="3">
        <v>2140</v>
      </c>
      <c r="AX22" s="3">
        <v>2440</v>
      </c>
      <c r="AY22" s="3">
        <v>2190</v>
      </c>
      <c r="AZ22" s="3">
        <v>2420</v>
      </c>
      <c r="BA22" s="3">
        <v>2230</v>
      </c>
      <c r="BB22" s="24">
        <v>2290</v>
      </c>
      <c r="BC22" s="21">
        <f t="shared" ref="BC22:BH22" si="2">AW22/AX$82</f>
        <v>0.95792300805729635</v>
      </c>
      <c r="BD22" s="21">
        <f t="shared" si="2"/>
        <v>0.6379084967320261</v>
      </c>
      <c r="BE22" s="21">
        <f t="shared" si="2"/>
        <v>0.37244897959183676</v>
      </c>
      <c r="BF22" s="21">
        <f t="shared" si="2"/>
        <v>0.48149621965777956</v>
      </c>
      <c r="BG22" s="21">
        <f t="shared" si="2"/>
        <v>0.37796610169491524</v>
      </c>
      <c r="BH22" s="21" t="e">
        <f t="shared" si="2"/>
        <v>#DIV/0!</v>
      </c>
      <c r="BI22"/>
      <c r="BJ22" s="23" t="e">
        <f>AVERAGE(BF22,BG22,BH22)</f>
        <v>#DIV/0!</v>
      </c>
    </row>
    <row r="23" spans="1:62" x14ac:dyDescent="0.25">
      <c r="A23" s="12"/>
      <c r="B23" s="6"/>
      <c r="C23" s="6" t="s">
        <v>45</v>
      </c>
      <c r="D23" s="7">
        <v>6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2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215</v>
      </c>
      <c r="AL23" s="7">
        <v>180</v>
      </c>
      <c r="AM23" s="7">
        <v>20</v>
      </c>
      <c r="AN23" s="7">
        <v>36</v>
      </c>
      <c r="AO23" s="7">
        <v>23</v>
      </c>
      <c r="AP23" s="7">
        <v>1</v>
      </c>
      <c r="AQ23" s="7">
        <v>1</v>
      </c>
      <c r="AR23" s="7">
        <v>2</v>
      </c>
      <c r="AS23" s="7">
        <v>1</v>
      </c>
      <c r="AT23" s="7">
        <v>1</v>
      </c>
      <c r="AU23" s="7">
        <v>10</v>
      </c>
      <c r="AV23" s="7">
        <v>5</v>
      </c>
      <c r="AW23" s="7">
        <v>5</v>
      </c>
      <c r="AX23" s="7">
        <v>2</v>
      </c>
      <c r="AY23" s="7">
        <v>10</v>
      </c>
      <c r="AZ23" s="7">
        <v>21</v>
      </c>
      <c r="BA23" s="7">
        <v>10</v>
      </c>
      <c r="BB23" s="15">
        <v>5</v>
      </c>
      <c r="BC23" s="21">
        <f t="shared" ref="BC23:BH23" si="3">AW23/AX$61</f>
        <v>1.2195121951219512E-4</v>
      </c>
      <c r="BD23" s="21">
        <f t="shared" si="3"/>
        <v>4.7058823529411767E-5</v>
      </c>
      <c r="BE23" s="21">
        <f t="shared" si="3"/>
        <v>2.1978021978021978E-4</v>
      </c>
      <c r="BF23" s="21">
        <f t="shared" si="3"/>
        <v>4.4680851063829785E-4</v>
      </c>
      <c r="BG23" s="21">
        <f t="shared" si="3"/>
        <v>2.0491803278688525E-4</v>
      </c>
      <c r="BH23" s="21" t="e">
        <f t="shared" si="3"/>
        <v>#DIV/0!</v>
      </c>
      <c r="BI23" s="5"/>
      <c r="BJ23" s="23" t="e">
        <f>AVERAGE(BF23,BG23,BH23)</f>
        <v>#DIV/0!</v>
      </c>
    </row>
    <row r="24" spans="1:62" s="5" customFormat="1" x14ac:dyDescent="0.25">
      <c r="A24" s="12"/>
      <c r="B24" s="2"/>
      <c r="C24" s="2" t="s">
        <v>44</v>
      </c>
      <c r="D24" s="4">
        <v>192</v>
      </c>
      <c r="E24" s="4">
        <v>33</v>
      </c>
      <c r="F24" s="4">
        <v>50</v>
      </c>
      <c r="G24" s="4">
        <v>223</v>
      </c>
      <c r="H24" s="4">
        <v>276</v>
      </c>
      <c r="I24" s="4">
        <v>152</v>
      </c>
      <c r="J24" s="4">
        <v>124</v>
      </c>
      <c r="K24" s="4">
        <v>83</v>
      </c>
      <c r="L24" s="4">
        <v>51</v>
      </c>
      <c r="M24" s="4">
        <v>121</v>
      </c>
      <c r="N24" s="4">
        <v>118</v>
      </c>
      <c r="O24" s="4">
        <v>106</v>
      </c>
      <c r="P24" s="4">
        <v>280</v>
      </c>
      <c r="Q24" s="4">
        <v>640</v>
      </c>
      <c r="R24" s="4">
        <v>542</v>
      </c>
      <c r="S24" s="4">
        <v>217</v>
      </c>
      <c r="T24" s="4">
        <v>564</v>
      </c>
      <c r="U24" s="4">
        <v>674</v>
      </c>
      <c r="V24" s="4">
        <v>444</v>
      </c>
      <c r="W24" s="4">
        <v>309</v>
      </c>
      <c r="X24" s="4">
        <v>636</v>
      </c>
      <c r="Y24" s="4">
        <v>588</v>
      </c>
      <c r="Z24" s="4">
        <v>553</v>
      </c>
      <c r="AA24" s="4">
        <v>770</v>
      </c>
      <c r="AB24" s="4">
        <v>307</v>
      </c>
      <c r="AC24" s="4">
        <v>170</v>
      </c>
      <c r="AD24" s="4">
        <v>80</v>
      </c>
      <c r="AE24" s="4">
        <v>72</v>
      </c>
      <c r="AF24" s="4">
        <v>277</v>
      </c>
      <c r="AG24" s="4">
        <v>129</v>
      </c>
      <c r="AH24" s="4">
        <v>387</v>
      </c>
      <c r="AI24" s="4">
        <v>275</v>
      </c>
      <c r="AJ24" s="4">
        <v>190</v>
      </c>
      <c r="AK24" s="4">
        <v>57</v>
      </c>
      <c r="AL24" s="4">
        <v>55</v>
      </c>
      <c r="AM24" s="4">
        <v>170</v>
      </c>
      <c r="AN24" s="4">
        <v>163</v>
      </c>
      <c r="AO24" s="4">
        <v>261</v>
      </c>
      <c r="AP24" s="4">
        <v>189</v>
      </c>
      <c r="AQ24" s="4">
        <v>200</v>
      </c>
      <c r="AR24" s="4">
        <v>189</v>
      </c>
      <c r="AS24" s="4">
        <v>137</v>
      </c>
      <c r="AT24" s="4">
        <v>265</v>
      </c>
      <c r="AU24" s="4">
        <v>201</v>
      </c>
      <c r="AV24" s="4">
        <v>228</v>
      </c>
      <c r="AW24" s="4">
        <v>641</v>
      </c>
      <c r="AX24" s="4">
        <v>720</v>
      </c>
      <c r="AY24" s="4">
        <v>343</v>
      </c>
      <c r="AZ24" s="4">
        <v>580</v>
      </c>
      <c r="BA24" s="4">
        <v>760</v>
      </c>
      <c r="BB24" s="13">
        <v>340</v>
      </c>
      <c r="BC24" s="21">
        <f t="shared" ref="BC24:BH24" si="4">AW24/AX$39</f>
        <v>58.272727272727273</v>
      </c>
      <c r="BD24" s="21">
        <f t="shared" si="4"/>
        <v>720</v>
      </c>
      <c r="BE24" s="21">
        <f t="shared" si="4"/>
        <v>343</v>
      </c>
      <c r="BF24" s="21">
        <f t="shared" si="4"/>
        <v>580</v>
      </c>
      <c r="BG24" s="21">
        <f t="shared" si="4"/>
        <v>760</v>
      </c>
      <c r="BH24" s="21" t="e">
        <f t="shared" si="4"/>
        <v>#DIV/0!</v>
      </c>
      <c r="BJ24" s="23" t="e">
        <f>AVERAGE(BF24,BG24,BH24)</f>
        <v>#DIV/0!</v>
      </c>
    </row>
    <row r="25" spans="1:62" ht="30" x14ac:dyDescent="0.25">
      <c r="A25" s="12"/>
      <c r="C25" s="6" t="s">
        <v>43</v>
      </c>
      <c r="D25" s="7">
        <v>698</v>
      </c>
      <c r="E25" s="7">
        <v>786</v>
      </c>
      <c r="F25" s="7">
        <v>780</v>
      </c>
      <c r="G25" s="7">
        <v>794</v>
      </c>
      <c r="H25" s="7">
        <v>838</v>
      </c>
      <c r="I25" s="7">
        <v>852</v>
      </c>
      <c r="J25" s="7">
        <v>862</v>
      </c>
      <c r="K25" s="7">
        <v>860</v>
      </c>
      <c r="L25" s="7">
        <v>865</v>
      </c>
      <c r="M25" s="7">
        <v>869</v>
      </c>
      <c r="N25" s="7">
        <v>880</v>
      </c>
      <c r="O25" s="7">
        <v>961</v>
      </c>
      <c r="P25" s="8">
        <v>1025</v>
      </c>
      <c r="Q25" s="8">
        <v>1021</v>
      </c>
      <c r="R25" s="7">
        <v>973</v>
      </c>
      <c r="S25" s="8">
        <v>1131</v>
      </c>
      <c r="T25" s="7">
        <v>927</v>
      </c>
      <c r="U25" s="7">
        <v>948</v>
      </c>
      <c r="V25" s="8">
        <v>1036</v>
      </c>
      <c r="W25" s="8">
        <v>1006</v>
      </c>
      <c r="X25" s="8">
        <v>1104</v>
      </c>
      <c r="Y25" s="7">
        <v>971</v>
      </c>
      <c r="Z25" s="7">
        <v>980</v>
      </c>
      <c r="AA25" s="8">
        <v>1050</v>
      </c>
      <c r="AB25" s="8">
        <v>1040</v>
      </c>
      <c r="AC25" s="8">
        <v>1051</v>
      </c>
      <c r="AD25" s="8">
        <v>1070</v>
      </c>
      <c r="AE25" s="8">
        <v>1080</v>
      </c>
      <c r="AF25" s="7">
        <v>870</v>
      </c>
      <c r="AG25" s="7">
        <v>815</v>
      </c>
      <c r="AH25" s="7">
        <v>980</v>
      </c>
      <c r="AI25" s="8">
        <v>1220</v>
      </c>
      <c r="AJ25" s="8">
        <v>1250</v>
      </c>
      <c r="AK25" s="8">
        <v>1300</v>
      </c>
      <c r="AL25" s="8">
        <v>1300</v>
      </c>
      <c r="AM25" s="8">
        <v>1340</v>
      </c>
      <c r="AN25" s="8">
        <v>1133</v>
      </c>
      <c r="AO25" s="8">
        <v>1550</v>
      </c>
      <c r="AP25" s="8">
        <v>1510</v>
      </c>
      <c r="AQ25" s="8">
        <v>1520</v>
      </c>
      <c r="AR25" s="8">
        <v>1460</v>
      </c>
      <c r="AS25" s="8">
        <v>1470</v>
      </c>
      <c r="AT25" s="8">
        <v>1430</v>
      </c>
      <c r="AU25" s="8">
        <v>1550</v>
      </c>
      <c r="AV25" s="8">
        <v>1600</v>
      </c>
      <c r="AW25" s="8">
        <v>1675</v>
      </c>
      <c r="AX25" s="8">
        <v>1710</v>
      </c>
      <c r="AY25" s="8">
        <v>1795</v>
      </c>
      <c r="AZ25" s="8">
        <v>1730</v>
      </c>
      <c r="BA25" s="8">
        <v>1730</v>
      </c>
      <c r="BB25" s="25">
        <v>1760</v>
      </c>
      <c r="BC25" s="20">
        <f t="shared" ref="BC25:BH25" si="5">AW25/AW$25</f>
        <v>1</v>
      </c>
      <c r="BD25" s="20">
        <f t="shared" si="5"/>
        <v>1</v>
      </c>
      <c r="BE25" s="20">
        <f t="shared" si="5"/>
        <v>1</v>
      </c>
      <c r="BF25" s="20">
        <f t="shared" si="5"/>
        <v>1</v>
      </c>
      <c r="BG25" s="20">
        <f t="shared" si="5"/>
        <v>1</v>
      </c>
      <c r="BH25" s="20">
        <f t="shared" si="5"/>
        <v>1</v>
      </c>
      <c r="BJ25" s="23">
        <f>AVERAGE(BF25,BG25,BH25)</f>
        <v>1</v>
      </c>
    </row>
    <row r="26" spans="1:62" s="5" customFormat="1" x14ac:dyDescent="0.25">
      <c r="A26" s="14"/>
      <c r="B26" s="6" t="s">
        <v>15</v>
      </c>
      <c r="C26" s="6" t="s">
        <v>6</v>
      </c>
      <c r="D26" s="8">
        <v>3960</v>
      </c>
      <c r="E26" s="8">
        <v>5725</v>
      </c>
      <c r="F26" s="8">
        <v>5700</v>
      </c>
      <c r="G26" s="8">
        <v>8940</v>
      </c>
      <c r="H26" s="8">
        <v>11260</v>
      </c>
      <c r="I26" s="8">
        <v>6079</v>
      </c>
      <c r="J26" s="8">
        <v>6247</v>
      </c>
      <c r="K26" s="8">
        <v>7320</v>
      </c>
      <c r="L26" s="8">
        <v>5740</v>
      </c>
      <c r="M26" s="8">
        <v>7020</v>
      </c>
      <c r="N26" s="8">
        <v>4920</v>
      </c>
      <c r="O26" s="8">
        <v>5680</v>
      </c>
      <c r="P26" s="8">
        <v>6900</v>
      </c>
      <c r="Q26" s="8">
        <v>6560</v>
      </c>
      <c r="R26" s="8">
        <v>5970</v>
      </c>
      <c r="S26" s="8">
        <v>8570</v>
      </c>
      <c r="T26" s="8">
        <v>11000</v>
      </c>
      <c r="U26" s="8">
        <v>5700</v>
      </c>
      <c r="V26" s="8">
        <v>8100</v>
      </c>
      <c r="W26" s="8">
        <v>8100</v>
      </c>
      <c r="X26" s="8">
        <v>7780</v>
      </c>
      <c r="Y26" s="8">
        <v>8300</v>
      </c>
      <c r="Z26" s="8">
        <v>15000</v>
      </c>
      <c r="AA26" s="8">
        <v>12750</v>
      </c>
      <c r="AB26" s="8">
        <v>13200</v>
      </c>
      <c r="AC26" s="8">
        <v>8500</v>
      </c>
      <c r="AD26" s="8">
        <v>8930</v>
      </c>
      <c r="AE26" s="8">
        <v>9000</v>
      </c>
      <c r="AF26" s="8">
        <v>8540</v>
      </c>
      <c r="AG26" s="8">
        <v>10000</v>
      </c>
      <c r="AH26" s="8">
        <v>10992</v>
      </c>
      <c r="AI26" s="8">
        <v>9884</v>
      </c>
      <c r="AJ26" s="8">
        <v>9874</v>
      </c>
      <c r="AK26" s="8">
        <v>9659</v>
      </c>
      <c r="AL26" s="8">
        <v>11306</v>
      </c>
      <c r="AM26" s="8">
        <v>8600</v>
      </c>
      <c r="AN26" s="8">
        <v>15914</v>
      </c>
      <c r="AO26" s="8">
        <v>15740</v>
      </c>
      <c r="AP26" s="8">
        <v>13300</v>
      </c>
      <c r="AQ26" s="8">
        <v>16400</v>
      </c>
      <c r="AR26" s="8">
        <v>16300</v>
      </c>
      <c r="AS26" s="8">
        <v>15700</v>
      </c>
      <c r="AT26" s="8">
        <v>12700</v>
      </c>
      <c r="AU26" s="8">
        <v>15100</v>
      </c>
      <c r="AV26" s="8">
        <v>16900</v>
      </c>
      <c r="AW26" s="8">
        <v>13800</v>
      </c>
      <c r="AX26" s="8">
        <v>16300</v>
      </c>
      <c r="AY26" s="8">
        <v>18600</v>
      </c>
      <c r="AZ26" s="8">
        <v>11000</v>
      </c>
      <c r="BA26" s="8">
        <v>11000</v>
      </c>
      <c r="BB26" s="8">
        <v>15000</v>
      </c>
      <c r="BC26" s="15">
        <v>0</v>
      </c>
      <c r="BD26" s="21">
        <f t="shared" ref="BD26:BI29" si="6">AW26/AW571</f>
        <v>2.2289125491006822E-2</v>
      </c>
      <c r="BE26" s="21">
        <f t="shared" si="6"/>
        <v>2.7337388658841128E-2</v>
      </c>
      <c r="BF26" s="21">
        <f t="shared" si="6"/>
        <v>3.0387439858191947E-2</v>
      </c>
      <c r="BG26" s="21">
        <f t="shared" si="6"/>
        <v>1.6124540084140781E-2</v>
      </c>
      <c r="BH26" s="21">
        <f t="shared" si="6"/>
        <v>1.6086410346779136E-2</v>
      </c>
      <c r="BI26" s="21">
        <f t="shared" si="6"/>
        <v>2.3177441859387096E-2</v>
      </c>
      <c r="BJ26" s="23">
        <f t="shared" si="1"/>
        <v>1.8462797430102335E-2</v>
      </c>
    </row>
    <row r="27" spans="1:62" x14ac:dyDescent="0.25">
      <c r="A27" s="12"/>
      <c r="B27" s="2"/>
      <c r="C27" s="2" t="s">
        <v>7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134</v>
      </c>
      <c r="K27" s="4">
        <v>35</v>
      </c>
      <c r="L27" s="4">
        <v>390</v>
      </c>
      <c r="M27" s="4">
        <v>0</v>
      </c>
      <c r="N27" s="4">
        <v>0</v>
      </c>
      <c r="O27" s="4">
        <v>0</v>
      </c>
      <c r="P27" s="4">
        <v>493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13</v>
      </c>
      <c r="AE27" s="4">
        <v>0</v>
      </c>
      <c r="AF27" s="4">
        <v>0</v>
      </c>
      <c r="AG27" s="4">
        <v>0</v>
      </c>
      <c r="AH27" s="4">
        <v>13</v>
      </c>
      <c r="AI27" s="4">
        <v>1</v>
      </c>
      <c r="AJ27" s="4">
        <v>15</v>
      </c>
      <c r="AK27" s="4">
        <v>11</v>
      </c>
      <c r="AL27" s="4">
        <v>33</v>
      </c>
      <c r="AM27" s="4">
        <v>48</v>
      </c>
      <c r="AN27" s="4">
        <v>43</v>
      </c>
      <c r="AO27" s="4">
        <v>27</v>
      </c>
      <c r="AP27" s="4">
        <v>25</v>
      </c>
      <c r="AQ27" s="4">
        <v>12</v>
      </c>
      <c r="AR27" s="4">
        <v>7</v>
      </c>
      <c r="AS27" s="4">
        <v>12</v>
      </c>
      <c r="AT27" s="4">
        <v>7</v>
      </c>
      <c r="AU27" s="4">
        <v>37</v>
      </c>
      <c r="AV27" s="4">
        <v>2</v>
      </c>
      <c r="AW27" s="4">
        <v>3</v>
      </c>
      <c r="AX27" s="4">
        <v>6</v>
      </c>
      <c r="AY27" s="4">
        <v>23</v>
      </c>
      <c r="AZ27" s="4">
        <v>26</v>
      </c>
      <c r="BA27" s="4">
        <v>3</v>
      </c>
      <c r="BB27" s="4">
        <v>100</v>
      </c>
      <c r="BC27" s="13">
        <v>0</v>
      </c>
      <c r="BD27" s="20">
        <f t="shared" si="6"/>
        <v>2.6887261711643082E-5</v>
      </c>
      <c r="BE27" s="20">
        <f t="shared" si="6"/>
        <v>5.2627885762402637E-5</v>
      </c>
      <c r="BF27" s="20">
        <f t="shared" si="6"/>
        <v>2.0210008347612145E-4</v>
      </c>
      <c r="BG27" s="20">
        <f t="shared" si="6"/>
        <v>1.8987387992667947E-4</v>
      </c>
      <c r="BH27" s="20">
        <f t="shared" si="6"/>
        <v>2.2479487467685737E-5</v>
      </c>
      <c r="BI27" s="20">
        <f t="shared" si="6"/>
        <v>8.1516865839542196E-4</v>
      </c>
      <c r="BJ27" s="23">
        <f t="shared" si="1"/>
        <v>3.4250734192992901E-4</v>
      </c>
    </row>
    <row r="28" spans="1:62" s="5" customFormat="1" x14ac:dyDescent="0.25">
      <c r="A28" s="14"/>
      <c r="B28" s="6"/>
      <c r="C28" s="6" t="s">
        <v>8</v>
      </c>
      <c r="D28" s="8">
        <v>1094</v>
      </c>
      <c r="E28" s="8">
        <v>2717</v>
      </c>
      <c r="F28" s="8">
        <v>1796</v>
      </c>
      <c r="G28" s="8">
        <v>3460</v>
      </c>
      <c r="H28" s="8">
        <v>6287</v>
      </c>
      <c r="I28" s="8">
        <v>5586</v>
      </c>
      <c r="J28" s="8">
        <v>2233</v>
      </c>
      <c r="K28" s="8">
        <v>2199</v>
      </c>
      <c r="L28" s="8">
        <v>2494</v>
      </c>
      <c r="M28" s="8">
        <v>2322</v>
      </c>
      <c r="N28" s="7">
        <v>969</v>
      </c>
      <c r="O28" s="8">
        <v>1629</v>
      </c>
      <c r="P28" s="8">
        <v>3193</v>
      </c>
      <c r="Q28" s="8">
        <v>1582</v>
      </c>
      <c r="R28" s="8">
        <v>1784</v>
      </c>
      <c r="S28" s="8">
        <v>3162</v>
      </c>
      <c r="T28" s="8">
        <v>5900</v>
      </c>
      <c r="U28" s="8">
        <v>1775</v>
      </c>
      <c r="V28" s="8">
        <v>4080</v>
      </c>
      <c r="W28" s="8">
        <v>4755</v>
      </c>
      <c r="X28" s="8">
        <v>3845</v>
      </c>
      <c r="Y28" s="8">
        <v>3638</v>
      </c>
      <c r="Z28" s="8">
        <v>9870</v>
      </c>
      <c r="AA28" s="8">
        <v>7847</v>
      </c>
      <c r="AB28" s="8">
        <v>9408</v>
      </c>
      <c r="AC28" s="8">
        <v>4300</v>
      </c>
      <c r="AD28" s="8">
        <v>4435</v>
      </c>
      <c r="AE28" s="8">
        <v>3705</v>
      </c>
      <c r="AF28" s="8">
        <v>4034</v>
      </c>
      <c r="AG28" s="8">
        <v>6060</v>
      </c>
      <c r="AH28" s="8">
        <v>5592</v>
      </c>
      <c r="AI28" s="8">
        <v>5780</v>
      </c>
      <c r="AJ28" s="8">
        <v>5850</v>
      </c>
      <c r="AK28" s="8">
        <v>5009</v>
      </c>
      <c r="AL28" s="8">
        <v>7318</v>
      </c>
      <c r="AM28" s="8">
        <v>4483</v>
      </c>
      <c r="AN28" s="8">
        <v>10198</v>
      </c>
      <c r="AO28" s="8">
        <v>11151</v>
      </c>
      <c r="AP28" s="8">
        <v>8573</v>
      </c>
      <c r="AQ28" s="8">
        <v>11608</v>
      </c>
      <c r="AR28" s="8">
        <v>11325</v>
      </c>
      <c r="AS28" s="8">
        <v>10284</v>
      </c>
      <c r="AT28" s="8">
        <v>6798</v>
      </c>
      <c r="AU28" s="8">
        <v>9466</v>
      </c>
      <c r="AV28" s="8">
        <v>11898</v>
      </c>
      <c r="AW28" s="8">
        <v>9635</v>
      </c>
      <c r="AX28" s="8">
        <v>10721</v>
      </c>
      <c r="AY28" s="8">
        <v>11209</v>
      </c>
      <c r="AZ28" s="8">
        <v>6767</v>
      </c>
      <c r="BA28" s="8">
        <v>5099</v>
      </c>
      <c r="BB28" s="8">
        <v>8500</v>
      </c>
      <c r="BC28" s="15">
        <v>0</v>
      </c>
      <c r="BD28" s="21">
        <f t="shared" si="6"/>
        <v>8.2360986451254434E-2</v>
      </c>
      <c r="BE28" s="21">
        <f t="shared" si="6"/>
        <v>9.5873015873015874E-2</v>
      </c>
      <c r="BF28" s="21">
        <f t="shared" si="6"/>
        <v>9.5573063215156628E-2</v>
      </c>
      <c r="BG28" s="21">
        <f t="shared" si="6"/>
        <v>4.71042739802311E-2</v>
      </c>
      <c r="BH28" s="21">
        <f t="shared" si="6"/>
        <v>3.7547588014815794E-2</v>
      </c>
      <c r="BI28" s="21">
        <f t="shared" si="6"/>
        <v>6.8461705743534398E-2</v>
      </c>
      <c r="BJ28" s="23">
        <f t="shared" si="1"/>
        <v>5.1037855912860426E-2</v>
      </c>
    </row>
    <row r="29" spans="1:62" x14ac:dyDescent="0.25">
      <c r="A29" s="12"/>
      <c r="B29" s="2"/>
      <c r="C29" s="2" t="s">
        <v>9</v>
      </c>
      <c r="D29" s="3">
        <v>3294</v>
      </c>
      <c r="E29" s="3">
        <v>3529</v>
      </c>
      <c r="F29" s="3">
        <v>3643</v>
      </c>
      <c r="G29" s="3">
        <v>3771</v>
      </c>
      <c r="H29" s="3">
        <v>3846</v>
      </c>
      <c r="I29" s="3">
        <v>3658</v>
      </c>
      <c r="J29" s="3">
        <v>4078</v>
      </c>
      <c r="K29" s="3">
        <v>4393</v>
      </c>
      <c r="L29" s="3">
        <v>3794</v>
      </c>
      <c r="M29" s="3">
        <v>4768</v>
      </c>
      <c r="N29" s="3">
        <v>4056</v>
      </c>
      <c r="O29" s="3">
        <v>4356</v>
      </c>
      <c r="P29" s="3">
        <v>4301</v>
      </c>
      <c r="Q29" s="3">
        <v>4221</v>
      </c>
      <c r="R29" s="3">
        <v>4498</v>
      </c>
      <c r="S29" s="3">
        <v>5380</v>
      </c>
      <c r="T29" s="3">
        <v>4242</v>
      </c>
      <c r="U29" s="3">
        <v>4349</v>
      </c>
      <c r="V29" s="3">
        <v>4093</v>
      </c>
      <c r="W29" s="3">
        <v>4020</v>
      </c>
      <c r="X29" s="3">
        <v>3950</v>
      </c>
      <c r="Y29" s="3">
        <v>4300</v>
      </c>
      <c r="Z29" s="3">
        <v>4849</v>
      </c>
      <c r="AA29" s="3">
        <v>4700</v>
      </c>
      <c r="AB29" s="3">
        <v>4600</v>
      </c>
      <c r="AC29" s="3">
        <v>4400</v>
      </c>
      <c r="AD29" s="3">
        <v>4539</v>
      </c>
      <c r="AE29" s="3">
        <v>4500</v>
      </c>
      <c r="AF29" s="3">
        <v>4700</v>
      </c>
      <c r="AG29" s="3">
        <v>4540</v>
      </c>
      <c r="AH29" s="3">
        <v>4530</v>
      </c>
      <c r="AI29" s="3">
        <v>4578</v>
      </c>
      <c r="AJ29" s="3">
        <v>4265</v>
      </c>
      <c r="AK29" s="3">
        <v>4298</v>
      </c>
      <c r="AL29" s="3">
        <v>4314</v>
      </c>
      <c r="AM29" s="3">
        <v>4165</v>
      </c>
      <c r="AN29" s="3">
        <v>4895</v>
      </c>
      <c r="AO29" s="3">
        <v>4796</v>
      </c>
      <c r="AP29" s="3">
        <v>5150</v>
      </c>
      <c r="AQ29" s="3">
        <v>5050</v>
      </c>
      <c r="AR29" s="3">
        <v>5100</v>
      </c>
      <c r="AS29" s="3">
        <v>5150</v>
      </c>
      <c r="AT29" s="3">
        <v>5300</v>
      </c>
      <c r="AU29" s="3">
        <v>5350</v>
      </c>
      <c r="AV29" s="3">
        <v>5350</v>
      </c>
      <c r="AW29" s="3">
        <v>5075</v>
      </c>
      <c r="AX29" s="3">
        <v>5350</v>
      </c>
      <c r="AY29" s="3">
        <v>5650</v>
      </c>
      <c r="AZ29" s="3">
        <v>5325</v>
      </c>
      <c r="BA29" s="3">
        <v>5825</v>
      </c>
      <c r="BB29" s="3">
        <v>5875</v>
      </c>
      <c r="BC29" s="13">
        <v>0</v>
      </c>
      <c r="BD29" s="20">
        <f t="shared" si="6"/>
        <v>8.2293783130342E-3</v>
      </c>
      <c r="BE29" s="20">
        <f t="shared" si="6"/>
        <v>8.6528695179623871E-3</v>
      </c>
      <c r="BF29" s="20">
        <f t="shared" si="6"/>
        <v>9.2127576310983561E-3</v>
      </c>
      <c r="BG29" s="20">
        <f t="shared" si="6"/>
        <v>8.3890634969397641E-3</v>
      </c>
      <c r="BH29" s="20">
        <f t="shared" si="6"/>
        <v>8.9586579084571273E-3</v>
      </c>
      <c r="BI29" s="20">
        <f t="shared" si="6"/>
        <v>8.8910883297466312E-3</v>
      </c>
      <c r="BJ29" s="23">
        <f t="shared" si="1"/>
        <v>8.7462699117145087E-3</v>
      </c>
    </row>
    <row r="30" spans="1:62" s="5" customFormat="1" x14ac:dyDescent="0.25">
      <c r="A30" s="14" t="s">
        <v>16</v>
      </c>
      <c r="B30" s="6" t="s">
        <v>5</v>
      </c>
      <c r="C30" s="6" t="s">
        <v>6</v>
      </c>
      <c r="D30" s="7">
        <v>159</v>
      </c>
      <c r="E30" s="7">
        <v>186</v>
      </c>
      <c r="F30" s="7">
        <v>189</v>
      </c>
      <c r="G30" s="7">
        <v>171</v>
      </c>
      <c r="H30" s="7">
        <v>175</v>
      </c>
      <c r="I30" s="7">
        <v>125</v>
      </c>
      <c r="J30" s="7">
        <v>190</v>
      </c>
      <c r="K30" s="7">
        <v>181</v>
      </c>
      <c r="L30" s="7">
        <v>149</v>
      </c>
      <c r="M30" s="7">
        <v>192</v>
      </c>
      <c r="N30" s="7">
        <v>212</v>
      </c>
      <c r="O30" s="7">
        <v>214</v>
      </c>
      <c r="P30" s="7">
        <v>139</v>
      </c>
      <c r="Q30" s="7">
        <v>106</v>
      </c>
      <c r="R30" s="7">
        <v>133</v>
      </c>
      <c r="S30" s="7">
        <v>131</v>
      </c>
      <c r="T30" s="7">
        <v>144</v>
      </c>
      <c r="U30" s="7">
        <v>130</v>
      </c>
      <c r="V30" s="7">
        <v>169</v>
      </c>
      <c r="W30" s="7">
        <v>151</v>
      </c>
      <c r="X30" s="7">
        <v>173</v>
      </c>
      <c r="Y30" s="7">
        <v>212</v>
      </c>
      <c r="Z30" s="7">
        <v>139</v>
      </c>
      <c r="AA30" s="7">
        <v>238</v>
      </c>
      <c r="AB30" s="7">
        <v>291</v>
      </c>
      <c r="AC30" s="7">
        <v>228</v>
      </c>
      <c r="AD30" s="7">
        <v>158</v>
      </c>
      <c r="AE30" s="7">
        <v>221</v>
      </c>
      <c r="AF30" s="7">
        <v>226</v>
      </c>
      <c r="AG30" s="7">
        <v>227</v>
      </c>
      <c r="AH30" s="7">
        <v>205</v>
      </c>
      <c r="AI30" s="7">
        <v>280</v>
      </c>
      <c r="AJ30" s="7">
        <v>208</v>
      </c>
      <c r="AK30" s="7">
        <v>202</v>
      </c>
      <c r="AL30" s="7">
        <v>242</v>
      </c>
      <c r="AM30" s="7">
        <v>325</v>
      </c>
      <c r="AN30" s="7">
        <v>398</v>
      </c>
      <c r="AO30" s="7">
        <v>271</v>
      </c>
      <c r="AP30" s="7">
        <v>338</v>
      </c>
      <c r="AQ30" s="7">
        <v>406</v>
      </c>
      <c r="AR30" s="7">
        <v>345</v>
      </c>
      <c r="AS30" s="7">
        <v>457</v>
      </c>
      <c r="AT30" s="7">
        <v>316</v>
      </c>
      <c r="AU30" s="7">
        <v>392</v>
      </c>
      <c r="AV30" s="7">
        <v>312</v>
      </c>
      <c r="AW30" s="7">
        <v>380</v>
      </c>
      <c r="AX30" s="7">
        <v>240</v>
      </c>
      <c r="AY30" s="7">
        <v>387</v>
      </c>
      <c r="AZ30" s="7">
        <v>368</v>
      </c>
      <c r="BA30" s="7">
        <v>350</v>
      </c>
      <c r="BB30" s="7">
        <v>350</v>
      </c>
      <c r="BC30" s="15">
        <v>0</v>
      </c>
      <c r="BD30" s="21">
        <f t="shared" ref="BD30:BI49" si="7">AW30/AW547</f>
        <v>5.4327779509277178E-4</v>
      </c>
      <c r="BE30" s="21">
        <f t="shared" si="7"/>
        <v>3.3633653834026328E-4</v>
      </c>
      <c r="BF30" s="21">
        <f t="shared" si="7"/>
        <v>4.8711597136211221E-4</v>
      </c>
      <c r="BG30" s="21">
        <f t="shared" si="7"/>
        <v>4.6067719547735169E-4</v>
      </c>
      <c r="BH30" s="21">
        <f t="shared" si="7"/>
        <v>4.3080793720543507E-4</v>
      </c>
      <c r="BI30" s="21">
        <f t="shared" si="7"/>
        <v>4.2947894387446455E-4</v>
      </c>
      <c r="BJ30" s="23">
        <f t="shared" si="1"/>
        <v>4.4032135885241716E-4</v>
      </c>
    </row>
    <row r="31" spans="1:62" x14ac:dyDescent="0.25">
      <c r="A31" s="12"/>
      <c r="B31" s="2"/>
      <c r="C31" s="2" t="s">
        <v>7</v>
      </c>
      <c r="D31" s="4">
        <v>0</v>
      </c>
      <c r="E31" s="4">
        <v>0</v>
      </c>
      <c r="F31" s="4">
        <v>0</v>
      </c>
      <c r="G31" s="4">
        <v>0</v>
      </c>
      <c r="H31" s="4">
        <v>2</v>
      </c>
      <c r="I31" s="4">
        <v>1</v>
      </c>
      <c r="J31" s="4">
        <v>6</v>
      </c>
      <c r="K31" s="4">
        <v>1</v>
      </c>
      <c r="L31" s="4">
        <v>1</v>
      </c>
      <c r="M31" s="4">
        <v>0</v>
      </c>
      <c r="N31" s="4">
        <v>1</v>
      </c>
      <c r="O31" s="4">
        <v>1</v>
      </c>
      <c r="P31" s="4">
        <v>1</v>
      </c>
      <c r="Q31" s="4">
        <v>1</v>
      </c>
      <c r="R31" s="4">
        <v>1</v>
      </c>
      <c r="S31" s="4">
        <v>2</v>
      </c>
      <c r="T31" s="4">
        <v>2</v>
      </c>
      <c r="U31" s="4">
        <v>2</v>
      </c>
      <c r="V31" s="4">
        <v>4</v>
      </c>
      <c r="W31" s="4">
        <v>3</v>
      </c>
      <c r="X31" s="4">
        <v>7</v>
      </c>
      <c r="Y31" s="4">
        <v>14</v>
      </c>
      <c r="Z31" s="4">
        <v>12</v>
      </c>
      <c r="AA31" s="4">
        <v>12</v>
      </c>
      <c r="AB31" s="4">
        <v>7</v>
      </c>
      <c r="AC31" s="4">
        <v>10</v>
      </c>
      <c r="AD31" s="4">
        <v>12</v>
      </c>
      <c r="AE31" s="4">
        <v>9</v>
      </c>
      <c r="AF31" s="4">
        <v>5</v>
      </c>
      <c r="AG31" s="4">
        <v>0</v>
      </c>
      <c r="AH31" s="4">
        <v>3</v>
      </c>
      <c r="AI31" s="4">
        <v>0</v>
      </c>
      <c r="AJ31" s="4">
        <v>0</v>
      </c>
      <c r="AK31" s="4">
        <v>22</v>
      </c>
      <c r="AL31" s="4">
        <v>75</v>
      </c>
      <c r="AM31" s="4">
        <v>0</v>
      </c>
      <c r="AN31" s="4">
        <v>0</v>
      </c>
      <c r="AO31" s="4">
        <v>1</v>
      </c>
      <c r="AP31" s="4">
        <v>0</v>
      </c>
      <c r="AQ31" s="4">
        <v>1</v>
      </c>
      <c r="AR31" s="4">
        <v>0</v>
      </c>
      <c r="AS31" s="4">
        <v>48</v>
      </c>
      <c r="AT31" s="4">
        <v>0</v>
      </c>
      <c r="AU31" s="4">
        <v>0</v>
      </c>
      <c r="AV31" s="4">
        <v>22</v>
      </c>
      <c r="AW31" s="4">
        <v>0</v>
      </c>
      <c r="AX31" s="4">
        <v>24</v>
      </c>
      <c r="AY31" s="4">
        <v>26</v>
      </c>
      <c r="AZ31" s="4">
        <v>0</v>
      </c>
      <c r="BA31" s="4">
        <v>0</v>
      </c>
      <c r="BB31" s="4">
        <v>0</v>
      </c>
      <c r="BC31" s="13">
        <v>0</v>
      </c>
      <c r="BD31" s="20">
        <f t="shared" si="7"/>
        <v>0</v>
      </c>
      <c r="BE31" s="20">
        <f t="shared" si="7"/>
        <v>2.6497670413142845E-4</v>
      </c>
      <c r="BF31" s="20">
        <f t="shared" si="7"/>
        <v>2.6391384228102764E-4</v>
      </c>
      <c r="BG31" s="20">
        <f t="shared" si="7"/>
        <v>0</v>
      </c>
      <c r="BH31" s="20">
        <f t="shared" si="7"/>
        <v>0</v>
      </c>
      <c r="BI31" s="20">
        <f t="shared" si="7"/>
        <v>0</v>
      </c>
      <c r="BJ31" s="23">
        <f t="shared" si="1"/>
        <v>0</v>
      </c>
    </row>
    <row r="32" spans="1:62" s="5" customFormat="1" x14ac:dyDescent="0.25">
      <c r="A32" s="14"/>
      <c r="B32" s="6"/>
      <c r="C32" s="6" t="s">
        <v>8</v>
      </c>
      <c r="D32" s="7">
        <v>0</v>
      </c>
      <c r="E32" s="7">
        <v>10</v>
      </c>
      <c r="F32" s="7">
        <v>0</v>
      </c>
      <c r="G32" s="7">
        <v>1</v>
      </c>
      <c r="H32" s="7">
        <v>0</v>
      </c>
      <c r="I32" s="7">
        <v>2</v>
      </c>
      <c r="J32" s="7">
        <v>3</v>
      </c>
      <c r="K32" s="7">
        <v>0</v>
      </c>
      <c r="L32" s="7">
        <v>1</v>
      </c>
      <c r="M32" s="7">
        <v>22</v>
      </c>
      <c r="N32" s="7">
        <v>41</v>
      </c>
      <c r="O32" s="7">
        <v>9</v>
      </c>
      <c r="P32" s="7">
        <v>3</v>
      </c>
      <c r="Q32" s="7">
        <v>1</v>
      </c>
      <c r="R32" s="7">
        <v>11</v>
      </c>
      <c r="S32" s="7">
        <v>34</v>
      </c>
      <c r="T32" s="7">
        <v>11</v>
      </c>
      <c r="U32" s="7">
        <v>17</v>
      </c>
      <c r="V32" s="7">
        <v>8</v>
      </c>
      <c r="W32" s="7">
        <v>27</v>
      </c>
      <c r="X32" s="7">
        <v>11</v>
      </c>
      <c r="Y32" s="7">
        <v>20</v>
      </c>
      <c r="Z32" s="7">
        <v>1</v>
      </c>
      <c r="AA32" s="7">
        <v>90</v>
      </c>
      <c r="AB32" s="7">
        <v>100</v>
      </c>
      <c r="AC32" s="7">
        <v>70</v>
      </c>
      <c r="AD32" s="7">
        <v>55</v>
      </c>
      <c r="AE32" s="7">
        <v>40</v>
      </c>
      <c r="AF32" s="7">
        <v>20</v>
      </c>
      <c r="AG32" s="7">
        <v>36</v>
      </c>
      <c r="AH32" s="7">
        <v>20</v>
      </c>
      <c r="AI32" s="7">
        <v>15</v>
      </c>
      <c r="AJ32" s="7">
        <v>21</v>
      </c>
      <c r="AK32" s="7">
        <v>22</v>
      </c>
      <c r="AL32" s="7">
        <v>4</v>
      </c>
      <c r="AM32" s="7">
        <v>9</v>
      </c>
      <c r="AN32" s="7">
        <v>13</v>
      </c>
      <c r="AO32" s="7">
        <v>19</v>
      </c>
      <c r="AP32" s="7">
        <v>37</v>
      </c>
      <c r="AQ32" s="7">
        <v>51</v>
      </c>
      <c r="AR32" s="7">
        <v>44</v>
      </c>
      <c r="AS32" s="7">
        <v>118</v>
      </c>
      <c r="AT32" s="7">
        <v>18</v>
      </c>
      <c r="AU32" s="7">
        <v>9</v>
      </c>
      <c r="AV32" s="7">
        <v>4</v>
      </c>
      <c r="AW32" s="7">
        <v>3</v>
      </c>
      <c r="AX32" s="7">
        <v>1</v>
      </c>
      <c r="AY32" s="7">
        <v>67</v>
      </c>
      <c r="AZ32" s="7">
        <v>13</v>
      </c>
      <c r="BA32" s="7">
        <v>10</v>
      </c>
      <c r="BB32" s="7">
        <v>10</v>
      </c>
      <c r="BC32" s="15">
        <v>0</v>
      </c>
      <c r="BD32" s="21">
        <f t="shared" si="7"/>
        <v>3.7004144464179985E-5</v>
      </c>
      <c r="BE32" s="21">
        <f t="shared" si="7"/>
        <v>1.0631850898922994E-5</v>
      </c>
      <c r="BF32" s="21">
        <f t="shared" si="7"/>
        <v>6.7929272447076004E-4</v>
      </c>
      <c r="BG32" s="21">
        <f t="shared" si="7"/>
        <v>1.5390625924917422E-4</v>
      </c>
      <c r="BH32" s="21">
        <f t="shared" si="7"/>
        <v>1.0311085447965108E-4</v>
      </c>
      <c r="BI32" s="21">
        <f t="shared" si="7"/>
        <v>1.1013579743824135E-4</v>
      </c>
      <c r="BJ32" s="23">
        <f t="shared" si="1"/>
        <v>1.2238430372235555E-4</v>
      </c>
    </row>
    <row r="33" spans="1:62" x14ac:dyDescent="0.25">
      <c r="A33" s="12"/>
      <c r="B33" s="2"/>
      <c r="C33" s="2" t="s">
        <v>9</v>
      </c>
      <c r="D33" s="4">
        <v>159</v>
      </c>
      <c r="E33" s="4">
        <v>171</v>
      </c>
      <c r="F33" s="4">
        <v>189</v>
      </c>
      <c r="G33" s="4">
        <v>175</v>
      </c>
      <c r="H33" s="4">
        <v>177</v>
      </c>
      <c r="I33" s="4">
        <v>139</v>
      </c>
      <c r="J33" s="4">
        <v>173</v>
      </c>
      <c r="K33" s="4">
        <v>182</v>
      </c>
      <c r="L33" s="4">
        <v>154</v>
      </c>
      <c r="M33" s="4">
        <v>160</v>
      </c>
      <c r="N33" s="4">
        <v>167</v>
      </c>
      <c r="O33" s="4">
        <v>221</v>
      </c>
      <c r="P33" s="4">
        <v>154</v>
      </c>
      <c r="Q33" s="4">
        <v>116</v>
      </c>
      <c r="R33" s="4">
        <v>107</v>
      </c>
      <c r="S33" s="4">
        <v>115</v>
      </c>
      <c r="T33" s="4">
        <v>118</v>
      </c>
      <c r="U33" s="4">
        <v>112</v>
      </c>
      <c r="V33" s="4">
        <v>119</v>
      </c>
      <c r="W33" s="4">
        <v>130</v>
      </c>
      <c r="X33" s="4">
        <v>161</v>
      </c>
      <c r="Y33" s="4">
        <v>265</v>
      </c>
      <c r="Z33" s="4">
        <v>170</v>
      </c>
      <c r="AA33" s="4">
        <v>150</v>
      </c>
      <c r="AB33" s="4">
        <v>203</v>
      </c>
      <c r="AC33" s="4">
        <v>168</v>
      </c>
      <c r="AD33" s="4">
        <v>119</v>
      </c>
      <c r="AE33" s="4">
        <v>189</v>
      </c>
      <c r="AF33" s="4">
        <v>199</v>
      </c>
      <c r="AG33" s="4">
        <v>191</v>
      </c>
      <c r="AH33" s="4">
        <v>188</v>
      </c>
      <c r="AI33" s="4">
        <v>264</v>
      </c>
      <c r="AJ33" s="4">
        <v>187</v>
      </c>
      <c r="AK33" s="4">
        <v>193</v>
      </c>
      <c r="AL33" s="4">
        <v>329</v>
      </c>
      <c r="AM33" s="4">
        <v>312</v>
      </c>
      <c r="AN33" s="4">
        <v>385</v>
      </c>
      <c r="AO33" s="4">
        <v>263</v>
      </c>
      <c r="AP33" s="4">
        <v>301</v>
      </c>
      <c r="AQ33" s="4">
        <v>355</v>
      </c>
      <c r="AR33" s="4">
        <v>300</v>
      </c>
      <c r="AS33" s="4">
        <v>390</v>
      </c>
      <c r="AT33" s="4">
        <v>290</v>
      </c>
      <c r="AU33" s="4">
        <v>380</v>
      </c>
      <c r="AV33" s="4">
        <v>335</v>
      </c>
      <c r="AW33" s="4">
        <v>370</v>
      </c>
      <c r="AX33" s="4">
        <v>265</v>
      </c>
      <c r="AY33" s="4">
        <v>320</v>
      </c>
      <c r="AZ33" s="4">
        <v>350</v>
      </c>
      <c r="BA33" s="4">
        <v>350</v>
      </c>
      <c r="BB33" s="4">
        <v>355</v>
      </c>
      <c r="BC33" s="13">
        <v>0</v>
      </c>
      <c r="BD33" s="20">
        <f t="shared" si="7"/>
        <v>5.2409936357339447E-4</v>
      </c>
      <c r="BE33" s="20">
        <f t="shared" si="7"/>
        <v>3.6566249765424057E-4</v>
      </c>
      <c r="BF33" s="20">
        <f t="shared" si="7"/>
        <v>4.1437626659933055E-4</v>
      </c>
      <c r="BG33" s="20">
        <f t="shared" si="7"/>
        <v>4.4863454870568934E-4</v>
      </c>
      <c r="BH33" s="20">
        <f t="shared" si="7"/>
        <v>4.3287205662461212E-4</v>
      </c>
      <c r="BI33" s="20">
        <f t="shared" si="7"/>
        <v>4.2301033217631069E-4</v>
      </c>
      <c r="BJ33" s="23">
        <f t="shared" si="1"/>
        <v>4.3483897916887071E-4</v>
      </c>
    </row>
    <row r="34" spans="1:62" s="5" customFormat="1" x14ac:dyDescent="0.25">
      <c r="A34" s="14"/>
      <c r="B34" s="6" t="s">
        <v>10</v>
      </c>
      <c r="C34" s="6" t="s">
        <v>6</v>
      </c>
      <c r="D34" s="7">
        <v>8</v>
      </c>
      <c r="E34" s="7">
        <v>8</v>
      </c>
      <c r="F34" s="7">
        <v>10</v>
      </c>
      <c r="G34" s="7">
        <v>16</v>
      </c>
      <c r="H34" s="7">
        <v>45</v>
      </c>
      <c r="I34" s="7">
        <v>91</v>
      </c>
      <c r="J34" s="7">
        <v>85</v>
      </c>
      <c r="K34" s="7">
        <v>150</v>
      </c>
      <c r="L34" s="7">
        <v>153</v>
      </c>
      <c r="M34" s="7">
        <v>127</v>
      </c>
      <c r="N34" s="7">
        <v>90</v>
      </c>
      <c r="O34" s="7">
        <v>200</v>
      </c>
      <c r="P34" s="7">
        <v>146</v>
      </c>
      <c r="Q34" s="7">
        <v>140</v>
      </c>
      <c r="R34" s="7">
        <v>153</v>
      </c>
      <c r="S34" s="7">
        <v>115</v>
      </c>
      <c r="T34" s="7">
        <v>128</v>
      </c>
      <c r="U34" s="7">
        <v>204</v>
      </c>
      <c r="V34" s="7">
        <v>244</v>
      </c>
      <c r="W34" s="7">
        <v>382</v>
      </c>
      <c r="X34" s="7">
        <v>455</v>
      </c>
      <c r="Y34" s="7">
        <v>615</v>
      </c>
      <c r="Z34" s="7">
        <v>464</v>
      </c>
      <c r="AA34" s="7">
        <v>648</v>
      </c>
      <c r="AB34" s="8">
        <v>1144</v>
      </c>
      <c r="AC34" s="8">
        <v>1185</v>
      </c>
      <c r="AD34" s="7">
        <v>983</v>
      </c>
      <c r="AE34" s="8">
        <v>1275</v>
      </c>
      <c r="AF34" s="8">
        <v>1226</v>
      </c>
      <c r="AG34" s="8">
        <v>1401</v>
      </c>
      <c r="AH34" s="8">
        <v>1989</v>
      </c>
      <c r="AI34" s="8">
        <v>2306</v>
      </c>
      <c r="AJ34" s="8">
        <v>1713</v>
      </c>
      <c r="AK34" s="8">
        <v>1511</v>
      </c>
      <c r="AL34" s="8">
        <v>1539</v>
      </c>
      <c r="AM34" s="8">
        <v>1970</v>
      </c>
      <c r="AN34" s="8">
        <v>2792</v>
      </c>
      <c r="AO34" s="8">
        <v>3166</v>
      </c>
      <c r="AP34" s="8">
        <v>3327</v>
      </c>
      <c r="AQ34" s="8">
        <v>3458</v>
      </c>
      <c r="AR34" s="8">
        <v>3700</v>
      </c>
      <c r="AS34" s="8">
        <v>3340</v>
      </c>
      <c r="AT34" s="8">
        <v>1680</v>
      </c>
      <c r="AU34" s="8">
        <v>1700</v>
      </c>
      <c r="AV34" s="8">
        <v>3000</v>
      </c>
      <c r="AW34" s="8">
        <v>2800</v>
      </c>
      <c r="AX34" s="8">
        <v>1350</v>
      </c>
      <c r="AY34" s="7">
        <v>640</v>
      </c>
      <c r="AZ34" s="8">
        <v>1500</v>
      </c>
      <c r="BA34" s="8">
        <v>1775</v>
      </c>
      <c r="BB34" s="8">
        <v>4500</v>
      </c>
      <c r="BC34" s="15">
        <v>0</v>
      </c>
      <c r="BD34" s="21">
        <f t="shared" si="7"/>
        <v>2.4048165039121213E-2</v>
      </c>
      <c r="BE34" s="21">
        <f t="shared" si="7"/>
        <v>1.1082651955472367E-2</v>
      </c>
      <c r="BF34" s="21">
        <f t="shared" si="7"/>
        <v>5.347459538948723E-3</v>
      </c>
      <c r="BG34" s="21">
        <f t="shared" si="7"/>
        <v>1.4005340703254841E-2</v>
      </c>
      <c r="BH34" s="21">
        <f t="shared" si="7"/>
        <v>1.7514603725923589E-2</v>
      </c>
      <c r="BI34" s="21">
        <f t="shared" si="7"/>
        <v>3.9289986292160337E-2</v>
      </c>
      <c r="BJ34" s="23">
        <f t="shared" si="1"/>
        <v>2.3603310240446252E-2</v>
      </c>
    </row>
    <row r="35" spans="1:62" x14ac:dyDescent="0.25">
      <c r="A35" s="12"/>
      <c r="B35" s="2"/>
      <c r="C35" s="2" t="s">
        <v>7</v>
      </c>
      <c r="D35" s="4">
        <v>80</v>
      </c>
      <c r="E35" s="4">
        <v>83</v>
      </c>
      <c r="F35" s="4">
        <v>93</v>
      </c>
      <c r="G35" s="4">
        <v>116</v>
      </c>
      <c r="H35" s="4">
        <v>112</v>
      </c>
      <c r="I35" s="4">
        <v>65</v>
      </c>
      <c r="J35" s="4">
        <v>40</v>
      </c>
      <c r="K35" s="4">
        <v>57</v>
      </c>
      <c r="L35" s="4">
        <v>24</v>
      </c>
      <c r="M35" s="4">
        <v>20</v>
      </c>
      <c r="N35" s="4">
        <v>38</v>
      </c>
      <c r="O35" s="4">
        <v>34</v>
      </c>
      <c r="P35" s="4">
        <v>17</v>
      </c>
      <c r="Q35" s="4">
        <v>46</v>
      </c>
      <c r="R35" s="4">
        <v>12</v>
      </c>
      <c r="S35" s="4">
        <v>18</v>
      </c>
      <c r="T35" s="4">
        <v>23</v>
      </c>
      <c r="U35" s="4">
        <v>17</v>
      </c>
      <c r="V35" s="4">
        <v>6</v>
      </c>
      <c r="W35" s="4">
        <v>4</v>
      </c>
      <c r="X35" s="4">
        <v>8</v>
      </c>
      <c r="Y35" s="4">
        <v>4</v>
      </c>
      <c r="Z35" s="4">
        <v>0</v>
      </c>
      <c r="AA35" s="4">
        <v>5</v>
      </c>
      <c r="AB35" s="4">
        <v>12</v>
      </c>
      <c r="AC35" s="4">
        <v>2</v>
      </c>
      <c r="AD35" s="4">
        <v>1</v>
      </c>
      <c r="AE35" s="4">
        <v>4</v>
      </c>
      <c r="AF35" s="4">
        <v>1</v>
      </c>
      <c r="AG35" s="4">
        <v>1</v>
      </c>
      <c r="AH35" s="4">
        <v>1</v>
      </c>
      <c r="AI35" s="4">
        <v>2</v>
      </c>
      <c r="AJ35" s="4">
        <v>0</v>
      </c>
      <c r="AK35" s="4">
        <v>0</v>
      </c>
      <c r="AL35" s="4">
        <v>0</v>
      </c>
      <c r="AM35" s="4">
        <v>3</v>
      </c>
      <c r="AN35" s="4">
        <v>1</v>
      </c>
      <c r="AO35" s="4">
        <v>1</v>
      </c>
      <c r="AP35" s="4">
        <v>0</v>
      </c>
      <c r="AQ35" s="4">
        <v>0</v>
      </c>
      <c r="AR35" s="4">
        <v>0</v>
      </c>
      <c r="AS35" s="4">
        <v>2</v>
      </c>
      <c r="AT35" s="4">
        <v>0</v>
      </c>
      <c r="AU35" s="4">
        <v>0</v>
      </c>
      <c r="AV35" s="4">
        <v>1</v>
      </c>
      <c r="AW35" s="4">
        <v>0</v>
      </c>
      <c r="AX35" s="4">
        <v>0</v>
      </c>
      <c r="AY35" s="4">
        <v>0</v>
      </c>
      <c r="AZ35" s="4">
        <v>0</v>
      </c>
      <c r="BA35" s="4">
        <v>0</v>
      </c>
      <c r="BB35" s="4">
        <v>0</v>
      </c>
      <c r="BC35" s="13">
        <v>0</v>
      </c>
      <c r="BD35" s="20">
        <f t="shared" si="7"/>
        <v>0</v>
      </c>
      <c r="BE35" s="20">
        <f t="shared" si="7"/>
        <v>0</v>
      </c>
      <c r="BF35" s="20">
        <f t="shared" si="7"/>
        <v>0</v>
      </c>
      <c r="BG35" s="20">
        <f t="shared" si="7"/>
        <v>0</v>
      </c>
      <c r="BH35" s="20">
        <f t="shared" si="7"/>
        <v>0</v>
      </c>
      <c r="BI35" s="20">
        <f t="shared" si="7"/>
        <v>0</v>
      </c>
      <c r="BJ35" s="23">
        <f t="shared" si="1"/>
        <v>0</v>
      </c>
    </row>
    <row r="36" spans="1:62" s="5" customFormat="1" x14ac:dyDescent="0.25">
      <c r="A36" s="14"/>
      <c r="B36" s="6"/>
      <c r="C36" s="6" t="s">
        <v>8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1</v>
      </c>
      <c r="L36" s="7">
        <v>19</v>
      </c>
      <c r="M36" s="7">
        <v>66</v>
      </c>
      <c r="N36" s="7">
        <v>19</v>
      </c>
      <c r="O36" s="7">
        <v>15</v>
      </c>
      <c r="P36" s="7">
        <v>100</v>
      </c>
      <c r="Q36" s="7">
        <v>14</v>
      </c>
      <c r="R36" s="7">
        <v>44</v>
      </c>
      <c r="S36" s="7">
        <v>69</v>
      </c>
      <c r="T36" s="7">
        <v>24</v>
      </c>
      <c r="U36" s="7">
        <v>48</v>
      </c>
      <c r="V36" s="7">
        <v>109</v>
      </c>
      <c r="W36" s="7">
        <v>279</v>
      </c>
      <c r="X36" s="7">
        <v>243</v>
      </c>
      <c r="Y36" s="7">
        <v>371</v>
      </c>
      <c r="Z36" s="7">
        <v>617</v>
      </c>
      <c r="AA36" s="7">
        <v>374</v>
      </c>
      <c r="AB36" s="7">
        <v>690</v>
      </c>
      <c r="AC36" s="8">
        <v>1138</v>
      </c>
      <c r="AD36" s="8">
        <v>1180</v>
      </c>
      <c r="AE36" s="7">
        <v>818</v>
      </c>
      <c r="AF36" s="8">
        <v>1319</v>
      </c>
      <c r="AG36" s="8">
        <v>1319</v>
      </c>
      <c r="AH36" s="8">
        <v>1372</v>
      </c>
      <c r="AI36" s="8">
        <v>2111</v>
      </c>
      <c r="AJ36" s="8">
        <v>1730</v>
      </c>
      <c r="AK36" s="8">
        <v>1689</v>
      </c>
      <c r="AL36" s="8">
        <v>1359</v>
      </c>
      <c r="AM36" s="8">
        <v>1463</v>
      </c>
      <c r="AN36" s="8">
        <v>2383</v>
      </c>
      <c r="AO36" s="8">
        <v>2712</v>
      </c>
      <c r="AP36" s="8">
        <v>3040</v>
      </c>
      <c r="AQ36" s="8">
        <v>3211</v>
      </c>
      <c r="AR36" s="8">
        <v>3903</v>
      </c>
      <c r="AS36" s="8">
        <v>3130</v>
      </c>
      <c r="AT36" s="8">
        <v>2655</v>
      </c>
      <c r="AU36" s="8">
        <v>2157</v>
      </c>
      <c r="AV36" s="8">
        <v>1998</v>
      </c>
      <c r="AW36" s="8">
        <v>2884</v>
      </c>
      <c r="AX36" s="8">
        <v>2129</v>
      </c>
      <c r="AY36" s="8">
        <v>1219</v>
      </c>
      <c r="AZ36" s="8">
        <v>1201</v>
      </c>
      <c r="BA36" s="8">
        <v>2115</v>
      </c>
      <c r="BB36" s="8">
        <v>3000</v>
      </c>
      <c r="BC36" s="15">
        <v>0</v>
      </c>
      <c r="BD36" s="21">
        <f t="shared" si="7"/>
        <v>6.4297498550853885E-2</v>
      </c>
      <c r="BE36" s="21">
        <f t="shared" si="7"/>
        <v>5.6809691535916321E-2</v>
      </c>
      <c r="BF36" s="21">
        <f t="shared" si="7"/>
        <v>3.1252403538007949E-2</v>
      </c>
      <c r="BG36" s="21">
        <f t="shared" si="7"/>
        <v>3.9946781972393146E-2</v>
      </c>
      <c r="BH36" s="21">
        <f t="shared" si="7"/>
        <v>5.9443507588532882E-2</v>
      </c>
      <c r="BI36" s="21">
        <f t="shared" si="7"/>
        <v>7.8678206136900075E-2</v>
      </c>
      <c r="BJ36" s="23">
        <f t="shared" si="1"/>
        <v>5.9356165232608706E-2</v>
      </c>
    </row>
    <row r="37" spans="1:62" x14ac:dyDescent="0.25">
      <c r="A37" s="12"/>
      <c r="B37" s="2"/>
      <c r="C37" s="2" t="s">
        <v>9</v>
      </c>
      <c r="D37" s="4">
        <v>88</v>
      </c>
      <c r="E37" s="4">
        <v>94</v>
      </c>
      <c r="F37" s="4">
        <v>97</v>
      </c>
      <c r="G37" s="4">
        <v>122</v>
      </c>
      <c r="H37" s="4">
        <v>127</v>
      </c>
      <c r="I37" s="4">
        <v>130</v>
      </c>
      <c r="J37" s="4">
        <v>132</v>
      </c>
      <c r="K37" s="4">
        <v>129</v>
      </c>
      <c r="L37" s="4">
        <v>133</v>
      </c>
      <c r="M37" s="4">
        <v>142</v>
      </c>
      <c r="N37" s="4">
        <v>143</v>
      </c>
      <c r="O37" s="4">
        <v>136</v>
      </c>
      <c r="P37" s="4">
        <v>135</v>
      </c>
      <c r="Q37" s="4">
        <v>151</v>
      </c>
      <c r="R37" s="4">
        <v>120</v>
      </c>
      <c r="S37" s="4">
        <v>130</v>
      </c>
      <c r="T37" s="4">
        <v>115</v>
      </c>
      <c r="U37" s="4">
        <v>104</v>
      </c>
      <c r="V37" s="4">
        <v>108</v>
      </c>
      <c r="W37" s="4">
        <v>106</v>
      </c>
      <c r="X37" s="4">
        <v>102</v>
      </c>
      <c r="Y37" s="4">
        <v>98</v>
      </c>
      <c r="Z37" s="4">
        <v>101</v>
      </c>
      <c r="AA37" s="4">
        <v>95</v>
      </c>
      <c r="AB37" s="4">
        <v>95</v>
      </c>
      <c r="AC37" s="4">
        <v>96</v>
      </c>
      <c r="AD37" s="4">
        <v>103</v>
      </c>
      <c r="AE37" s="4">
        <v>107</v>
      </c>
      <c r="AF37" s="4">
        <v>115</v>
      </c>
      <c r="AG37" s="4">
        <v>114</v>
      </c>
      <c r="AH37" s="4">
        <v>130</v>
      </c>
      <c r="AI37" s="4">
        <v>132</v>
      </c>
      <c r="AJ37" s="4">
        <v>130</v>
      </c>
      <c r="AK37" s="4">
        <v>92</v>
      </c>
      <c r="AL37" s="4">
        <v>133</v>
      </c>
      <c r="AM37" s="4">
        <v>118</v>
      </c>
      <c r="AN37" s="4">
        <v>59</v>
      </c>
      <c r="AO37" s="4">
        <v>95</v>
      </c>
      <c r="AP37" s="4">
        <v>10</v>
      </c>
      <c r="AQ37" s="4">
        <v>25</v>
      </c>
      <c r="AR37" s="4">
        <v>10</v>
      </c>
      <c r="AS37" s="4">
        <v>25</v>
      </c>
      <c r="AT37" s="4">
        <v>0</v>
      </c>
      <c r="AU37" s="4">
        <v>-50</v>
      </c>
      <c r="AV37" s="4">
        <v>-60</v>
      </c>
      <c r="AW37" s="4">
        <v>-65</v>
      </c>
      <c r="AX37" s="4">
        <v>-45</v>
      </c>
      <c r="AY37" s="4">
        <v>0</v>
      </c>
      <c r="AZ37" s="4">
        <v>-55</v>
      </c>
      <c r="BA37" s="4">
        <v>-110</v>
      </c>
      <c r="BB37" s="4">
        <v>-110</v>
      </c>
      <c r="BC37" s="13">
        <v>0</v>
      </c>
      <c r="BD37" s="20">
        <f t="shared" si="7"/>
        <v>-5.6503068551261326E-4</v>
      </c>
      <c r="BE37" s="20">
        <f t="shared" si="7"/>
        <v>-3.6889479120554816E-4</v>
      </c>
      <c r="BF37" s="20">
        <f t="shared" si="7"/>
        <v>0</v>
      </c>
      <c r="BG37" s="20">
        <f t="shared" si="7"/>
        <v>-5.1214720041716714E-4</v>
      </c>
      <c r="BH37" s="20">
        <f t="shared" si="7"/>
        <v>-9.2865404259989367E-4</v>
      </c>
      <c r="BI37" s="20">
        <f t="shared" si="7"/>
        <v>-9.403879527754268E-4</v>
      </c>
      <c r="BJ37" s="23">
        <f t="shared" si="1"/>
        <v>-7.9372973193082928E-4</v>
      </c>
    </row>
    <row r="38" spans="1:62" s="5" customFormat="1" x14ac:dyDescent="0.25">
      <c r="A38" s="14"/>
      <c r="B38" s="6" t="s">
        <v>11</v>
      </c>
      <c r="C38" s="6" t="s">
        <v>6</v>
      </c>
      <c r="D38" s="7">
        <v>0</v>
      </c>
      <c r="E38" s="7">
        <v>0</v>
      </c>
      <c r="F38" s="7">
        <v>0</v>
      </c>
      <c r="G38" s="7">
        <v>0</v>
      </c>
      <c r="H38" s="7">
        <v>1</v>
      </c>
      <c r="I38" s="7">
        <v>1</v>
      </c>
      <c r="J38" s="7">
        <v>1</v>
      </c>
      <c r="K38" s="7">
        <v>2</v>
      </c>
      <c r="L38" s="7">
        <v>2</v>
      </c>
      <c r="M38" s="7">
        <v>5</v>
      </c>
      <c r="N38" s="7">
        <v>9</v>
      </c>
      <c r="O38" s="7">
        <v>28</v>
      </c>
      <c r="P38" s="7">
        <v>38</v>
      </c>
      <c r="Q38" s="7">
        <v>63</v>
      </c>
      <c r="R38" s="7">
        <v>74</v>
      </c>
      <c r="S38" s="7">
        <v>45</v>
      </c>
      <c r="T38" s="7">
        <v>55</v>
      </c>
      <c r="U38" s="7">
        <v>77</v>
      </c>
      <c r="V38" s="7">
        <v>99</v>
      </c>
      <c r="W38" s="7">
        <v>82</v>
      </c>
      <c r="X38" s="7">
        <v>73</v>
      </c>
      <c r="Y38" s="7">
        <v>77</v>
      </c>
      <c r="Z38" s="7">
        <v>53</v>
      </c>
      <c r="AA38" s="7">
        <v>89</v>
      </c>
      <c r="AB38" s="7">
        <v>110</v>
      </c>
      <c r="AC38" s="7">
        <v>105</v>
      </c>
      <c r="AD38" s="7">
        <v>115</v>
      </c>
      <c r="AE38" s="7">
        <v>68</v>
      </c>
      <c r="AF38" s="7">
        <v>129</v>
      </c>
      <c r="AG38" s="7">
        <v>77</v>
      </c>
      <c r="AH38" s="7">
        <v>62</v>
      </c>
      <c r="AI38" s="7">
        <v>63</v>
      </c>
      <c r="AJ38" s="7">
        <v>51</v>
      </c>
      <c r="AK38" s="7">
        <v>81</v>
      </c>
      <c r="AL38" s="7">
        <v>28</v>
      </c>
      <c r="AM38" s="7">
        <v>44</v>
      </c>
      <c r="AN38" s="7">
        <v>74</v>
      </c>
      <c r="AO38" s="7">
        <v>54</v>
      </c>
      <c r="AP38" s="7">
        <v>109</v>
      </c>
      <c r="AQ38" s="7">
        <v>105</v>
      </c>
      <c r="AR38" s="7">
        <v>49</v>
      </c>
      <c r="AS38" s="7">
        <v>63</v>
      </c>
      <c r="AT38" s="7">
        <v>18</v>
      </c>
      <c r="AU38" s="7">
        <v>74</v>
      </c>
      <c r="AV38" s="7">
        <v>54</v>
      </c>
      <c r="AW38" s="7">
        <v>56</v>
      </c>
      <c r="AX38" s="7">
        <v>32</v>
      </c>
      <c r="AY38" s="7">
        <v>35</v>
      </c>
      <c r="AZ38" s="7">
        <v>101</v>
      </c>
      <c r="BA38" s="7">
        <v>70</v>
      </c>
      <c r="BB38" s="7">
        <v>50</v>
      </c>
      <c r="BC38" s="15">
        <v>0</v>
      </c>
      <c r="BD38" s="21">
        <f t="shared" si="7"/>
        <v>2.5377835180024017E-4</v>
      </c>
      <c r="BE38" s="21">
        <f t="shared" si="7"/>
        <v>1.3545948279876225E-4</v>
      </c>
      <c r="BF38" s="21">
        <f t="shared" si="7"/>
        <v>1.588021778584392E-4</v>
      </c>
      <c r="BG38" s="21">
        <f t="shared" si="7"/>
        <v>4.76522986336529E-4</v>
      </c>
      <c r="BH38" s="21">
        <f t="shared" si="7"/>
        <v>2.6900108369008003E-4</v>
      </c>
      <c r="BI38" s="21">
        <f t="shared" si="7"/>
        <v>1.9159143509648544E-4</v>
      </c>
      <c r="BJ38" s="23">
        <f t="shared" si="1"/>
        <v>3.1237183504103147E-4</v>
      </c>
    </row>
    <row r="39" spans="1:62" x14ac:dyDescent="0.25">
      <c r="A39" s="12"/>
      <c r="B39" s="2"/>
      <c r="C39" s="2" t="s">
        <v>7</v>
      </c>
      <c r="D39" s="4">
        <v>0</v>
      </c>
      <c r="E39" s="4">
        <v>0</v>
      </c>
      <c r="F39" s="4">
        <v>0</v>
      </c>
      <c r="G39" s="4">
        <v>0</v>
      </c>
      <c r="H39" s="4">
        <v>7</v>
      </c>
      <c r="I39" s="4">
        <v>1</v>
      </c>
      <c r="J39" s="4">
        <v>0</v>
      </c>
      <c r="K39" s="4">
        <v>0</v>
      </c>
      <c r="L39" s="4">
        <v>0</v>
      </c>
      <c r="M39" s="4">
        <v>1</v>
      </c>
      <c r="N39" s="4">
        <v>11</v>
      </c>
      <c r="O39" s="4">
        <v>0</v>
      </c>
      <c r="P39" s="4">
        <v>0</v>
      </c>
      <c r="Q39" s="4">
        <v>33</v>
      </c>
      <c r="R39" s="4">
        <v>16</v>
      </c>
      <c r="S39" s="4">
        <v>10</v>
      </c>
      <c r="T39" s="4">
        <v>21</v>
      </c>
      <c r="U39" s="4">
        <v>15</v>
      </c>
      <c r="V39" s="4">
        <v>13</v>
      </c>
      <c r="W39" s="4">
        <v>13</v>
      </c>
      <c r="X39" s="4">
        <v>41</v>
      </c>
      <c r="Y39" s="4">
        <v>35</v>
      </c>
      <c r="Z39" s="4">
        <v>30</v>
      </c>
      <c r="AA39" s="4">
        <v>29</v>
      </c>
      <c r="AB39" s="4">
        <v>38</v>
      </c>
      <c r="AC39" s="4">
        <v>0</v>
      </c>
      <c r="AD39" s="4">
        <v>35</v>
      </c>
      <c r="AE39" s="4">
        <v>90</v>
      </c>
      <c r="AF39" s="4">
        <v>10</v>
      </c>
      <c r="AG39" s="4">
        <v>42</v>
      </c>
      <c r="AH39" s="4">
        <v>60</v>
      </c>
      <c r="AI39" s="4">
        <v>57</v>
      </c>
      <c r="AJ39" s="4">
        <v>55</v>
      </c>
      <c r="AK39" s="4">
        <v>55</v>
      </c>
      <c r="AL39" s="4">
        <v>86</v>
      </c>
      <c r="AM39" s="4">
        <v>70</v>
      </c>
      <c r="AN39" s="4">
        <v>70</v>
      </c>
      <c r="AO39" s="4">
        <v>50</v>
      </c>
      <c r="AP39" s="4">
        <v>30</v>
      </c>
      <c r="AQ39" s="4">
        <v>18</v>
      </c>
      <c r="AR39" s="4">
        <v>0</v>
      </c>
      <c r="AS39" s="4">
        <v>18</v>
      </c>
      <c r="AT39" s="4">
        <v>65</v>
      </c>
      <c r="AU39" s="4">
        <v>9</v>
      </c>
      <c r="AV39" s="4">
        <v>1</v>
      </c>
      <c r="AW39" s="4">
        <v>1</v>
      </c>
      <c r="AX39" s="4">
        <v>11</v>
      </c>
      <c r="AY39" s="4">
        <v>1</v>
      </c>
      <c r="AZ39" s="4">
        <v>1</v>
      </c>
      <c r="BA39" s="4">
        <v>1</v>
      </c>
      <c r="BB39" s="4">
        <v>1</v>
      </c>
      <c r="BC39" s="13">
        <v>0</v>
      </c>
      <c r="BD39" s="20">
        <f t="shared" si="7"/>
        <v>1.5593569212056949E-5</v>
      </c>
      <c r="BE39" s="20">
        <f t="shared" si="7"/>
        <v>1.592748649783531E-4</v>
      </c>
      <c r="BF39" s="20">
        <f t="shared" si="7"/>
        <v>1.2802294171115465E-5</v>
      </c>
      <c r="BG39" s="20">
        <f t="shared" si="7"/>
        <v>1.2923904052936311E-5</v>
      </c>
      <c r="BH39" s="20">
        <f t="shared" si="7"/>
        <v>1.1532030213919161E-5</v>
      </c>
      <c r="BI39" s="20">
        <f t="shared" si="7"/>
        <v>1.0485477613505295E-5</v>
      </c>
      <c r="BJ39" s="23">
        <f t="shared" si="1"/>
        <v>1.1647137293453589E-5</v>
      </c>
    </row>
    <row r="40" spans="1:62" s="5" customFormat="1" x14ac:dyDescent="0.25">
      <c r="A40" s="14"/>
      <c r="B40" s="6"/>
      <c r="C40" s="6" t="s">
        <v>8</v>
      </c>
      <c r="D40" s="7">
        <v>0</v>
      </c>
      <c r="E40" s="7">
        <v>0</v>
      </c>
      <c r="F40" s="7">
        <v>0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1</v>
      </c>
      <c r="Q40" s="7">
        <v>3</v>
      </c>
      <c r="R40" s="7">
        <v>4</v>
      </c>
      <c r="S40" s="7">
        <v>32</v>
      </c>
      <c r="T40" s="7">
        <v>0</v>
      </c>
      <c r="U40" s="7">
        <v>0</v>
      </c>
      <c r="V40" s="7">
        <v>0</v>
      </c>
      <c r="W40" s="7">
        <v>0</v>
      </c>
      <c r="X40" s="7">
        <v>0</v>
      </c>
      <c r="Y40" s="7">
        <v>0</v>
      </c>
      <c r="Z40" s="7">
        <v>0</v>
      </c>
      <c r="AA40" s="7">
        <v>0</v>
      </c>
      <c r="AB40" s="7">
        <v>0</v>
      </c>
      <c r="AC40" s="7">
        <v>0</v>
      </c>
      <c r="AD40" s="7">
        <v>0</v>
      </c>
      <c r="AE40" s="7">
        <v>0</v>
      </c>
      <c r="AF40" s="7">
        <v>0</v>
      </c>
      <c r="AG40" s="7">
        <v>0</v>
      </c>
      <c r="AH40" s="7">
        <v>0</v>
      </c>
      <c r="AI40" s="7">
        <v>0</v>
      </c>
      <c r="AJ40" s="7">
        <v>0</v>
      </c>
      <c r="AK40" s="7">
        <v>0</v>
      </c>
      <c r="AL40" s="7">
        <v>0</v>
      </c>
      <c r="AM40" s="7">
        <v>0</v>
      </c>
      <c r="AN40" s="7">
        <v>0</v>
      </c>
      <c r="AO40" s="7">
        <v>0</v>
      </c>
      <c r="AP40" s="7">
        <v>0</v>
      </c>
      <c r="AQ40" s="7">
        <v>0</v>
      </c>
      <c r="AR40" s="7">
        <v>11</v>
      </c>
      <c r="AS40" s="7">
        <v>6</v>
      </c>
      <c r="AT40" s="7">
        <v>8</v>
      </c>
      <c r="AU40" s="7">
        <v>3</v>
      </c>
      <c r="AV40" s="7">
        <v>5</v>
      </c>
      <c r="AW40" s="7">
        <v>3</v>
      </c>
      <c r="AX40" s="7">
        <v>3</v>
      </c>
      <c r="AY40" s="7">
        <v>2</v>
      </c>
      <c r="AZ40" s="7">
        <v>7</v>
      </c>
      <c r="BA40" s="7">
        <v>2</v>
      </c>
      <c r="BB40" s="7">
        <v>2</v>
      </c>
      <c r="BC40" s="15">
        <v>0</v>
      </c>
      <c r="BD40" s="21">
        <f t="shared" si="7"/>
        <v>4.7294740824820283E-5</v>
      </c>
      <c r="BE40" s="21">
        <f t="shared" si="7"/>
        <v>4.2336405074723753E-5</v>
      </c>
      <c r="BF40" s="21">
        <f t="shared" si="7"/>
        <v>2.5388765471278958E-5</v>
      </c>
      <c r="BG40" s="21">
        <f t="shared" si="7"/>
        <v>9.1096015200020818E-5</v>
      </c>
      <c r="BH40" s="21">
        <f t="shared" si="7"/>
        <v>2.158358783980661E-5</v>
      </c>
      <c r="BI40" s="21">
        <f t="shared" si="7"/>
        <v>2.0302507359658917E-5</v>
      </c>
      <c r="BJ40" s="23">
        <f t="shared" si="1"/>
        <v>4.4327370133162114E-5</v>
      </c>
    </row>
    <row r="41" spans="1:62" x14ac:dyDescent="0.25">
      <c r="A41" s="12"/>
      <c r="B41" s="2"/>
      <c r="C41" s="2" t="s">
        <v>9</v>
      </c>
      <c r="D41" s="4">
        <v>0</v>
      </c>
      <c r="E41" s="4">
        <v>0</v>
      </c>
      <c r="F41" s="4">
        <v>0</v>
      </c>
      <c r="G41" s="4">
        <v>0</v>
      </c>
      <c r="H41" s="4">
        <v>8</v>
      </c>
      <c r="I41" s="4">
        <v>2</v>
      </c>
      <c r="J41" s="4">
        <v>1</v>
      </c>
      <c r="K41" s="4">
        <v>2</v>
      </c>
      <c r="L41" s="4">
        <v>2</v>
      </c>
      <c r="M41" s="4">
        <v>6</v>
      </c>
      <c r="N41" s="4">
        <v>16</v>
      </c>
      <c r="O41" s="4">
        <v>18</v>
      </c>
      <c r="P41" s="4">
        <v>31</v>
      </c>
      <c r="Q41" s="4">
        <v>76</v>
      </c>
      <c r="R41" s="4">
        <v>71</v>
      </c>
      <c r="S41" s="4">
        <v>60</v>
      </c>
      <c r="T41" s="4">
        <v>76</v>
      </c>
      <c r="U41" s="4">
        <v>87</v>
      </c>
      <c r="V41" s="4">
        <v>106</v>
      </c>
      <c r="W41" s="4">
        <v>115</v>
      </c>
      <c r="X41" s="4">
        <v>117</v>
      </c>
      <c r="Y41" s="4">
        <v>113</v>
      </c>
      <c r="Z41" s="4">
        <v>78</v>
      </c>
      <c r="AA41" s="4">
        <v>119</v>
      </c>
      <c r="AB41" s="4">
        <v>154</v>
      </c>
      <c r="AC41" s="4">
        <v>105</v>
      </c>
      <c r="AD41" s="4">
        <v>150</v>
      </c>
      <c r="AE41" s="4">
        <v>158</v>
      </c>
      <c r="AF41" s="4">
        <v>139</v>
      </c>
      <c r="AG41" s="4">
        <v>119</v>
      </c>
      <c r="AH41" s="4">
        <v>122</v>
      </c>
      <c r="AI41" s="4">
        <v>120</v>
      </c>
      <c r="AJ41" s="4">
        <v>106</v>
      </c>
      <c r="AK41" s="4">
        <v>136</v>
      </c>
      <c r="AL41" s="4">
        <v>114</v>
      </c>
      <c r="AM41" s="4">
        <v>114</v>
      </c>
      <c r="AN41" s="4">
        <v>134</v>
      </c>
      <c r="AO41" s="4">
        <v>114</v>
      </c>
      <c r="AP41" s="4">
        <v>123</v>
      </c>
      <c r="AQ41" s="4">
        <v>115</v>
      </c>
      <c r="AR41" s="4">
        <v>50</v>
      </c>
      <c r="AS41" s="4">
        <v>68</v>
      </c>
      <c r="AT41" s="4">
        <v>65</v>
      </c>
      <c r="AU41" s="4">
        <v>64</v>
      </c>
      <c r="AV41" s="4">
        <v>60</v>
      </c>
      <c r="AW41" s="4">
        <v>59</v>
      </c>
      <c r="AX41" s="4">
        <v>58</v>
      </c>
      <c r="AY41" s="4">
        <v>43</v>
      </c>
      <c r="AZ41" s="4">
        <v>89</v>
      </c>
      <c r="BA41" s="4">
        <v>77</v>
      </c>
      <c r="BB41" s="4">
        <v>49</v>
      </c>
      <c r="BC41" s="13">
        <v>0</v>
      </c>
      <c r="BD41" s="20">
        <f t="shared" si="7"/>
        <v>2.7297627419772737E-4</v>
      </c>
      <c r="BE41" s="20">
        <f t="shared" si="7"/>
        <v>2.5711955172536086E-4</v>
      </c>
      <c r="BF41" s="20">
        <f t="shared" si="7"/>
        <v>1.8651213630133421E-4</v>
      </c>
      <c r="BG41" s="20">
        <f t="shared" si="7"/>
        <v>4.021017724103968E-4</v>
      </c>
      <c r="BH41" s="20">
        <f t="shared" si="7"/>
        <v>3.2357835639004219E-4</v>
      </c>
      <c r="BI41" s="20">
        <f t="shared" si="7"/>
        <v>1.9157687315265158E-4</v>
      </c>
      <c r="BJ41" s="23">
        <f t="shared" si="1"/>
        <v>3.057523339843635E-4</v>
      </c>
    </row>
    <row r="42" spans="1:62" s="5" customFormat="1" x14ac:dyDescent="0.25">
      <c r="A42" s="14"/>
      <c r="B42" s="6" t="s">
        <v>12</v>
      </c>
      <c r="C42" s="6" t="s">
        <v>6</v>
      </c>
      <c r="D42" s="7">
        <v>82</v>
      </c>
      <c r="E42" s="7">
        <v>96</v>
      </c>
      <c r="F42" s="7">
        <v>97</v>
      </c>
      <c r="G42" s="7">
        <v>102</v>
      </c>
      <c r="H42" s="7">
        <v>109</v>
      </c>
      <c r="I42" s="7">
        <v>130</v>
      </c>
      <c r="J42" s="7">
        <v>153</v>
      </c>
      <c r="K42" s="7">
        <v>158</v>
      </c>
      <c r="L42" s="7">
        <v>183</v>
      </c>
      <c r="M42" s="7">
        <v>177</v>
      </c>
      <c r="N42" s="7">
        <v>214</v>
      </c>
      <c r="O42" s="7">
        <v>177</v>
      </c>
      <c r="P42" s="7">
        <v>221</v>
      </c>
      <c r="Q42" s="7">
        <v>293</v>
      </c>
      <c r="R42" s="7">
        <v>277</v>
      </c>
      <c r="S42" s="7">
        <v>298</v>
      </c>
      <c r="T42" s="7">
        <v>379</v>
      </c>
      <c r="U42" s="7">
        <v>351</v>
      </c>
      <c r="V42" s="7">
        <v>495</v>
      </c>
      <c r="W42" s="7">
        <v>438</v>
      </c>
      <c r="X42" s="7">
        <v>521</v>
      </c>
      <c r="Y42" s="7">
        <v>611</v>
      </c>
      <c r="Z42" s="7">
        <v>392</v>
      </c>
      <c r="AA42" s="7">
        <v>452</v>
      </c>
      <c r="AB42" s="7">
        <v>618</v>
      </c>
      <c r="AC42" s="7">
        <v>491</v>
      </c>
      <c r="AD42" s="7">
        <v>393</v>
      </c>
      <c r="AE42" s="7">
        <v>540</v>
      </c>
      <c r="AF42" s="7">
        <v>576</v>
      </c>
      <c r="AG42" s="7">
        <v>605</v>
      </c>
      <c r="AH42" s="7">
        <v>563</v>
      </c>
      <c r="AI42" s="7">
        <v>806</v>
      </c>
      <c r="AJ42" s="7">
        <v>683</v>
      </c>
      <c r="AK42" s="7">
        <v>774</v>
      </c>
      <c r="AL42" s="7">
        <v>813</v>
      </c>
      <c r="AM42" s="7">
        <v>691</v>
      </c>
      <c r="AN42" s="7">
        <v>894</v>
      </c>
      <c r="AO42" s="7">
        <v>947</v>
      </c>
      <c r="AP42" s="7">
        <v>974</v>
      </c>
      <c r="AQ42" s="7">
        <v>787</v>
      </c>
      <c r="AR42" s="8">
        <v>1175</v>
      </c>
      <c r="AS42" s="7">
        <v>888</v>
      </c>
      <c r="AT42" s="7">
        <v>313</v>
      </c>
      <c r="AU42" s="7">
        <v>395</v>
      </c>
      <c r="AV42" s="7">
        <v>243</v>
      </c>
      <c r="AW42" s="7">
        <v>716</v>
      </c>
      <c r="AX42" s="7">
        <v>117</v>
      </c>
      <c r="AY42" s="7">
        <v>13</v>
      </c>
      <c r="AZ42" s="7">
        <v>44</v>
      </c>
      <c r="BA42" s="7">
        <v>142</v>
      </c>
      <c r="BB42" s="7">
        <v>608</v>
      </c>
      <c r="BC42" s="15">
        <v>0</v>
      </c>
      <c r="BD42" s="21">
        <f t="shared" si="7"/>
        <v>1.7104471051399414E-3</v>
      </c>
      <c r="BE42" s="21">
        <f t="shared" si="7"/>
        <v>2.7838053905893101E-4</v>
      </c>
      <c r="BF42" s="21">
        <f t="shared" si="7"/>
        <v>2.998134238001121E-5</v>
      </c>
      <c r="BG42" s="21">
        <f t="shared" si="7"/>
        <v>9.8198722970243551E-5</v>
      </c>
      <c r="BH42" s="21">
        <f t="shared" si="7"/>
        <v>3.224685649921767E-4</v>
      </c>
      <c r="BI42" s="21">
        <f t="shared" si="7"/>
        <v>1.3490695192386632E-3</v>
      </c>
      <c r="BJ42" s="23">
        <f t="shared" si="1"/>
        <v>5.8991226906702783E-4</v>
      </c>
    </row>
    <row r="43" spans="1:62" x14ac:dyDescent="0.25">
      <c r="A43" s="12"/>
      <c r="B43" s="2"/>
      <c r="C43" s="2" t="s">
        <v>7</v>
      </c>
      <c r="D43" s="4">
        <v>0</v>
      </c>
      <c r="E43" s="4">
        <v>1</v>
      </c>
      <c r="F43" s="4">
        <v>1</v>
      </c>
      <c r="G43" s="4">
        <v>1</v>
      </c>
      <c r="H43" s="4">
        <v>1</v>
      </c>
      <c r="I43" s="4">
        <v>2</v>
      </c>
      <c r="J43" s="4">
        <v>2</v>
      </c>
      <c r="K43" s="4">
        <v>2</v>
      </c>
      <c r="L43" s="4">
        <v>2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1</v>
      </c>
      <c r="T43" s="4">
        <v>1</v>
      </c>
      <c r="U43" s="4">
        <v>1</v>
      </c>
      <c r="V43" s="4">
        <v>1</v>
      </c>
      <c r="W43" s="4">
        <v>1</v>
      </c>
      <c r="X43" s="4">
        <v>1</v>
      </c>
      <c r="Y43" s="4">
        <v>1</v>
      </c>
      <c r="Z43" s="4">
        <v>5</v>
      </c>
      <c r="AA43" s="4">
        <v>1</v>
      </c>
      <c r="AB43" s="4">
        <v>9</v>
      </c>
      <c r="AC43" s="4">
        <v>10</v>
      </c>
      <c r="AD43" s="4">
        <v>10</v>
      </c>
      <c r="AE43" s="4">
        <v>10</v>
      </c>
      <c r="AF43" s="4">
        <v>24</v>
      </c>
      <c r="AG43" s="4">
        <v>28</v>
      </c>
      <c r="AH43" s="4">
        <v>28</v>
      </c>
      <c r="AI43" s="4">
        <v>31</v>
      </c>
      <c r="AJ43" s="4">
        <v>29</v>
      </c>
      <c r="AK43" s="4">
        <v>28</v>
      </c>
      <c r="AL43" s="4">
        <v>31</v>
      </c>
      <c r="AM43" s="4">
        <v>36</v>
      </c>
      <c r="AN43" s="4">
        <v>37</v>
      </c>
      <c r="AO43" s="4">
        <v>38</v>
      </c>
      <c r="AP43" s="4">
        <v>51</v>
      </c>
      <c r="AQ43" s="4">
        <v>46</v>
      </c>
      <c r="AR43" s="4">
        <v>68</v>
      </c>
      <c r="AS43" s="4">
        <v>65</v>
      </c>
      <c r="AT43" s="4">
        <v>88</v>
      </c>
      <c r="AU43" s="4">
        <v>88</v>
      </c>
      <c r="AV43" s="4">
        <v>106</v>
      </c>
      <c r="AW43" s="4">
        <v>94</v>
      </c>
      <c r="AX43" s="4">
        <v>198</v>
      </c>
      <c r="AY43" s="4">
        <v>188</v>
      </c>
      <c r="AZ43" s="4">
        <v>215</v>
      </c>
      <c r="BA43" s="4">
        <v>225</v>
      </c>
      <c r="BB43" s="4">
        <v>125</v>
      </c>
      <c r="BC43" s="13">
        <v>0</v>
      </c>
      <c r="BD43" s="20">
        <f t="shared" si="7"/>
        <v>3.5471698113207547E-3</v>
      </c>
      <c r="BE43" s="20">
        <f t="shared" si="7"/>
        <v>7.014809041309431E-3</v>
      </c>
      <c r="BF43" s="20">
        <f t="shared" si="7"/>
        <v>6.386520365526378E-3</v>
      </c>
      <c r="BG43" s="20">
        <f t="shared" si="7"/>
        <v>7.9192603779144714E-3</v>
      </c>
      <c r="BH43" s="20">
        <f t="shared" si="7"/>
        <v>8.0142475512021364E-3</v>
      </c>
      <c r="BI43" s="20">
        <f t="shared" si="7"/>
        <v>4.2761357416529833E-3</v>
      </c>
      <c r="BJ43" s="23">
        <f t="shared" si="1"/>
        <v>6.7365478902565307E-3</v>
      </c>
    </row>
    <row r="44" spans="1:62" s="5" customFormat="1" x14ac:dyDescent="0.25">
      <c r="A44" s="14"/>
      <c r="B44" s="6"/>
      <c r="C44" s="6" t="s">
        <v>8</v>
      </c>
      <c r="D44" s="7">
        <v>51</v>
      </c>
      <c r="E44" s="7">
        <v>57</v>
      </c>
      <c r="F44" s="7">
        <v>56</v>
      </c>
      <c r="G44" s="7">
        <v>64</v>
      </c>
      <c r="H44" s="7">
        <v>64</v>
      </c>
      <c r="I44" s="7">
        <v>89</v>
      </c>
      <c r="J44" s="7">
        <v>99</v>
      </c>
      <c r="K44" s="7">
        <v>107</v>
      </c>
      <c r="L44" s="7">
        <v>121</v>
      </c>
      <c r="M44" s="7">
        <v>96</v>
      </c>
      <c r="N44" s="7">
        <v>171</v>
      </c>
      <c r="O44" s="7">
        <v>150</v>
      </c>
      <c r="P44" s="7">
        <v>154</v>
      </c>
      <c r="Q44" s="7">
        <v>163</v>
      </c>
      <c r="R44" s="7">
        <v>196</v>
      </c>
      <c r="S44" s="7">
        <v>297</v>
      </c>
      <c r="T44" s="7">
        <v>256</v>
      </c>
      <c r="U44" s="7">
        <v>253</v>
      </c>
      <c r="V44" s="7">
        <v>426</v>
      </c>
      <c r="W44" s="7">
        <v>294</v>
      </c>
      <c r="X44" s="7">
        <v>468</v>
      </c>
      <c r="Y44" s="7">
        <v>573</v>
      </c>
      <c r="Z44" s="7">
        <v>251</v>
      </c>
      <c r="AA44" s="7">
        <v>327</v>
      </c>
      <c r="AB44" s="7">
        <v>463</v>
      </c>
      <c r="AC44" s="7">
        <v>390</v>
      </c>
      <c r="AD44" s="7">
        <v>375</v>
      </c>
      <c r="AE44" s="7">
        <v>430</v>
      </c>
      <c r="AF44" s="7">
        <v>500</v>
      </c>
      <c r="AG44" s="7">
        <v>461</v>
      </c>
      <c r="AH44" s="7">
        <v>519</v>
      </c>
      <c r="AI44" s="7">
        <v>607</v>
      </c>
      <c r="AJ44" s="7">
        <v>525</v>
      </c>
      <c r="AK44" s="7">
        <v>500</v>
      </c>
      <c r="AL44" s="7">
        <v>500</v>
      </c>
      <c r="AM44" s="7">
        <v>550</v>
      </c>
      <c r="AN44" s="7">
        <v>657</v>
      </c>
      <c r="AO44" s="7">
        <v>537</v>
      </c>
      <c r="AP44" s="7">
        <v>662</v>
      </c>
      <c r="AQ44" s="7">
        <v>610</v>
      </c>
      <c r="AR44" s="7">
        <v>617</v>
      </c>
      <c r="AS44" s="7">
        <v>247</v>
      </c>
      <c r="AT44" s="7">
        <v>150</v>
      </c>
      <c r="AU44" s="7">
        <v>175</v>
      </c>
      <c r="AV44" s="7">
        <v>80</v>
      </c>
      <c r="AW44" s="7">
        <v>326</v>
      </c>
      <c r="AX44" s="7">
        <v>166</v>
      </c>
      <c r="AY44" s="7">
        <v>36</v>
      </c>
      <c r="AZ44" s="7">
        <v>15</v>
      </c>
      <c r="BA44" s="7">
        <v>40</v>
      </c>
      <c r="BB44" s="7">
        <v>350</v>
      </c>
      <c r="BC44" s="15">
        <v>0</v>
      </c>
      <c r="BD44" s="21">
        <f t="shared" si="7"/>
        <v>1.0982347392534699E-2</v>
      </c>
      <c r="BE44" s="21">
        <f t="shared" si="7"/>
        <v>5.2874661570313742E-3</v>
      </c>
      <c r="BF44" s="21">
        <f t="shared" si="7"/>
        <v>1.1524794314434804E-3</v>
      </c>
      <c r="BG44" s="21">
        <f t="shared" si="7"/>
        <v>5.1881571665744329E-4</v>
      </c>
      <c r="BH44" s="21">
        <f t="shared" si="7"/>
        <v>1.2980691221807562E-3</v>
      </c>
      <c r="BI44" s="21">
        <f t="shared" si="7"/>
        <v>1.1513536629494392E-2</v>
      </c>
      <c r="BJ44" s="23">
        <f t="shared" si="1"/>
        <v>4.4434738227775309E-3</v>
      </c>
    </row>
    <row r="45" spans="1:62" x14ac:dyDescent="0.25">
      <c r="A45" s="12"/>
      <c r="B45" s="2"/>
      <c r="C45" s="2" t="s">
        <v>9</v>
      </c>
      <c r="D45" s="4">
        <v>35</v>
      </c>
      <c r="E45" s="4">
        <v>36</v>
      </c>
      <c r="F45" s="4">
        <v>37</v>
      </c>
      <c r="G45" s="4">
        <v>35</v>
      </c>
      <c r="H45" s="4">
        <v>36</v>
      </c>
      <c r="I45" s="4">
        <v>40</v>
      </c>
      <c r="J45" s="4">
        <v>45</v>
      </c>
      <c r="K45" s="4">
        <v>54</v>
      </c>
      <c r="L45" s="4">
        <v>60</v>
      </c>
      <c r="M45" s="4">
        <v>65</v>
      </c>
      <c r="N45" s="4">
        <v>72</v>
      </c>
      <c r="O45" s="4">
        <v>67</v>
      </c>
      <c r="P45" s="4">
        <v>80</v>
      </c>
      <c r="Q45" s="4">
        <v>92</v>
      </c>
      <c r="R45" s="4">
        <v>37</v>
      </c>
      <c r="S45" s="4">
        <v>55</v>
      </c>
      <c r="T45" s="4">
        <v>56</v>
      </c>
      <c r="U45" s="4">
        <v>58</v>
      </c>
      <c r="V45" s="4">
        <v>60</v>
      </c>
      <c r="W45" s="4">
        <v>62</v>
      </c>
      <c r="X45" s="4">
        <v>65</v>
      </c>
      <c r="Y45" s="4">
        <v>66</v>
      </c>
      <c r="Z45" s="4">
        <v>73</v>
      </c>
      <c r="AA45" s="4">
        <v>71</v>
      </c>
      <c r="AB45" s="4">
        <v>74</v>
      </c>
      <c r="AC45" s="4">
        <v>75</v>
      </c>
      <c r="AD45" s="4">
        <v>81</v>
      </c>
      <c r="AE45" s="4">
        <v>110</v>
      </c>
      <c r="AF45" s="4">
        <v>160</v>
      </c>
      <c r="AG45" s="4">
        <v>172</v>
      </c>
      <c r="AH45" s="4">
        <v>212</v>
      </c>
      <c r="AI45" s="4">
        <v>250</v>
      </c>
      <c r="AJ45" s="4">
        <v>267</v>
      </c>
      <c r="AK45" s="4">
        <v>262</v>
      </c>
      <c r="AL45" s="4">
        <v>294</v>
      </c>
      <c r="AM45" s="4">
        <v>302</v>
      </c>
      <c r="AN45" s="4">
        <v>307</v>
      </c>
      <c r="AO45" s="4">
        <v>313</v>
      </c>
      <c r="AP45" s="4">
        <v>333</v>
      </c>
      <c r="AQ45" s="4">
        <v>345</v>
      </c>
      <c r="AR45" s="4">
        <v>356</v>
      </c>
      <c r="AS45" s="4">
        <v>360</v>
      </c>
      <c r="AT45" s="4">
        <v>370</v>
      </c>
      <c r="AU45" s="4">
        <v>380</v>
      </c>
      <c r="AV45" s="4">
        <v>348</v>
      </c>
      <c r="AW45" s="4">
        <v>400</v>
      </c>
      <c r="AX45" s="4">
        <v>434</v>
      </c>
      <c r="AY45" s="4">
        <v>343</v>
      </c>
      <c r="AZ45" s="4">
        <v>270</v>
      </c>
      <c r="BA45" s="4">
        <v>309</v>
      </c>
      <c r="BB45" s="4">
        <v>330</v>
      </c>
      <c r="BC45" s="13">
        <v>0</v>
      </c>
      <c r="BD45" s="20">
        <f t="shared" si="7"/>
        <v>9.6868014907987494E-4</v>
      </c>
      <c r="BE45" s="20">
        <f t="shared" si="7"/>
        <v>1.0368462672339857E-3</v>
      </c>
      <c r="BF45" s="20">
        <f t="shared" si="7"/>
        <v>8.0464111364206845E-4</v>
      </c>
      <c r="BG45" s="20">
        <f t="shared" si="7"/>
        <v>6.205327388476477E-4</v>
      </c>
      <c r="BH45" s="20">
        <f t="shared" si="7"/>
        <v>7.0987647230447962E-4</v>
      </c>
      <c r="BI45" s="20">
        <f t="shared" si="7"/>
        <v>7.3952562792448768E-4</v>
      </c>
      <c r="BJ45" s="23">
        <f t="shared" si="1"/>
        <v>6.89978279692205E-4</v>
      </c>
    </row>
    <row r="46" spans="1:62" s="5" customFormat="1" x14ac:dyDescent="0.25">
      <c r="A46" s="14"/>
      <c r="B46" s="6" t="s">
        <v>13</v>
      </c>
      <c r="C46" s="6" t="s">
        <v>6</v>
      </c>
      <c r="D46" s="7">
        <v>163</v>
      </c>
      <c r="E46" s="7">
        <v>255</v>
      </c>
      <c r="F46" s="7">
        <v>279</v>
      </c>
      <c r="G46" s="7">
        <v>215</v>
      </c>
      <c r="H46" s="7">
        <v>195</v>
      </c>
      <c r="I46" s="7">
        <v>195</v>
      </c>
      <c r="J46" s="7">
        <v>319</v>
      </c>
      <c r="K46" s="7">
        <v>288</v>
      </c>
      <c r="L46" s="7">
        <v>294</v>
      </c>
      <c r="M46" s="7">
        <v>547</v>
      </c>
      <c r="N46" s="8">
        <v>1298</v>
      </c>
      <c r="O46" s="8">
        <v>1228</v>
      </c>
      <c r="P46" s="8">
        <v>1018</v>
      </c>
      <c r="Q46" s="8">
        <v>1061</v>
      </c>
      <c r="R46" s="7">
        <v>901</v>
      </c>
      <c r="S46" s="8">
        <v>1124</v>
      </c>
      <c r="T46" s="7">
        <v>956</v>
      </c>
      <c r="U46" s="7">
        <v>714</v>
      </c>
      <c r="V46" s="8">
        <v>1125</v>
      </c>
      <c r="W46" s="7">
        <v>922</v>
      </c>
      <c r="X46" s="8">
        <v>1204</v>
      </c>
      <c r="Y46" s="8">
        <v>1317</v>
      </c>
      <c r="Z46" s="7">
        <v>958</v>
      </c>
      <c r="AA46" s="8">
        <v>1885</v>
      </c>
      <c r="AB46" s="8">
        <v>1369</v>
      </c>
      <c r="AC46" s="8">
        <v>1416</v>
      </c>
      <c r="AD46" s="8">
        <v>1422</v>
      </c>
      <c r="AE46" s="8">
        <v>1677</v>
      </c>
      <c r="AF46" s="8">
        <v>1283</v>
      </c>
      <c r="AG46" s="7">
        <v>971</v>
      </c>
      <c r="AH46" s="7">
        <v>775</v>
      </c>
      <c r="AI46" s="8">
        <v>1472</v>
      </c>
      <c r="AJ46" s="7">
        <v>557</v>
      </c>
      <c r="AK46" s="7">
        <v>931</v>
      </c>
      <c r="AL46" s="8">
        <v>1272</v>
      </c>
      <c r="AM46" s="8">
        <v>1592</v>
      </c>
      <c r="AN46" s="8">
        <v>1425</v>
      </c>
      <c r="AO46" s="8">
        <v>1081</v>
      </c>
      <c r="AP46" s="8">
        <v>1891</v>
      </c>
      <c r="AQ46" s="8">
        <v>2116</v>
      </c>
      <c r="AR46" s="8">
        <v>1935</v>
      </c>
      <c r="AS46" s="8">
        <v>2021</v>
      </c>
      <c r="AT46" s="8">
        <v>1465</v>
      </c>
      <c r="AU46" s="8">
        <v>2009</v>
      </c>
      <c r="AV46" s="8">
        <v>2011</v>
      </c>
      <c r="AW46" s="8">
        <v>1929</v>
      </c>
      <c r="AX46" s="8">
        <v>1283</v>
      </c>
      <c r="AY46" s="8">
        <v>3790</v>
      </c>
      <c r="AZ46" s="8">
        <v>2690</v>
      </c>
      <c r="BA46" s="8">
        <v>1600</v>
      </c>
      <c r="BB46" s="8">
        <v>2400</v>
      </c>
      <c r="BC46" s="15">
        <v>0</v>
      </c>
      <c r="BD46" s="21">
        <f t="shared" si="7"/>
        <v>3.2347318643726732E-2</v>
      </c>
      <c r="BE46" s="21">
        <f t="shared" si="7"/>
        <v>2.225498699045967E-2</v>
      </c>
      <c r="BF46" s="21">
        <f t="shared" si="7"/>
        <v>5.7503527591072537E-2</v>
      </c>
      <c r="BG46" s="21">
        <f t="shared" si="7"/>
        <v>4.148289794281837E-2</v>
      </c>
      <c r="BH46" s="21">
        <f t="shared" si="7"/>
        <v>2.7001029414246418E-2</v>
      </c>
      <c r="BI46" s="21">
        <f t="shared" si="7"/>
        <v>3.6794014840252652E-2</v>
      </c>
      <c r="BJ46" s="23">
        <f t="shared" si="1"/>
        <v>3.5092647399105815E-2</v>
      </c>
    </row>
    <row r="47" spans="1:62" x14ac:dyDescent="0.25">
      <c r="A47" s="12"/>
      <c r="B47" s="2"/>
      <c r="C47" s="2" t="s">
        <v>7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  <c r="AF47" s="4">
        <v>0</v>
      </c>
      <c r="AG47" s="4">
        <v>0</v>
      </c>
      <c r="AH47" s="4">
        <v>0</v>
      </c>
      <c r="AI47" s="4">
        <v>0</v>
      </c>
      <c r="AJ47" s="4">
        <v>0</v>
      </c>
      <c r="AK47" s="4">
        <v>238</v>
      </c>
      <c r="AL47" s="4">
        <v>44</v>
      </c>
      <c r="AM47" s="4">
        <v>0</v>
      </c>
      <c r="AN47" s="4">
        <v>0</v>
      </c>
      <c r="AO47" s="4">
        <v>0</v>
      </c>
      <c r="AP47" s="4">
        <v>0</v>
      </c>
      <c r="AQ47" s="4">
        <v>0</v>
      </c>
      <c r="AR47" s="4">
        <v>0</v>
      </c>
      <c r="AS47" s="4">
        <v>0</v>
      </c>
      <c r="AT47" s="4">
        <v>0</v>
      </c>
      <c r="AU47" s="4">
        <v>0</v>
      </c>
      <c r="AV47" s="4">
        <v>0</v>
      </c>
      <c r="AW47" s="4">
        <v>0</v>
      </c>
      <c r="AX47" s="4">
        <v>0</v>
      </c>
      <c r="AY47" s="4">
        <v>0</v>
      </c>
      <c r="AZ47" s="4">
        <v>0</v>
      </c>
      <c r="BA47" s="4">
        <v>0</v>
      </c>
      <c r="BB47" s="4">
        <v>0</v>
      </c>
      <c r="BC47" s="13">
        <v>0</v>
      </c>
      <c r="BD47" s="20">
        <f t="shared" si="7"/>
        <v>0</v>
      </c>
      <c r="BE47" s="20">
        <f t="shared" si="7"/>
        <v>0</v>
      </c>
      <c r="BF47" s="20">
        <f t="shared" si="7"/>
        <v>0</v>
      </c>
      <c r="BG47" s="20">
        <f t="shared" si="7"/>
        <v>0</v>
      </c>
      <c r="BH47" s="20">
        <f t="shared" si="7"/>
        <v>0</v>
      </c>
      <c r="BI47" s="20">
        <f t="shared" si="7"/>
        <v>0</v>
      </c>
      <c r="BJ47" s="23">
        <f t="shared" si="1"/>
        <v>0</v>
      </c>
    </row>
    <row r="48" spans="1:62" s="5" customFormat="1" x14ac:dyDescent="0.25">
      <c r="A48" s="14"/>
      <c r="B48" s="6"/>
      <c r="C48" s="6" t="s">
        <v>8</v>
      </c>
      <c r="D48" s="7">
        <v>39</v>
      </c>
      <c r="E48" s="7">
        <v>61</v>
      </c>
      <c r="F48" s="7">
        <v>8</v>
      </c>
      <c r="G48" s="7">
        <v>19</v>
      </c>
      <c r="H48" s="7">
        <v>2</v>
      </c>
      <c r="I48" s="7">
        <v>72</v>
      </c>
      <c r="J48" s="7">
        <v>22</v>
      </c>
      <c r="K48" s="7">
        <v>80</v>
      </c>
      <c r="L48" s="7">
        <v>17</v>
      </c>
      <c r="M48" s="7">
        <v>278</v>
      </c>
      <c r="N48" s="8">
        <v>1087</v>
      </c>
      <c r="O48" s="7">
        <v>692</v>
      </c>
      <c r="P48" s="7">
        <v>633</v>
      </c>
      <c r="Q48" s="7">
        <v>984</v>
      </c>
      <c r="R48" s="7">
        <v>897</v>
      </c>
      <c r="S48" s="7">
        <v>972</v>
      </c>
      <c r="T48" s="7">
        <v>490</v>
      </c>
      <c r="U48" s="7">
        <v>231</v>
      </c>
      <c r="V48" s="7">
        <v>669</v>
      </c>
      <c r="W48" s="7">
        <v>506</v>
      </c>
      <c r="X48" s="7">
        <v>856</v>
      </c>
      <c r="Y48" s="7">
        <v>961</v>
      </c>
      <c r="Z48" s="7">
        <v>282</v>
      </c>
      <c r="AA48" s="8">
        <v>1553</v>
      </c>
      <c r="AB48" s="8">
        <v>1086</v>
      </c>
      <c r="AC48" s="8">
        <v>1064</v>
      </c>
      <c r="AD48" s="7">
        <v>570</v>
      </c>
      <c r="AE48" s="7">
        <v>555</v>
      </c>
      <c r="AF48" s="7">
        <v>408</v>
      </c>
      <c r="AG48" s="7">
        <v>16</v>
      </c>
      <c r="AH48" s="7">
        <v>247</v>
      </c>
      <c r="AI48" s="7">
        <v>206</v>
      </c>
      <c r="AJ48" s="7">
        <v>62</v>
      </c>
      <c r="AK48" s="7">
        <v>506</v>
      </c>
      <c r="AL48" s="7">
        <v>50</v>
      </c>
      <c r="AM48" s="7">
        <v>537</v>
      </c>
      <c r="AN48" s="7">
        <v>231</v>
      </c>
      <c r="AO48" s="7">
        <v>184</v>
      </c>
      <c r="AP48" s="7">
        <v>450</v>
      </c>
      <c r="AQ48" s="7">
        <v>850</v>
      </c>
      <c r="AR48" s="7">
        <v>630</v>
      </c>
      <c r="AS48" s="7">
        <v>385</v>
      </c>
      <c r="AT48" s="7">
        <v>75</v>
      </c>
      <c r="AU48" s="7">
        <v>595</v>
      </c>
      <c r="AV48" s="7">
        <v>205</v>
      </c>
      <c r="AW48" s="7">
        <v>125</v>
      </c>
      <c r="AX48" s="7">
        <v>85</v>
      </c>
      <c r="AY48" s="7">
        <v>810</v>
      </c>
      <c r="AZ48" s="8">
        <v>1000</v>
      </c>
      <c r="BA48" s="7">
        <v>350</v>
      </c>
      <c r="BB48" s="8">
        <v>1300</v>
      </c>
      <c r="BC48" s="15">
        <v>0</v>
      </c>
      <c r="BD48" s="21">
        <f t="shared" si="7"/>
        <v>2.3242841204908889E-2</v>
      </c>
      <c r="BE48" s="21">
        <f t="shared" si="7"/>
        <v>1.5559216547684423E-2</v>
      </c>
      <c r="BF48" s="21">
        <f t="shared" si="7"/>
        <v>8.3247687564234327E-2</v>
      </c>
      <c r="BG48" s="21">
        <f t="shared" si="7"/>
        <v>0.16711229946524064</v>
      </c>
      <c r="BH48" s="21">
        <f t="shared" si="7"/>
        <v>5.2647412755716008E-2</v>
      </c>
      <c r="BI48" s="21">
        <f t="shared" si="7"/>
        <v>0.19941708851050774</v>
      </c>
      <c r="BJ48" s="23">
        <f t="shared" si="1"/>
        <v>0.13972560024382147</v>
      </c>
    </row>
    <row r="49" spans="1:62" x14ac:dyDescent="0.25">
      <c r="A49" s="12"/>
      <c r="B49" s="2"/>
      <c r="C49" s="2" t="s">
        <v>9</v>
      </c>
      <c r="D49" s="4">
        <v>124</v>
      </c>
      <c r="E49" s="4">
        <v>194</v>
      </c>
      <c r="F49" s="4">
        <v>271</v>
      </c>
      <c r="G49" s="4">
        <v>196</v>
      </c>
      <c r="H49" s="4">
        <v>193</v>
      </c>
      <c r="I49" s="4">
        <v>123</v>
      </c>
      <c r="J49" s="4">
        <v>297</v>
      </c>
      <c r="K49" s="4">
        <v>208</v>
      </c>
      <c r="L49" s="4">
        <v>243</v>
      </c>
      <c r="M49" s="4">
        <v>268</v>
      </c>
      <c r="N49" s="4">
        <v>222</v>
      </c>
      <c r="O49" s="4">
        <v>500</v>
      </c>
      <c r="P49" s="4">
        <v>299</v>
      </c>
      <c r="Q49" s="4">
        <v>115</v>
      </c>
      <c r="R49" s="4">
        <v>89</v>
      </c>
      <c r="S49" s="4">
        <v>116</v>
      </c>
      <c r="T49" s="4">
        <v>372</v>
      </c>
      <c r="U49" s="4">
        <v>456</v>
      </c>
      <c r="V49" s="4">
        <v>502</v>
      </c>
      <c r="W49" s="4">
        <v>367</v>
      </c>
      <c r="X49" s="4">
        <v>466</v>
      </c>
      <c r="Y49" s="4">
        <v>366</v>
      </c>
      <c r="Z49" s="4">
        <v>701</v>
      </c>
      <c r="AA49" s="4">
        <v>304</v>
      </c>
      <c r="AB49" s="4">
        <v>331</v>
      </c>
      <c r="AC49" s="4">
        <v>288</v>
      </c>
      <c r="AD49" s="4">
        <v>926</v>
      </c>
      <c r="AE49" s="3">
        <v>1086</v>
      </c>
      <c r="AF49" s="4">
        <v>857</v>
      </c>
      <c r="AG49" s="4">
        <v>946</v>
      </c>
      <c r="AH49" s="4">
        <v>550</v>
      </c>
      <c r="AI49" s="3">
        <v>1217</v>
      </c>
      <c r="AJ49" s="4">
        <v>495</v>
      </c>
      <c r="AK49" s="4">
        <v>653</v>
      </c>
      <c r="AL49" s="3">
        <v>1266</v>
      </c>
      <c r="AM49" s="3">
        <v>1055</v>
      </c>
      <c r="AN49" s="3">
        <v>1195</v>
      </c>
      <c r="AO49" s="4">
        <v>905</v>
      </c>
      <c r="AP49" s="3">
        <v>1405</v>
      </c>
      <c r="AQ49" s="3">
        <v>1305</v>
      </c>
      <c r="AR49" s="3">
        <v>1305</v>
      </c>
      <c r="AS49" s="3">
        <v>1655</v>
      </c>
      <c r="AT49" s="3">
        <v>1405</v>
      </c>
      <c r="AU49" s="3">
        <v>1405</v>
      </c>
      <c r="AV49" s="3">
        <v>1755</v>
      </c>
      <c r="AW49" s="3">
        <v>1895</v>
      </c>
      <c r="AX49" s="3">
        <v>1205</v>
      </c>
      <c r="AY49" s="3">
        <v>2205</v>
      </c>
      <c r="AZ49" s="3">
        <v>1805</v>
      </c>
      <c r="BA49" s="3">
        <v>1205</v>
      </c>
      <c r="BB49" s="3">
        <v>1405</v>
      </c>
      <c r="BC49" s="13">
        <v>0</v>
      </c>
      <c r="BD49" s="20">
        <f t="shared" si="7"/>
        <v>3.1959927816099708E-2</v>
      </c>
      <c r="BE49" s="20">
        <f t="shared" si="7"/>
        <v>2.0850636766334439E-2</v>
      </c>
      <c r="BF49" s="20">
        <f t="shared" si="7"/>
        <v>3.420089341109319E-2</v>
      </c>
      <c r="BG49" s="20">
        <f t="shared" si="7"/>
        <v>2.7988835478368741E-2</v>
      </c>
      <c r="BH49" s="20">
        <f t="shared" si="7"/>
        <v>1.9730163408324328E-2</v>
      </c>
      <c r="BI49" s="20">
        <f t="shared" si="7"/>
        <v>2.1701187773195556E-2</v>
      </c>
      <c r="BJ49" s="23">
        <f t="shared" si="1"/>
        <v>2.3140062219962874E-2</v>
      </c>
    </row>
    <row r="50" spans="1:62" s="5" customFormat="1" x14ac:dyDescent="0.25">
      <c r="A50" s="12"/>
      <c r="B50" s="2" t="s">
        <v>14</v>
      </c>
      <c r="C50" s="2" t="s">
        <v>42</v>
      </c>
      <c r="D50" s="3">
        <v>1364</v>
      </c>
      <c r="E50" s="3">
        <v>1371</v>
      </c>
      <c r="F50" s="3">
        <v>1500</v>
      </c>
      <c r="G50" s="3">
        <v>1796</v>
      </c>
      <c r="H50" s="3">
        <v>1934</v>
      </c>
      <c r="I50" s="3">
        <v>1984</v>
      </c>
      <c r="J50" s="3">
        <v>2512</v>
      </c>
      <c r="K50" s="3">
        <v>2556</v>
      </c>
      <c r="L50" s="3">
        <v>2688</v>
      </c>
      <c r="M50" s="3">
        <v>2280</v>
      </c>
      <c r="N50" s="3">
        <v>2680</v>
      </c>
      <c r="O50" s="3">
        <v>2840</v>
      </c>
      <c r="P50" s="3">
        <v>2540</v>
      </c>
      <c r="Q50" s="3">
        <v>2652</v>
      </c>
      <c r="R50" s="3">
        <v>2858</v>
      </c>
      <c r="S50" s="3">
        <v>2988</v>
      </c>
      <c r="T50" s="3">
        <v>3405</v>
      </c>
      <c r="U50" s="3">
        <v>3322</v>
      </c>
      <c r="V50" s="3">
        <v>2978</v>
      </c>
      <c r="W50" s="3">
        <v>2963</v>
      </c>
      <c r="X50" s="3">
        <v>3329</v>
      </c>
      <c r="Y50" s="3">
        <v>3434</v>
      </c>
      <c r="Z50" s="3">
        <v>3535</v>
      </c>
      <c r="AA50" s="3">
        <v>3414</v>
      </c>
      <c r="AB50" s="3">
        <v>3548</v>
      </c>
      <c r="AC50" s="3">
        <v>3404</v>
      </c>
      <c r="AD50" s="3">
        <v>3457</v>
      </c>
      <c r="AE50" s="3">
        <v>3528</v>
      </c>
      <c r="AF50" s="3">
        <v>3680</v>
      </c>
      <c r="AG50" s="3">
        <v>3797</v>
      </c>
      <c r="AH50" s="3">
        <v>3606</v>
      </c>
      <c r="AI50" s="3">
        <v>3192</v>
      </c>
      <c r="AJ50" s="3">
        <v>4367</v>
      </c>
      <c r="AK50" s="3">
        <v>4412</v>
      </c>
      <c r="AL50" s="3">
        <v>5196</v>
      </c>
      <c r="AM50" s="3">
        <v>5049</v>
      </c>
      <c r="AN50" s="3">
        <v>5659</v>
      </c>
      <c r="AO50" s="3">
        <v>5567</v>
      </c>
      <c r="AP50" s="3">
        <v>4997</v>
      </c>
      <c r="AQ50" s="3">
        <v>5448</v>
      </c>
      <c r="AR50" s="3">
        <v>4162</v>
      </c>
      <c r="AS50" s="3">
        <v>4662</v>
      </c>
      <c r="AT50" s="3">
        <v>5461</v>
      </c>
      <c r="AU50" s="3">
        <v>5178</v>
      </c>
      <c r="AV50" s="3">
        <v>5388</v>
      </c>
      <c r="AW50" s="3">
        <v>5297</v>
      </c>
      <c r="AX50" s="3">
        <v>5212</v>
      </c>
      <c r="AY50" s="3">
        <v>4939</v>
      </c>
      <c r="AZ50" s="3">
        <v>4814</v>
      </c>
      <c r="BA50" s="3">
        <v>4600</v>
      </c>
      <c r="BB50" s="24">
        <v>4800</v>
      </c>
      <c r="BC50" s="21">
        <f t="shared" ref="BC50:BH50" si="8">AW50/AX$84</f>
        <v>1324.25</v>
      </c>
      <c r="BD50" s="21">
        <f t="shared" si="8"/>
        <v>6.7688311688311691</v>
      </c>
      <c r="BE50" s="21">
        <f t="shared" si="8"/>
        <v>12.3475</v>
      </c>
      <c r="BF50" s="21">
        <f t="shared" si="8"/>
        <v>4.1428571428571432</v>
      </c>
      <c r="BG50" s="21">
        <f t="shared" si="8"/>
        <v>2.7058823529411766</v>
      </c>
      <c r="BH50" s="21" t="e">
        <f t="shared" si="8"/>
        <v>#DIV/0!</v>
      </c>
      <c r="BJ50" s="23" t="e">
        <f>AVERAGE(BF50,BG50,BH50)</f>
        <v>#DIV/0!</v>
      </c>
    </row>
    <row r="51" spans="1:62" x14ac:dyDescent="0.25">
      <c r="A51" s="12"/>
      <c r="B51" s="6"/>
      <c r="C51" s="6" t="s">
        <v>45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0</v>
      </c>
      <c r="AG51" s="7">
        <v>0</v>
      </c>
      <c r="AH51" s="7">
        <v>14</v>
      </c>
      <c r="AI51" s="7">
        <v>12</v>
      </c>
      <c r="AJ51" s="7">
        <v>9</v>
      </c>
      <c r="AK51" s="7">
        <v>2</v>
      </c>
      <c r="AL51" s="7">
        <v>2</v>
      </c>
      <c r="AM51" s="7">
        <v>2</v>
      </c>
      <c r="AN51" s="7">
        <v>2</v>
      </c>
      <c r="AO51" s="7">
        <v>2</v>
      </c>
      <c r="AP51" s="7">
        <v>4</v>
      </c>
      <c r="AQ51" s="7">
        <v>5</v>
      </c>
      <c r="AR51" s="7">
        <v>5</v>
      </c>
      <c r="AS51" s="7">
        <v>5</v>
      </c>
      <c r="AT51" s="7">
        <v>8</v>
      </c>
      <c r="AU51" s="7">
        <v>10</v>
      </c>
      <c r="AV51" s="7">
        <v>9</v>
      </c>
      <c r="AW51" s="7">
        <v>9</v>
      </c>
      <c r="AX51" s="7">
        <v>9</v>
      </c>
      <c r="AY51" s="7">
        <v>9</v>
      </c>
      <c r="AZ51" s="7">
        <v>45</v>
      </c>
      <c r="BA51" s="7">
        <v>76</v>
      </c>
      <c r="BB51" s="15">
        <v>80</v>
      </c>
      <c r="BC51" s="21">
        <f t="shared" ref="BC51:BH51" si="9">AW51/AX$63</f>
        <v>1.7475728155339806E-2</v>
      </c>
      <c r="BD51" s="21">
        <f t="shared" si="9"/>
        <v>5.4878048780487805E-2</v>
      </c>
      <c r="BE51" s="21">
        <f t="shared" si="9"/>
        <v>0.18</v>
      </c>
      <c r="BF51" s="21">
        <f t="shared" si="9"/>
        <v>0.29801324503311261</v>
      </c>
      <c r="BG51" s="21">
        <f t="shared" si="9"/>
        <v>0.11692307692307692</v>
      </c>
      <c r="BH51" s="21" t="e">
        <f t="shared" si="9"/>
        <v>#DIV/0!</v>
      </c>
      <c r="BJ51" s="23" t="e">
        <f>AVERAGE(BF51,BG51,BH51)</f>
        <v>#DIV/0!</v>
      </c>
    </row>
    <row r="52" spans="1:62" s="5" customFormat="1" x14ac:dyDescent="0.25">
      <c r="A52" s="12"/>
      <c r="B52" s="2"/>
      <c r="C52" s="2" t="s">
        <v>44</v>
      </c>
      <c r="D52" s="4">
        <v>802</v>
      </c>
      <c r="E52" s="4">
        <v>947</v>
      </c>
      <c r="F52" s="4">
        <v>850</v>
      </c>
      <c r="G52" s="3">
        <v>1155</v>
      </c>
      <c r="H52" s="3">
        <v>1194</v>
      </c>
      <c r="I52" s="3">
        <v>1320</v>
      </c>
      <c r="J52" s="3">
        <v>1865</v>
      </c>
      <c r="K52" s="3">
        <v>1724</v>
      </c>
      <c r="L52" s="3">
        <v>2170</v>
      </c>
      <c r="M52" s="3">
        <v>1523</v>
      </c>
      <c r="N52" s="3">
        <v>1817</v>
      </c>
      <c r="O52" s="3">
        <v>2170</v>
      </c>
      <c r="P52" s="3">
        <v>1938</v>
      </c>
      <c r="Q52" s="3">
        <v>1940</v>
      </c>
      <c r="R52" s="3">
        <v>1950</v>
      </c>
      <c r="S52" s="3">
        <v>2114</v>
      </c>
      <c r="T52" s="3">
        <v>2619</v>
      </c>
      <c r="U52" s="3">
        <v>2580</v>
      </c>
      <c r="V52" s="3">
        <v>2036</v>
      </c>
      <c r="W52" s="3">
        <v>2318</v>
      </c>
      <c r="X52" s="3">
        <v>2595</v>
      </c>
      <c r="Y52" s="3">
        <v>2468</v>
      </c>
      <c r="Z52" s="3">
        <v>2696</v>
      </c>
      <c r="AA52" s="3">
        <v>2605</v>
      </c>
      <c r="AB52" s="3">
        <v>2681</v>
      </c>
      <c r="AC52" s="3">
        <v>2858</v>
      </c>
      <c r="AD52" s="3">
        <v>2658</v>
      </c>
      <c r="AE52" s="3">
        <v>2797</v>
      </c>
      <c r="AF52" s="3">
        <v>2860</v>
      </c>
      <c r="AG52" s="3">
        <v>2927</v>
      </c>
      <c r="AH52" s="3">
        <v>2819</v>
      </c>
      <c r="AI52" s="3">
        <v>2345</v>
      </c>
      <c r="AJ52" s="3">
        <v>3476</v>
      </c>
      <c r="AK52" s="3">
        <v>3663</v>
      </c>
      <c r="AL52" s="3">
        <v>4321</v>
      </c>
      <c r="AM52" s="3">
        <v>4242</v>
      </c>
      <c r="AN52" s="3">
        <v>4564</v>
      </c>
      <c r="AO52" s="3">
        <v>4554</v>
      </c>
      <c r="AP52" s="3">
        <v>4076</v>
      </c>
      <c r="AQ52" s="3">
        <v>4123</v>
      </c>
      <c r="AR52" s="3">
        <v>3056</v>
      </c>
      <c r="AS52" s="3">
        <v>3594</v>
      </c>
      <c r="AT52" s="3">
        <v>4114</v>
      </c>
      <c r="AU52" s="3">
        <v>4157</v>
      </c>
      <c r="AV52" s="3">
        <v>4447</v>
      </c>
      <c r="AW52" s="3">
        <v>4208</v>
      </c>
      <c r="AX52" s="3">
        <v>3860</v>
      </c>
      <c r="AY52" s="3">
        <v>3700</v>
      </c>
      <c r="AZ52" s="3">
        <v>3522</v>
      </c>
      <c r="BA52" s="3">
        <v>3600</v>
      </c>
      <c r="BB52" s="24">
        <v>3750</v>
      </c>
      <c r="BC52" s="21">
        <f t="shared" ref="BC52:BH52" si="10">AW52/AX$42</f>
        <v>35.965811965811966</v>
      </c>
      <c r="BD52" s="21">
        <f t="shared" si="10"/>
        <v>296.92307692307691</v>
      </c>
      <c r="BE52" s="21">
        <f t="shared" si="10"/>
        <v>84.090909090909093</v>
      </c>
      <c r="BF52" s="21">
        <f t="shared" si="10"/>
        <v>24.802816901408452</v>
      </c>
      <c r="BG52" s="21">
        <f t="shared" si="10"/>
        <v>5.9210526315789478</v>
      </c>
      <c r="BH52" s="21" t="e">
        <f t="shared" si="10"/>
        <v>#DIV/0!</v>
      </c>
      <c r="BI52"/>
      <c r="BJ52" s="23" t="e">
        <f>AVERAGE(BF52,BG52,BH52)</f>
        <v>#DIV/0!</v>
      </c>
    </row>
    <row r="53" spans="1:62" ht="30" x14ac:dyDescent="0.25">
      <c r="A53" s="12"/>
      <c r="B53" s="6"/>
      <c r="C53" s="6" t="s">
        <v>43</v>
      </c>
      <c r="D53" s="7">
        <v>555</v>
      </c>
      <c r="E53" s="7">
        <v>513</v>
      </c>
      <c r="F53" s="7">
        <v>550</v>
      </c>
      <c r="G53" s="7">
        <v>568</v>
      </c>
      <c r="H53" s="7">
        <v>663</v>
      </c>
      <c r="I53" s="7">
        <v>674</v>
      </c>
      <c r="J53" s="7">
        <v>725</v>
      </c>
      <c r="K53" s="7">
        <v>661</v>
      </c>
      <c r="L53" s="7">
        <v>687</v>
      </c>
      <c r="M53" s="7">
        <v>712</v>
      </c>
      <c r="N53" s="7">
        <v>736</v>
      </c>
      <c r="O53" s="7">
        <v>724</v>
      </c>
      <c r="P53" s="7">
        <v>756</v>
      </c>
      <c r="Q53" s="7">
        <v>781</v>
      </c>
      <c r="R53" s="7">
        <v>790</v>
      </c>
      <c r="S53" s="7">
        <v>772</v>
      </c>
      <c r="T53" s="7">
        <v>806</v>
      </c>
      <c r="U53" s="7">
        <v>785</v>
      </c>
      <c r="V53" s="7">
        <v>790</v>
      </c>
      <c r="W53" s="7">
        <v>777</v>
      </c>
      <c r="X53" s="7">
        <v>788</v>
      </c>
      <c r="Y53" s="7">
        <v>794</v>
      </c>
      <c r="Z53" s="7">
        <v>770</v>
      </c>
      <c r="AA53" s="7">
        <v>756</v>
      </c>
      <c r="AB53" s="7">
        <v>750</v>
      </c>
      <c r="AC53" s="7">
        <v>801</v>
      </c>
      <c r="AD53" s="7">
        <v>837</v>
      </c>
      <c r="AE53" s="7">
        <v>805</v>
      </c>
      <c r="AF53" s="7">
        <v>800</v>
      </c>
      <c r="AG53" s="7">
        <v>870</v>
      </c>
      <c r="AH53" s="7">
        <v>868</v>
      </c>
      <c r="AI53" s="7">
        <v>885</v>
      </c>
      <c r="AJ53" s="7">
        <v>938</v>
      </c>
      <c r="AK53" s="7">
        <v>751</v>
      </c>
      <c r="AL53" s="7">
        <v>850</v>
      </c>
      <c r="AM53" s="7">
        <v>860</v>
      </c>
      <c r="AN53" s="7">
        <v>970</v>
      </c>
      <c r="AO53" s="7">
        <v>990</v>
      </c>
      <c r="AP53" s="7">
        <v>995</v>
      </c>
      <c r="AQ53" s="7">
        <v>995</v>
      </c>
      <c r="AR53" s="7">
        <v>995</v>
      </c>
      <c r="AS53" s="8">
        <v>1200</v>
      </c>
      <c r="AT53" s="8">
        <v>1200</v>
      </c>
      <c r="AU53" s="8">
        <v>1150</v>
      </c>
      <c r="AV53" s="8">
        <v>1150</v>
      </c>
      <c r="AW53" s="8">
        <v>1150</v>
      </c>
      <c r="AX53" s="8">
        <v>1250</v>
      </c>
      <c r="AY53" s="8">
        <v>1250</v>
      </c>
      <c r="AZ53" s="8">
        <v>1250</v>
      </c>
      <c r="BA53" s="8">
        <v>1250</v>
      </c>
      <c r="BB53" s="25">
        <v>1250</v>
      </c>
      <c r="BC53" s="20">
        <f t="shared" ref="BC53:BH53" si="11">AW53/AW$25</f>
        <v>0.68656716417910446</v>
      </c>
      <c r="BD53" s="20">
        <f t="shared" si="11"/>
        <v>0.73099415204678364</v>
      </c>
      <c r="BE53" s="20">
        <f t="shared" si="11"/>
        <v>0.69637883008356549</v>
      </c>
      <c r="BF53" s="20">
        <f t="shared" si="11"/>
        <v>0.7225433526011561</v>
      </c>
      <c r="BG53" s="20">
        <f t="shared" si="11"/>
        <v>0.7225433526011561</v>
      </c>
      <c r="BH53" s="20">
        <f t="shared" si="11"/>
        <v>0.71022727272727271</v>
      </c>
      <c r="BI53" s="5"/>
      <c r="BJ53" s="23">
        <f>AVERAGE(BF53,BG53,BH53)</f>
        <v>0.71843799264319497</v>
      </c>
    </row>
    <row r="54" spans="1:62" x14ac:dyDescent="0.25">
      <c r="A54" s="12"/>
      <c r="B54" s="2" t="s">
        <v>15</v>
      </c>
      <c r="C54" s="2" t="s">
        <v>6</v>
      </c>
      <c r="D54" s="3">
        <v>7450</v>
      </c>
      <c r="E54" s="3">
        <v>6727</v>
      </c>
      <c r="F54" s="3">
        <v>8353</v>
      </c>
      <c r="G54" s="3">
        <v>8925</v>
      </c>
      <c r="H54" s="3">
        <v>10037</v>
      </c>
      <c r="I54" s="3">
        <v>7067</v>
      </c>
      <c r="J54" s="3">
        <v>12699</v>
      </c>
      <c r="K54" s="3">
        <v>7547</v>
      </c>
      <c r="L54" s="3">
        <v>14804</v>
      </c>
      <c r="M54" s="3">
        <v>10546</v>
      </c>
      <c r="N54" s="3">
        <v>7890</v>
      </c>
      <c r="O54" s="3">
        <v>8606</v>
      </c>
      <c r="P54" s="3">
        <v>6590</v>
      </c>
      <c r="Q54" s="3">
        <v>11987</v>
      </c>
      <c r="R54" s="3">
        <v>11357</v>
      </c>
      <c r="S54" s="3">
        <v>11982</v>
      </c>
      <c r="T54" s="3">
        <v>11800</v>
      </c>
      <c r="U54" s="3">
        <v>9370</v>
      </c>
      <c r="V54" s="3">
        <v>18090</v>
      </c>
      <c r="W54" s="3">
        <v>16188</v>
      </c>
      <c r="X54" s="3">
        <v>10856</v>
      </c>
      <c r="Y54" s="3">
        <v>16360</v>
      </c>
      <c r="Z54" s="3">
        <v>8876</v>
      </c>
      <c r="AA54" s="3">
        <v>22016</v>
      </c>
      <c r="AB54" s="3">
        <v>18666</v>
      </c>
      <c r="AC54" s="3">
        <v>16167</v>
      </c>
      <c r="AD54" s="3">
        <v>16119</v>
      </c>
      <c r="AE54" s="3">
        <v>12369</v>
      </c>
      <c r="AF54" s="3">
        <v>14060</v>
      </c>
      <c r="AG54" s="3">
        <v>14214</v>
      </c>
      <c r="AH54" s="3">
        <v>15066</v>
      </c>
      <c r="AI54" s="3">
        <v>10557</v>
      </c>
      <c r="AJ54" s="3">
        <v>16184</v>
      </c>
      <c r="AK54" s="3">
        <v>16479</v>
      </c>
      <c r="AL54" s="3">
        <v>8903</v>
      </c>
      <c r="AM54" s="3">
        <v>16504</v>
      </c>
      <c r="AN54" s="3">
        <v>22925</v>
      </c>
      <c r="AO54" s="3">
        <v>19224</v>
      </c>
      <c r="AP54" s="3">
        <v>21465</v>
      </c>
      <c r="AQ54" s="3">
        <v>24757</v>
      </c>
      <c r="AR54" s="3">
        <v>22108</v>
      </c>
      <c r="AS54" s="3">
        <v>24299</v>
      </c>
      <c r="AT54" s="3">
        <v>10132</v>
      </c>
      <c r="AU54" s="3">
        <v>26132</v>
      </c>
      <c r="AV54" s="3">
        <v>21905</v>
      </c>
      <c r="AW54" s="3">
        <v>25173</v>
      </c>
      <c r="AX54" s="3">
        <v>10822</v>
      </c>
      <c r="AY54" s="3">
        <v>13569</v>
      </c>
      <c r="AZ54" s="3">
        <v>21420</v>
      </c>
      <c r="BA54" s="3">
        <v>21923</v>
      </c>
      <c r="BB54" s="3">
        <v>26000</v>
      </c>
      <c r="BC54" s="13">
        <v>0</v>
      </c>
      <c r="BD54" s="20">
        <f t="shared" ref="BD54:BI57" si="12">AW54/AW571</f>
        <v>4.0658272172834402E-2</v>
      </c>
      <c r="BE54" s="20">
        <f t="shared" si="12"/>
        <v>1.8150013500980288E-2</v>
      </c>
      <c r="BF54" s="20">
        <f t="shared" si="12"/>
        <v>2.2168127496548739E-2</v>
      </c>
      <c r="BG54" s="20">
        <f t="shared" si="12"/>
        <v>3.139887714566323E-2</v>
      </c>
      <c r="BH54" s="20">
        <f t="shared" si="12"/>
        <v>3.2060215821130819E-2</v>
      </c>
      <c r="BI54" s="20">
        <f t="shared" si="12"/>
        <v>4.0174232556270964E-2</v>
      </c>
      <c r="BJ54" s="23">
        <f t="shared" si="1"/>
        <v>3.4544441841021671E-2</v>
      </c>
    </row>
    <row r="55" spans="1:62" s="5" customFormat="1" x14ac:dyDescent="0.25">
      <c r="A55" s="14"/>
      <c r="B55" s="6"/>
      <c r="C55" s="6" t="s">
        <v>7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7</v>
      </c>
      <c r="AE55" s="7">
        <v>11</v>
      </c>
      <c r="AF55" s="7">
        <v>14</v>
      </c>
      <c r="AG55" s="7">
        <v>11</v>
      </c>
      <c r="AH55" s="7">
        <v>18</v>
      </c>
      <c r="AI55" s="7">
        <v>22</v>
      </c>
      <c r="AJ55" s="7">
        <v>28</v>
      </c>
      <c r="AK55" s="7">
        <v>29</v>
      </c>
      <c r="AL55" s="7">
        <v>53</v>
      </c>
      <c r="AM55" s="7">
        <v>46</v>
      </c>
      <c r="AN55" s="7">
        <v>52</v>
      </c>
      <c r="AO55" s="7">
        <v>45</v>
      </c>
      <c r="AP55" s="7">
        <v>56</v>
      </c>
      <c r="AQ55" s="7">
        <v>61</v>
      </c>
      <c r="AR55" s="7">
        <v>72</v>
      </c>
      <c r="AS55" s="7">
        <v>72</v>
      </c>
      <c r="AT55" s="7">
        <v>282</v>
      </c>
      <c r="AU55" s="7">
        <v>75</v>
      </c>
      <c r="AV55" s="7">
        <v>78</v>
      </c>
      <c r="AW55" s="7">
        <v>82</v>
      </c>
      <c r="AX55" s="7">
        <v>94</v>
      </c>
      <c r="AY55" s="7">
        <v>116</v>
      </c>
      <c r="AZ55" s="7">
        <v>114</v>
      </c>
      <c r="BA55" s="7">
        <v>110</v>
      </c>
      <c r="BB55" s="7">
        <v>100</v>
      </c>
      <c r="BC55" s="15">
        <v>0</v>
      </c>
      <c r="BD55" s="21">
        <f t="shared" si="12"/>
        <v>7.3491848678491087E-4</v>
      </c>
      <c r="BE55" s="21">
        <f t="shared" si="12"/>
        <v>8.2450354361097468E-4</v>
      </c>
      <c r="BF55" s="21">
        <f t="shared" si="12"/>
        <v>1.0192873775317429E-3</v>
      </c>
      <c r="BG55" s="21">
        <f t="shared" si="12"/>
        <v>8.3252393506313309E-4</v>
      </c>
      <c r="BH55" s="21">
        <f t="shared" si="12"/>
        <v>8.2424787381514368E-4</v>
      </c>
      <c r="BI55" s="21">
        <f t="shared" si="12"/>
        <v>8.1516865839542196E-4</v>
      </c>
      <c r="BJ55" s="23">
        <f t="shared" si="1"/>
        <v>8.2398015575789951E-4</v>
      </c>
    </row>
    <row r="56" spans="1:62" x14ac:dyDescent="0.25">
      <c r="A56" s="12"/>
      <c r="B56" s="2"/>
      <c r="C56" s="2" t="s">
        <v>8</v>
      </c>
      <c r="D56" s="3">
        <v>6456</v>
      </c>
      <c r="E56" s="3">
        <v>4950</v>
      </c>
      <c r="F56" s="3">
        <v>6148</v>
      </c>
      <c r="G56" s="3">
        <v>6986</v>
      </c>
      <c r="H56" s="3">
        <v>7321</v>
      </c>
      <c r="I56" s="3">
        <v>4691</v>
      </c>
      <c r="J56" s="3">
        <v>8497</v>
      </c>
      <c r="K56" s="3">
        <v>5654</v>
      </c>
      <c r="L56" s="3">
        <v>6371</v>
      </c>
      <c r="M56" s="3">
        <v>8047</v>
      </c>
      <c r="N56" s="3">
        <v>9145</v>
      </c>
      <c r="O56" s="3">
        <v>7788</v>
      </c>
      <c r="P56" s="3">
        <v>4281</v>
      </c>
      <c r="Q56" s="3">
        <v>7031</v>
      </c>
      <c r="R56" s="3">
        <v>8562</v>
      </c>
      <c r="S56" s="3">
        <v>8663</v>
      </c>
      <c r="T56" s="3">
        <v>9485</v>
      </c>
      <c r="U56" s="3">
        <v>8098</v>
      </c>
      <c r="V56" s="3">
        <v>11693</v>
      </c>
      <c r="W56" s="3">
        <v>13197</v>
      </c>
      <c r="X56" s="3">
        <v>9577</v>
      </c>
      <c r="Y56" s="3">
        <v>11008</v>
      </c>
      <c r="Z56" s="3">
        <v>8041</v>
      </c>
      <c r="AA56" s="3">
        <v>13640</v>
      </c>
      <c r="AB56" s="3">
        <v>14032</v>
      </c>
      <c r="AC56" s="3">
        <v>16022</v>
      </c>
      <c r="AD56" s="3">
        <v>15562</v>
      </c>
      <c r="AE56" s="3">
        <v>9850</v>
      </c>
      <c r="AF56" s="3">
        <v>11295</v>
      </c>
      <c r="AG56" s="3">
        <v>10767</v>
      </c>
      <c r="AH56" s="3">
        <v>11760</v>
      </c>
      <c r="AI56" s="3">
        <v>7103</v>
      </c>
      <c r="AJ56" s="3">
        <v>9853</v>
      </c>
      <c r="AK56" s="3">
        <v>13707</v>
      </c>
      <c r="AL56" s="3">
        <v>6354</v>
      </c>
      <c r="AM56" s="3">
        <v>13311</v>
      </c>
      <c r="AN56" s="3">
        <v>19225</v>
      </c>
      <c r="AO56" s="3">
        <v>15343</v>
      </c>
      <c r="AP56" s="3">
        <v>16473</v>
      </c>
      <c r="AQ56" s="3">
        <v>17844</v>
      </c>
      <c r="AR56" s="3">
        <v>15930</v>
      </c>
      <c r="AS56" s="3">
        <v>16409</v>
      </c>
      <c r="AT56" s="3">
        <v>9146</v>
      </c>
      <c r="AU56" s="3">
        <v>18031</v>
      </c>
      <c r="AV56" s="3">
        <v>14722</v>
      </c>
      <c r="AW56" s="3">
        <v>16012</v>
      </c>
      <c r="AX56" s="3">
        <v>8728</v>
      </c>
      <c r="AY56" s="3">
        <v>7487</v>
      </c>
      <c r="AZ56" s="3">
        <v>14747</v>
      </c>
      <c r="BA56" s="3">
        <v>14790</v>
      </c>
      <c r="BB56" s="3">
        <v>14500</v>
      </c>
      <c r="BC56" s="13">
        <v>0</v>
      </c>
      <c r="BD56" s="20">
        <f t="shared" si="12"/>
        <v>0.13687224857887764</v>
      </c>
      <c r="BE56" s="20">
        <f t="shared" si="12"/>
        <v>7.8050525374469035E-2</v>
      </c>
      <c r="BF56" s="20">
        <f t="shared" si="12"/>
        <v>6.38375880356747E-2</v>
      </c>
      <c r="BG56" s="20">
        <f t="shared" si="12"/>
        <v>0.10265209522483643</v>
      </c>
      <c r="BH56" s="20">
        <f t="shared" si="12"/>
        <v>0.10890936001944021</v>
      </c>
      <c r="BI56" s="20">
        <f t="shared" si="12"/>
        <v>0.11678761568014691</v>
      </c>
      <c r="BJ56" s="23">
        <f t="shared" si="1"/>
        <v>0.10944969030814118</v>
      </c>
    </row>
    <row r="57" spans="1:62" s="5" customFormat="1" x14ac:dyDescent="0.25">
      <c r="A57" s="14"/>
      <c r="B57" s="6"/>
      <c r="C57" s="6" t="s">
        <v>9</v>
      </c>
      <c r="D57" s="8">
        <v>1982</v>
      </c>
      <c r="E57" s="8">
        <v>1959</v>
      </c>
      <c r="F57" s="8">
        <v>2053</v>
      </c>
      <c r="G57" s="8">
        <v>2018</v>
      </c>
      <c r="H57" s="8">
        <v>2607</v>
      </c>
      <c r="I57" s="8">
        <v>2591</v>
      </c>
      <c r="J57" s="8">
        <v>2460</v>
      </c>
      <c r="K57" s="8">
        <v>2672</v>
      </c>
      <c r="L57" s="8">
        <v>2584</v>
      </c>
      <c r="M57" s="8">
        <v>2540</v>
      </c>
      <c r="N57" s="8">
        <v>2625</v>
      </c>
      <c r="O57" s="8">
        <v>2899</v>
      </c>
      <c r="P57" s="8">
        <v>3328</v>
      </c>
      <c r="Q57" s="8">
        <v>3539</v>
      </c>
      <c r="R57" s="8">
        <v>3119</v>
      </c>
      <c r="S57" s="8">
        <v>2312</v>
      </c>
      <c r="T57" s="8">
        <v>2843</v>
      </c>
      <c r="U57" s="8">
        <v>2629</v>
      </c>
      <c r="V57" s="8">
        <v>2531</v>
      </c>
      <c r="W57" s="8">
        <v>3369</v>
      </c>
      <c r="X57" s="8">
        <v>3503</v>
      </c>
      <c r="Y57" s="8">
        <v>2620</v>
      </c>
      <c r="Z57" s="8">
        <v>3326</v>
      </c>
      <c r="AA57" s="8">
        <v>3143</v>
      </c>
      <c r="AB57" s="8">
        <v>3568</v>
      </c>
      <c r="AC57" s="8">
        <v>2864</v>
      </c>
      <c r="AD57" s="8">
        <v>2657</v>
      </c>
      <c r="AE57" s="8">
        <v>3552</v>
      </c>
      <c r="AF57" s="8">
        <v>2929</v>
      </c>
      <c r="AG57" s="8">
        <v>3023</v>
      </c>
      <c r="AH57" s="8">
        <v>3536</v>
      </c>
      <c r="AI57" s="8">
        <v>3429</v>
      </c>
      <c r="AJ57" s="8">
        <v>4212</v>
      </c>
      <c r="AK57" s="8">
        <v>4108</v>
      </c>
      <c r="AL57" s="8">
        <v>3907</v>
      </c>
      <c r="AM57" s="8">
        <v>3669</v>
      </c>
      <c r="AN57" s="8">
        <v>3332</v>
      </c>
      <c r="AO57" s="8">
        <v>4001</v>
      </c>
      <c r="AP57" s="8">
        <v>4530</v>
      </c>
      <c r="AQ57" s="8">
        <v>5227</v>
      </c>
      <c r="AR57" s="8">
        <v>5328</v>
      </c>
      <c r="AS57" s="8">
        <v>5427</v>
      </c>
      <c r="AT57" s="8">
        <v>6125</v>
      </c>
      <c r="AU57" s="8">
        <v>5950</v>
      </c>
      <c r="AV57" s="8">
        <v>6000</v>
      </c>
      <c r="AW57" s="8">
        <v>6550</v>
      </c>
      <c r="AX57" s="8">
        <v>7600</v>
      </c>
      <c r="AY57" s="8">
        <v>6500</v>
      </c>
      <c r="AZ57" s="8">
        <v>6850</v>
      </c>
      <c r="BA57" s="8">
        <v>6725</v>
      </c>
      <c r="BB57" s="8">
        <v>9025</v>
      </c>
      <c r="BC57" s="15">
        <v>0</v>
      </c>
      <c r="BD57" s="21">
        <f t="shared" si="12"/>
        <v>1.0621168069039214E-2</v>
      </c>
      <c r="BE57" s="21">
        <f t="shared" si="12"/>
        <v>1.2291926791871802E-2</v>
      </c>
      <c r="BF57" s="21">
        <f t="shared" si="12"/>
        <v>1.0598747717192799E-2</v>
      </c>
      <c r="BG57" s="21">
        <f t="shared" si="12"/>
        <v>1.0791565249584485E-2</v>
      </c>
      <c r="BH57" s="21">
        <f t="shared" si="12"/>
        <v>1.0342828229077112E-2</v>
      </c>
      <c r="BI57" s="21">
        <f t="shared" si="12"/>
        <v>1.3658225051227803E-2</v>
      </c>
      <c r="BJ57" s="23">
        <f t="shared" si="1"/>
        <v>1.1597539509963131E-2</v>
      </c>
    </row>
    <row r="58" spans="1:62" x14ac:dyDescent="0.25">
      <c r="A58" s="12" t="s">
        <v>17</v>
      </c>
      <c r="B58" s="2" t="s">
        <v>5</v>
      </c>
      <c r="C58" s="2" t="s">
        <v>6</v>
      </c>
      <c r="D58" s="3">
        <v>9036</v>
      </c>
      <c r="E58" s="3">
        <v>9587</v>
      </c>
      <c r="F58" s="3">
        <v>10478</v>
      </c>
      <c r="G58" s="3">
        <v>9408</v>
      </c>
      <c r="H58" s="3">
        <v>12112</v>
      </c>
      <c r="I58" s="3">
        <v>11371</v>
      </c>
      <c r="J58" s="3">
        <v>12824</v>
      </c>
      <c r="K58" s="3">
        <v>12814</v>
      </c>
      <c r="L58" s="3">
        <v>12693</v>
      </c>
      <c r="M58" s="3">
        <v>14216</v>
      </c>
      <c r="N58" s="3">
        <v>14130</v>
      </c>
      <c r="O58" s="3">
        <v>14891</v>
      </c>
      <c r="P58" s="3">
        <v>14109</v>
      </c>
      <c r="Q58" s="3">
        <v>16284</v>
      </c>
      <c r="R58" s="3">
        <v>16354</v>
      </c>
      <c r="S58" s="3">
        <v>17751</v>
      </c>
      <c r="T58" s="3">
        <v>19256</v>
      </c>
      <c r="U58" s="3">
        <v>13569</v>
      </c>
      <c r="V58" s="3">
        <v>16310</v>
      </c>
      <c r="W58" s="3">
        <v>20214</v>
      </c>
      <c r="X58" s="3">
        <v>22555</v>
      </c>
      <c r="Y58" s="3">
        <v>22932</v>
      </c>
      <c r="Z58" s="3">
        <v>19500</v>
      </c>
      <c r="AA58" s="3">
        <v>21180</v>
      </c>
      <c r="AB58" s="3">
        <v>21170</v>
      </c>
      <c r="AC58" s="3">
        <v>20264</v>
      </c>
      <c r="AD58" s="3">
        <v>26760</v>
      </c>
      <c r="AE58" s="3">
        <v>25220</v>
      </c>
      <c r="AF58" s="3">
        <v>26270</v>
      </c>
      <c r="AG58" s="3">
        <v>22300</v>
      </c>
      <c r="AH58" s="3">
        <v>24330</v>
      </c>
      <c r="AI58" s="3">
        <v>30800</v>
      </c>
      <c r="AJ58" s="3">
        <v>29200</v>
      </c>
      <c r="AK58" s="3">
        <v>32934</v>
      </c>
      <c r="AL58" s="3">
        <v>37440</v>
      </c>
      <c r="AM58" s="3">
        <v>32480</v>
      </c>
      <c r="AN58" s="3">
        <v>35700</v>
      </c>
      <c r="AO58" s="3">
        <v>30100</v>
      </c>
      <c r="AP58" s="3">
        <v>32393</v>
      </c>
      <c r="AQ58" s="3">
        <v>31641</v>
      </c>
      <c r="AR58" s="3">
        <v>41536</v>
      </c>
      <c r="AS58" s="3">
        <v>35501</v>
      </c>
      <c r="AT58" s="3">
        <v>44500</v>
      </c>
      <c r="AU58" s="3">
        <v>42000</v>
      </c>
      <c r="AV58" s="3">
        <v>35000</v>
      </c>
      <c r="AW58" s="3">
        <v>41700</v>
      </c>
      <c r="AX58" s="3">
        <v>51000</v>
      </c>
      <c r="AY58" s="3">
        <v>58600</v>
      </c>
      <c r="AZ58" s="3">
        <v>51000</v>
      </c>
      <c r="BA58" s="3">
        <v>56100</v>
      </c>
      <c r="BB58" s="3">
        <v>55000</v>
      </c>
      <c r="BC58" s="13">
        <v>0</v>
      </c>
      <c r="BD58" s="20">
        <f t="shared" ref="BD58:BI77" si="13">AW58/AW547</f>
        <v>5.9617589619391016E-2</v>
      </c>
      <c r="BE58" s="20">
        <f t="shared" si="13"/>
        <v>7.1471514397305938E-2</v>
      </c>
      <c r="BF58" s="20">
        <f t="shared" si="13"/>
        <v>7.3759679384547222E-2</v>
      </c>
      <c r="BG58" s="20">
        <f t="shared" si="13"/>
        <v>6.384385046017646E-2</v>
      </c>
      <c r="BH58" s="20">
        <f t="shared" si="13"/>
        <v>6.905235793492831E-2</v>
      </c>
      <c r="BI58" s="20">
        <f t="shared" si="13"/>
        <v>6.7489548323130144E-2</v>
      </c>
      <c r="BJ58" s="23">
        <f t="shared" si="1"/>
        <v>6.6795252239411643E-2</v>
      </c>
    </row>
    <row r="59" spans="1:62" s="5" customFormat="1" x14ac:dyDescent="0.25">
      <c r="A59" s="14"/>
      <c r="B59" s="6"/>
      <c r="C59" s="6" t="s">
        <v>7</v>
      </c>
      <c r="D59" s="7">
        <v>5</v>
      </c>
      <c r="E59" s="7">
        <v>6</v>
      </c>
      <c r="F59" s="7">
        <v>1</v>
      </c>
      <c r="G59" s="7">
        <v>1</v>
      </c>
      <c r="H59" s="7">
        <v>7</v>
      </c>
      <c r="I59" s="7">
        <v>5</v>
      </c>
      <c r="J59" s="7">
        <v>9</v>
      </c>
      <c r="K59" s="7">
        <v>3</v>
      </c>
      <c r="L59" s="7">
        <v>1</v>
      </c>
      <c r="M59" s="7">
        <v>1</v>
      </c>
      <c r="N59" s="7">
        <v>1</v>
      </c>
      <c r="O59" s="7">
        <v>3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8">
        <v>1750</v>
      </c>
      <c r="V59" s="8">
        <v>1476</v>
      </c>
      <c r="W59" s="8">
        <v>2000</v>
      </c>
      <c r="X59" s="7">
        <v>0</v>
      </c>
      <c r="Y59" s="7">
        <v>0</v>
      </c>
      <c r="Z59" s="7">
        <v>500</v>
      </c>
      <c r="AA59" s="7">
        <v>440</v>
      </c>
      <c r="AB59" s="8">
        <v>1100</v>
      </c>
      <c r="AC59" s="8">
        <v>2000</v>
      </c>
      <c r="AD59" s="7">
        <v>400</v>
      </c>
      <c r="AE59" s="7">
        <v>50</v>
      </c>
      <c r="AF59" s="7">
        <v>100</v>
      </c>
      <c r="AG59" s="7">
        <v>900</v>
      </c>
      <c r="AH59" s="7">
        <v>700</v>
      </c>
      <c r="AI59" s="7">
        <v>497</v>
      </c>
      <c r="AJ59" s="8">
        <v>1220</v>
      </c>
      <c r="AK59" s="8">
        <v>1304</v>
      </c>
      <c r="AL59" s="8">
        <v>1407</v>
      </c>
      <c r="AM59" s="7">
        <v>280</v>
      </c>
      <c r="AN59" s="7">
        <v>470</v>
      </c>
      <c r="AO59" s="8">
        <v>1722</v>
      </c>
      <c r="AP59" s="8">
        <v>1180</v>
      </c>
      <c r="AQ59" s="8">
        <v>1632</v>
      </c>
      <c r="AR59" s="7">
        <v>244</v>
      </c>
      <c r="AS59" s="7">
        <v>367</v>
      </c>
      <c r="AT59" s="7">
        <v>683</v>
      </c>
      <c r="AU59" s="7">
        <v>361</v>
      </c>
      <c r="AV59" s="7">
        <v>496</v>
      </c>
      <c r="AW59" s="8">
        <v>1147</v>
      </c>
      <c r="AX59" s="8">
        <v>1413</v>
      </c>
      <c r="AY59" s="7">
        <v>678</v>
      </c>
      <c r="AZ59" s="8">
        <v>1141</v>
      </c>
      <c r="BA59" s="7">
        <v>550</v>
      </c>
      <c r="BB59" s="8">
        <v>1000</v>
      </c>
      <c r="BC59" s="15">
        <v>0</v>
      </c>
      <c r="BD59" s="21">
        <f t="shared" si="13"/>
        <v>1.4224768707989185E-2</v>
      </c>
      <c r="BE59" s="21">
        <f t="shared" si="13"/>
        <v>1.560050345573785E-2</v>
      </c>
      <c r="BF59" s="21">
        <f t="shared" si="13"/>
        <v>6.8820609640975671E-3</v>
      </c>
      <c r="BG59" s="21">
        <f t="shared" si="13"/>
        <v>1.3815733711116761E-2</v>
      </c>
      <c r="BH59" s="21">
        <f t="shared" si="13"/>
        <v>6.12185837358919E-3</v>
      </c>
      <c r="BI59" s="21">
        <f t="shared" si="13"/>
        <v>1.0904768655332978E-2</v>
      </c>
      <c r="BJ59" s="23">
        <f t="shared" si="1"/>
        <v>1.0280786913346308E-2</v>
      </c>
    </row>
    <row r="60" spans="1:62" x14ac:dyDescent="0.25">
      <c r="A60" s="12"/>
      <c r="B60" s="2"/>
      <c r="C60" s="2" t="s">
        <v>8</v>
      </c>
      <c r="D60" s="4">
        <v>4</v>
      </c>
      <c r="E60" s="4">
        <v>6</v>
      </c>
      <c r="F60" s="4">
        <v>700</v>
      </c>
      <c r="G60" s="4">
        <v>62</v>
      </c>
      <c r="H60" s="4">
        <v>560</v>
      </c>
      <c r="I60" s="4">
        <v>621</v>
      </c>
      <c r="J60" s="4">
        <v>483</v>
      </c>
      <c r="K60" s="3">
        <v>1181</v>
      </c>
      <c r="L60" s="4">
        <v>610</v>
      </c>
      <c r="M60" s="3">
        <v>1788</v>
      </c>
      <c r="N60" s="4">
        <v>948</v>
      </c>
      <c r="O60" s="4">
        <v>172</v>
      </c>
      <c r="P60" s="4">
        <v>42</v>
      </c>
      <c r="Q60" s="3">
        <v>1311</v>
      </c>
      <c r="R60" s="4">
        <v>968</v>
      </c>
      <c r="S60" s="3">
        <v>1511</v>
      </c>
      <c r="T60" s="3">
        <v>1262</v>
      </c>
      <c r="U60" s="4">
        <v>0</v>
      </c>
      <c r="V60" s="4">
        <v>0</v>
      </c>
      <c r="W60" s="4">
        <v>0</v>
      </c>
      <c r="X60" s="4">
        <v>7</v>
      </c>
      <c r="Y60" s="4">
        <v>700</v>
      </c>
      <c r="Z60" s="4">
        <v>450</v>
      </c>
      <c r="AA60" s="4">
        <v>385</v>
      </c>
      <c r="AB60" s="4">
        <v>56</v>
      </c>
      <c r="AC60" s="4">
        <v>0</v>
      </c>
      <c r="AD60" s="4">
        <v>0</v>
      </c>
      <c r="AE60" s="4">
        <v>0</v>
      </c>
      <c r="AF60" s="4">
        <v>0</v>
      </c>
      <c r="AG60" s="4">
        <v>0</v>
      </c>
      <c r="AH60" s="4">
        <v>0</v>
      </c>
      <c r="AI60" s="4">
        <v>0</v>
      </c>
      <c r="AJ60" s="4">
        <v>9</v>
      </c>
      <c r="AK60" s="4">
        <v>4</v>
      </c>
      <c r="AL60" s="4">
        <v>56</v>
      </c>
      <c r="AM60" s="4">
        <v>267</v>
      </c>
      <c r="AN60" s="4">
        <v>92</v>
      </c>
      <c r="AO60" s="4">
        <v>6</v>
      </c>
      <c r="AP60" s="4">
        <v>8</v>
      </c>
      <c r="AQ60" s="4">
        <v>222</v>
      </c>
      <c r="AR60" s="3">
        <v>6261</v>
      </c>
      <c r="AS60" s="3">
        <v>2054</v>
      </c>
      <c r="AT60" s="3">
        <v>4625</v>
      </c>
      <c r="AU60" s="3">
        <v>4441</v>
      </c>
      <c r="AV60" s="4">
        <v>682</v>
      </c>
      <c r="AW60" s="3">
        <v>4524</v>
      </c>
      <c r="AX60" s="3">
        <v>10836</v>
      </c>
      <c r="AY60" s="3">
        <v>7791</v>
      </c>
      <c r="AZ60" s="3">
        <v>7136</v>
      </c>
      <c r="BA60" s="3">
        <v>11599</v>
      </c>
      <c r="BB60" s="3">
        <v>8500</v>
      </c>
      <c r="BC60" s="13">
        <v>0</v>
      </c>
      <c r="BD60" s="20">
        <f t="shared" si="13"/>
        <v>5.580224985198342E-2</v>
      </c>
      <c r="BE60" s="20">
        <f t="shared" si="13"/>
        <v>0.11520673634072956</v>
      </c>
      <c r="BF60" s="20">
        <f t="shared" si="13"/>
        <v>7.8990591288831208E-2</v>
      </c>
      <c r="BG60" s="20">
        <f t="shared" si="13"/>
        <v>8.4482697384777483E-2</v>
      </c>
      <c r="BH60" s="20">
        <f t="shared" si="13"/>
        <v>0.11959828011094728</v>
      </c>
      <c r="BI60" s="20">
        <f t="shared" si="13"/>
        <v>9.3615427822505148E-2</v>
      </c>
      <c r="BJ60" s="23">
        <f t="shared" si="1"/>
        <v>9.9232135106076647E-2</v>
      </c>
    </row>
    <row r="61" spans="1:62" s="5" customFormat="1" x14ac:dyDescent="0.25">
      <c r="A61" s="14"/>
      <c r="B61" s="6"/>
      <c r="C61" s="6" t="s">
        <v>9</v>
      </c>
      <c r="D61" s="8">
        <v>8937</v>
      </c>
      <c r="E61" s="8">
        <v>9587</v>
      </c>
      <c r="F61" s="8">
        <v>9919</v>
      </c>
      <c r="G61" s="8">
        <v>9301</v>
      </c>
      <c r="H61" s="8">
        <v>10007</v>
      </c>
      <c r="I61" s="8">
        <v>11703</v>
      </c>
      <c r="J61" s="8">
        <v>10950</v>
      </c>
      <c r="K61" s="8">
        <v>11484</v>
      </c>
      <c r="L61" s="8">
        <v>13926</v>
      </c>
      <c r="M61" s="8">
        <v>12700</v>
      </c>
      <c r="N61" s="8">
        <v>13239</v>
      </c>
      <c r="O61" s="8">
        <v>16415</v>
      </c>
      <c r="P61" s="8">
        <v>13567</v>
      </c>
      <c r="Q61" s="8">
        <v>15273</v>
      </c>
      <c r="R61" s="8">
        <v>15586</v>
      </c>
      <c r="S61" s="8">
        <v>16040</v>
      </c>
      <c r="T61" s="8">
        <v>17494</v>
      </c>
      <c r="U61" s="8">
        <v>16219</v>
      </c>
      <c r="V61" s="8">
        <v>17800</v>
      </c>
      <c r="W61" s="8">
        <v>21200</v>
      </c>
      <c r="X61" s="8">
        <v>22300</v>
      </c>
      <c r="Y61" s="8">
        <v>22035</v>
      </c>
      <c r="Z61" s="8">
        <v>20795</v>
      </c>
      <c r="AA61" s="8">
        <v>20980</v>
      </c>
      <c r="AB61" s="8">
        <v>21614</v>
      </c>
      <c r="AC61" s="8">
        <v>22264</v>
      </c>
      <c r="AD61" s="8">
        <v>26426</v>
      </c>
      <c r="AE61" s="8">
        <v>24470</v>
      </c>
      <c r="AF61" s="8">
        <v>25108</v>
      </c>
      <c r="AG61" s="8">
        <v>25800</v>
      </c>
      <c r="AH61" s="8">
        <v>25630</v>
      </c>
      <c r="AI61" s="8">
        <v>28670</v>
      </c>
      <c r="AJ61" s="8">
        <v>30200</v>
      </c>
      <c r="AK61" s="8">
        <v>33000</v>
      </c>
      <c r="AL61" s="8">
        <v>36000</v>
      </c>
      <c r="AM61" s="8">
        <v>36600</v>
      </c>
      <c r="AN61" s="8">
        <v>36250</v>
      </c>
      <c r="AO61" s="8">
        <v>33400</v>
      </c>
      <c r="AP61" s="8">
        <v>33200</v>
      </c>
      <c r="AQ61" s="8">
        <v>33500</v>
      </c>
      <c r="AR61" s="8">
        <v>34500</v>
      </c>
      <c r="AS61" s="8">
        <v>35000</v>
      </c>
      <c r="AT61" s="8">
        <v>35800</v>
      </c>
      <c r="AU61" s="8">
        <v>36300</v>
      </c>
      <c r="AV61" s="8">
        <v>38500</v>
      </c>
      <c r="AW61" s="8">
        <v>39500</v>
      </c>
      <c r="AX61" s="8">
        <v>41000</v>
      </c>
      <c r="AY61" s="8">
        <v>42500</v>
      </c>
      <c r="AZ61" s="8">
        <v>45500</v>
      </c>
      <c r="BA61" s="8">
        <v>47000</v>
      </c>
      <c r="BB61" s="8">
        <v>48800</v>
      </c>
      <c r="BC61" s="15">
        <v>0</v>
      </c>
      <c r="BD61" s="21">
        <f t="shared" si="13"/>
        <v>5.5951148273375891E-2</v>
      </c>
      <c r="BE61" s="21">
        <f t="shared" si="13"/>
        <v>5.6574197750278735E-2</v>
      </c>
      <c r="BF61" s="21">
        <f t="shared" si="13"/>
        <v>5.5034347907723588E-2</v>
      </c>
      <c r="BG61" s="21">
        <f t="shared" si="13"/>
        <v>5.8322491331739612E-2</v>
      </c>
      <c r="BH61" s="21">
        <f t="shared" si="13"/>
        <v>5.8128533318162201E-2</v>
      </c>
      <c r="BI61" s="21">
        <f t="shared" si="13"/>
        <v>5.8149025944236515E-2</v>
      </c>
      <c r="BJ61" s="23">
        <f t="shared" si="1"/>
        <v>5.8200016864712774E-2</v>
      </c>
    </row>
    <row r="62" spans="1:62" x14ac:dyDescent="0.25">
      <c r="A62" s="12"/>
      <c r="B62" s="2" t="s">
        <v>10</v>
      </c>
      <c r="C62" s="2" t="s">
        <v>6</v>
      </c>
      <c r="D62" s="3">
        <v>1950</v>
      </c>
      <c r="E62" s="3">
        <v>2525</v>
      </c>
      <c r="F62" s="3">
        <v>2300</v>
      </c>
      <c r="G62" s="3">
        <v>2300</v>
      </c>
      <c r="H62" s="3">
        <v>2100</v>
      </c>
      <c r="I62" s="3">
        <v>2499</v>
      </c>
      <c r="J62" s="3">
        <v>1961</v>
      </c>
      <c r="K62" s="3">
        <v>2641</v>
      </c>
      <c r="L62" s="3">
        <v>3298</v>
      </c>
      <c r="M62" s="3">
        <v>2664</v>
      </c>
      <c r="N62" s="3">
        <v>2733</v>
      </c>
      <c r="O62" s="3">
        <v>3123</v>
      </c>
      <c r="P62" s="3">
        <v>2990</v>
      </c>
      <c r="Q62" s="3">
        <v>2459</v>
      </c>
      <c r="R62" s="3">
        <v>2448</v>
      </c>
      <c r="S62" s="3">
        <v>1837</v>
      </c>
      <c r="T62" s="3">
        <v>2710</v>
      </c>
      <c r="U62" s="3">
        <v>2246</v>
      </c>
      <c r="V62" s="3">
        <v>2499</v>
      </c>
      <c r="W62" s="3">
        <v>2627</v>
      </c>
      <c r="X62" s="3">
        <v>2728</v>
      </c>
      <c r="Y62" s="3">
        <v>3123</v>
      </c>
      <c r="Z62" s="3">
        <v>2691</v>
      </c>
      <c r="AA62" s="3">
        <v>3096</v>
      </c>
      <c r="AB62" s="3">
        <v>4446</v>
      </c>
      <c r="AC62" s="3">
        <v>3642</v>
      </c>
      <c r="AD62" s="3">
        <v>2907</v>
      </c>
      <c r="AE62" s="3">
        <v>3968</v>
      </c>
      <c r="AF62" s="3">
        <v>3258</v>
      </c>
      <c r="AG62" s="3">
        <v>3058</v>
      </c>
      <c r="AH62" s="3">
        <v>3293</v>
      </c>
      <c r="AI62" s="3">
        <v>3064</v>
      </c>
      <c r="AJ62" s="3">
        <v>1929</v>
      </c>
      <c r="AK62" s="3">
        <v>2219</v>
      </c>
      <c r="AL62" s="3">
        <v>2467</v>
      </c>
      <c r="AM62" s="3">
        <v>1884</v>
      </c>
      <c r="AN62" s="3">
        <v>1405</v>
      </c>
      <c r="AO62" s="3">
        <v>1890</v>
      </c>
      <c r="AP62" s="3">
        <v>2391</v>
      </c>
      <c r="AQ62" s="3">
        <v>3216</v>
      </c>
      <c r="AR62" s="3">
        <v>4312</v>
      </c>
      <c r="AS62" s="3">
        <v>3519</v>
      </c>
      <c r="AT62" s="3">
        <v>3890</v>
      </c>
      <c r="AU62" s="3">
        <v>6015</v>
      </c>
      <c r="AV62" s="3">
        <v>5900</v>
      </c>
      <c r="AW62" s="3">
        <v>4700</v>
      </c>
      <c r="AX62" s="3">
        <v>7000</v>
      </c>
      <c r="AY62" s="3">
        <v>7360</v>
      </c>
      <c r="AZ62" s="3">
        <v>5480</v>
      </c>
      <c r="BA62" s="3">
        <v>5450</v>
      </c>
      <c r="BB62" s="3">
        <v>9000</v>
      </c>
      <c r="BC62" s="13">
        <v>0</v>
      </c>
      <c r="BD62" s="20">
        <f t="shared" si="13"/>
        <v>4.0366562744239179E-2</v>
      </c>
      <c r="BE62" s="20">
        <f t="shared" si="13"/>
        <v>5.7465602732078944E-2</v>
      </c>
      <c r="BF62" s="20">
        <f t="shared" si="13"/>
        <v>6.1495784697910311E-2</v>
      </c>
      <c r="BG62" s="20">
        <f t="shared" si="13"/>
        <v>5.1166178035891019E-2</v>
      </c>
      <c r="BH62" s="20">
        <f t="shared" si="13"/>
        <v>5.3777233975371014E-2</v>
      </c>
      <c r="BI62" s="20">
        <f t="shared" si="13"/>
        <v>7.8579972584320673E-2</v>
      </c>
      <c r="BJ62" s="23">
        <f t="shared" si="1"/>
        <v>6.1174461531860902E-2</v>
      </c>
    </row>
    <row r="63" spans="1:62" s="5" customFormat="1" x14ac:dyDescent="0.25">
      <c r="A63" s="14"/>
      <c r="B63" s="6"/>
      <c r="C63" s="6" t="s">
        <v>7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18</v>
      </c>
      <c r="O63" s="7">
        <v>4</v>
      </c>
      <c r="P63" s="7">
        <v>1</v>
      </c>
      <c r="Q63" s="7">
        <v>0</v>
      </c>
      <c r="R63" s="7">
        <v>0</v>
      </c>
      <c r="S63" s="7">
        <v>5</v>
      </c>
      <c r="T63" s="7">
        <v>0</v>
      </c>
      <c r="U63" s="7">
        <v>0</v>
      </c>
      <c r="V63" s="7">
        <v>0</v>
      </c>
      <c r="W63" s="7">
        <v>0</v>
      </c>
      <c r="X63" s="7">
        <v>14</v>
      </c>
      <c r="Y63" s="7">
        <v>0</v>
      </c>
      <c r="Z63" s="7">
        <v>0</v>
      </c>
      <c r="AA63" s="7">
        <v>41</v>
      </c>
      <c r="AB63" s="7">
        <v>18</v>
      </c>
      <c r="AC63" s="7">
        <v>248</v>
      </c>
      <c r="AD63" s="7">
        <v>243</v>
      </c>
      <c r="AE63" s="7">
        <v>197</v>
      </c>
      <c r="AF63" s="7">
        <v>473</v>
      </c>
      <c r="AG63" s="7">
        <v>519</v>
      </c>
      <c r="AH63" s="7">
        <v>409</v>
      </c>
      <c r="AI63" s="7">
        <v>657</v>
      </c>
      <c r="AJ63" s="8">
        <v>1823</v>
      </c>
      <c r="AK63" s="8">
        <v>1869</v>
      </c>
      <c r="AL63" s="8">
        <v>1612</v>
      </c>
      <c r="AM63" s="8">
        <v>1768</v>
      </c>
      <c r="AN63" s="8">
        <v>2386</v>
      </c>
      <c r="AO63" s="8">
        <v>1884</v>
      </c>
      <c r="AP63" s="8">
        <v>1334</v>
      </c>
      <c r="AQ63" s="8">
        <v>1559</v>
      </c>
      <c r="AR63" s="7">
        <v>603</v>
      </c>
      <c r="AS63" s="7">
        <v>253</v>
      </c>
      <c r="AT63" s="7">
        <v>563</v>
      </c>
      <c r="AU63" s="7">
        <v>545</v>
      </c>
      <c r="AV63" s="7">
        <v>212</v>
      </c>
      <c r="AW63" s="7">
        <v>308</v>
      </c>
      <c r="AX63" s="7">
        <v>515</v>
      </c>
      <c r="AY63" s="7">
        <v>164</v>
      </c>
      <c r="AZ63" s="7">
        <v>50</v>
      </c>
      <c r="BA63" s="7">
        <v>151</v>
      </c>
      <c r="BB63" s="7">
        <v>650</v>
      </c>
      <c r="BC63" s="15">
        <v>0</v>
      </c>
      <c r="BD63" s="21">
        <f t="shared" si="13"/>
        <v>6.8794532174845328E-3</v>
      </c>
      <c r="BE63" s="21">
        <f t="shared" si="13"/>
        <v>1.3542296668332062E-2</v>
      </c>
      <c r="BF63" s="21">
        <f t="shared" si="13"/>
        <v>4.2095536333068093E-3</v>
      </c>
      <c r="BG63" s="21">
        <f t="shared" si="13"/>
        <v>1.6587599110904688E-3</v>
      </c>
      <c r="BH63" s="21">
        <f t="shared" si="13"/>
        <v>4.1754230726689526E-3</v>
      </c>
      <c r="BI63" s="21">
        <f t="shared" si="13"/>
        <v>1.7047838858581618E-2</v>
      </c>
      <c r="BJ63" s="23">
        <f t="shared" si="1"/>
        <v>7.6273406141136799E-3</v>
      </c>
    </row>
    <row r="64" spans="1:62" x14ac:dyDescent="0.25">
      <c r="A64" s="12"/>
      <c r="B64" s="2"/>
      <c r="C64" s="2" t="s">
        <v>8</v>
      </c>
      <c r="D64" s="4">
        <v>695</v>
      </c>
      <c r="E64" s="4">
        <v>847</v>
      </c>
      <c r="F64" s="3">
        <v>1145</v>
      </c>
      <c r="G64" s="3">
        <v>1023</v>
      </c>
      <c r="H64" s="3">
        <v>1040</v>
      </c>
      <c r="I64" s="4">
        <v>937</v>
      </c>
      <c r="J64" s="3">
        <v>1014</v>
      </c>
      <c r="K64" s="4">
        <v>836</v>
      </c>
      <c r="L64" s="3">
        <v>1765</v>
      </c>
      <c r="M64" s="3">
        <v>1933</v>
      </c>
      <c r="N64" s="3">
        <v>1011</v>
      </c>
      <c r="O64" s="3">
        <v>1409</v>
      </c>
      <c r="P64" s="3">
        <v>1333</v>
      </c>
      <c r="Q64" s="4">
        <v>661</v>
      </c>
      <c r="R64" s="4">
        <v>269</v>
      </c>
      <c r="S64" s="4">
        <v>356</v>
      </c>
      <c r="T64" s="4">
        <v>54</v>
      </c>
      <c r="U64" s="4">
        <v>192</v>
      </c>
      <c r="V64" s="4">
        <v>141</v>
      </c>
      <c r="W64" s="4">
        <v>0</v>
      </c>
      <c r="X64" s="4">
        <v>42</v>
      </c>
      <c r="Y64" s="4">
        <v>138</v>
      </c>
      <c r="Z64" s="3">
        <v>1021</v>
      </c>
      <c r="AA64" s="4">
        <v>80</v>
      </c>
      <c r="AB64" s="4">
        <v>354</v>
      </c>
      <c r="AC64" s="4">
        <v>358</v>
      </c>
      <c r="AD64" s="4">
        <v>303</v>
      </c>
      <c r="AE64" s="4">
        <v>597</v>
      </c>
      <c r="AF64" s="4">
        <v>464</v>
      </c>
      <c r="AG64" s="4">
        <v>661</v>
      </c>
      <c r="AH64" s="4">
        <v>716</v>
      </c>
      <c r="AI64" s="4">
        <v>133</v>
      </c>
      <c r="AJ64" s="4">
        <v>110</v>
      </c>
      <c r="AK64" s="4">
        <v>5</v>
      </c>
      <c r="AL64" s="4">
        <v>152</v>
      </c>
      <c r="AM64" s="4">
        <v>101</v>
      </c>
      <c r="AN64" s="4">
        <v>0</v>
      </c>
      <c r="AO64" s="4">
        <v>0</v>
      </c>
      <c r="AP64" s="4">
        <v>23</v>
      </c>
      <c r="AQ64" s="4">
        <v>12</v>
      </c>
      <c r="AR64" s="4">
        <v>315</v>
      </c>
      <c r="AS64" s="4">
        <v>674</v>
      </c>
      <c r="AT64" s="4">
        <v>489</v>
      </c>
      <c r="AU64" s="4">
        <v>964</v>
      </c>
      <c r="AV64" s="3">
        <v>1557</v>
      </c>
      <c r="AW64" s="3">
        <v>1972</v>
      </c>
      <c r="AX64" s="3">
        <v>1300</v>
      </c>
      <c r="AY64" s="3">
        <v>2231</v>
      </c>
      <c r="AZ64" s="3">
        <v>2739</v>
      </c>
      <c r="BA64" s="3">
        <v>1990</v>
      </c>
      <c r="BB64" s="3">
        <v>2350</v>
      </c>
      <c r="BC64" s="13">
        <v>0</v>
      </c>
      <c r="BD64" s="20">
        <f t="shared" si="13"/>
        <v>4.396486378026486E-2</v>
      </c>
      <c r="BE64" s="20">
        <f t="shared" si="13"/>
        <v>3.468886754189348E-2</v>
      </c>
      <c r="BF64" s="20">
        <f t="shared" si="13"/>
        <v>5.7197795154467379E-2</v>
      </c>
      <c r="BG64" s="20">
        <f t="shared" si="13"/>
        <v>9.1102611009479459E-2</v>
      </c>
      <c r="BH64" s="20">
        <f t="shared" si="13"/>
        <v>5.5930297920179874E-2</v>
      </c>
      <c r="BI64" s="20">
        <f t="shared" si="13"/>
        <v>6.1631261473905061E-2</v>
      </c>
      <c r="BJ64" s="23">
        <f t="shared" si="1"/>
        <v>6.9554723467854795E-2</v>
      </c>
    </row>
    <row r="65" spans="1:62" s="5" customFormat="1" x14ac:dyDescent="0.25">
      <c r="A65" s="14"/>
      <c r="B65" s="6"/>
      <c r="C65" s="6" t="s">
        <v>9</v>
      </c>
      <c r="D65" s="8">
        <v>1255</v>
      </c>
      <c r="E65" s="8">
        <v>1363</v>
      </c>
      <c r="F65" s="8">
        <v>1255</v>
      </c>
      <c r="G65" s="8">
        <v>1302</v>
      </c>
      <c r="H65" s="8">
        <v>1148</v>
      </c>
      <c r="I65" s="8">
        <v>1277</v>
      </c>
      <c r="J65" s="8">
        <v>1278</v>
      </c>
      <c r="K65" s="8">
        <v>1290</v>
      </c>
      <c r="L65" s="8">
        <v>1349</v>
      </c>
      <c r="M65" s="8">
        <v>1374</v>
      </c>
      <c r="N65" s="8">
        <v>1391</v>
      </c>
      <c r="O65" s="8">
        <v>1437</v>
      </c>
      <c r="P65" s="8">
        <v>1638</v>
      </c>
      <c r="Q65" s="8">
        <v>1790</v>
      </c>
      <c r="R65" s="8">
        <v>1885</v>
      </c>
      <c r="S65" s="8">
        <v>2056</v>
      </c>
      <c r="T65" s="8">
        <v>2107</v>
      </c>
      <c r="U65" s="8">
        <v>2233</v>
      </c>
      <c r="V65" s="8">
        <v>2456</v>
      </c>
      <c r="W65" s="8">
        <v>2591</v>
      </c>
      <c r="X65" s="8">
        <v>2601</v>
      </c>
      <c r="Y65" s="8">
        <v>2631</v>
      </c>
      <c r="Z65" s="8">
        <v>2603</v>
      </c>
      <c r="AA65" s="8">
        <v>2553</v>
      </c>
      <c r="AB65" s="8">
        <v>2754</v>
      </c>
      <c r="AC65" s="8">
        <v>3182</v>
      </c>
      <c r="AD65" s="8">
        <v>3485</v>
      </c>
      <c r="AE65" s="8">
        <v>3728</v>
      </c>
      <c r="AF65" s="8">
        <v>3774</v>
      </c>
      <c r="AG65" s="8">
        <v>3506</v>
      </c>
      <c r="AH65" s="8">
        <v>3321</v>
      </c>
      <c r="AI65" s="8">
        <v>3361</v>
      </c>
      <c r="AJ65" s="8">
        <v>3642</v>
      </c>
      <c r="AK65" s="8">
        <v>3829</v>
      </c>
      <c r="AL65" s="8">
        <v>3754</v>
      </c>
      <c r="AM65" s="8">
        <v>3759</v>
      </c>
      <c r="AN65" s="8">
        <v>3677</v>
      </c>
      <c r="AO65" s="8">
        <v>3551</v>
      </c>
      <c r="AP65" s="8">
        <v>3674</v>
      </c>
      <c r="AQ65" s="8">
        <v>4111</v>
      </c>
      <c r="AR65" s="8">
        <v>4025</v>
      </c>
      <c r="AS65" s="8">
        <v>3689</v>
      </c>
      <c r="AT65" s="8">
        <v>3585</v>
      </c>
      <c r="AU65" s="8">
        <v>3865</v>
      </c>
      <c r="AV65" s="8">
        <v>4160</v>
      </c>
      <c r="AW65" s="8">
        <v>4302</v>
      </c>
      <c r="AX65" s="8">
        <v>4423</v>
      </c>
      <c r="AY65" s="8">
        <v>4450</v>
      </c>
      <c r="AZ65" s="8">
        <v>4050</v>
      </c>
      <c r="BA65" s="8">
        <v>4250</v>
      </c>
      <c r="BB65" s="8">
        <v>4250</v>
      </c>
      <c r="BC65" s="15">
        <v>0</v>
      </c>
      <c r="BD65" s="21">
        <f t="shared" si="13"/>
        <v>3.7396338601157882E-2</v>
      </c>
      <c r="BE65" s="21">
        <f t="shared" si="13"/>
        <v>3.6258259144491989E-2</v>
      </c>
      <c r="BF65" s="21">
        <f t="shared" si="13"/>
        <v>3.6723746647410772E-2</v>
      </c>
      <c r="BG65" s="21">
        <f t="shared" si="13"/>
        <v>3.7712657485264131E-2</v>
      </c>
      <c r="BH65" s="21">
        <f t="shared" si="13"/>
        <v>3.5879815282268621E-2</v>
      </c>
      <c r="BI65" s="21">
        <f t="shared" si="13"/>
        <v>3.6333170902686944E-2</v>
      </c>
      <c r="BJ65" s="23">
        <f t="shared" si="1"/>
        <v>3.6641881223406565E-2</v>
      </c>
    </row>
    <row r="66" spans="1:62" x14ac:dyDescent="0.25">
      <c r="A66" s="12"/>
      <c r="B66" s="2" t="s">
        <v>11</v>
      </c>
      <c r="C66" s="2" t="s">
        <v>6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3">
        <v>17300</v>
      </c>
      <c r="AE66" s="3">
        <v>18020</v>
      </c>
      <c r="AF66" s="3">
        <v>23600</v>
      </c>
      <c r="AG66" s="3">
        <v>20340</v>
      </c>
      <c r="AH66" s="3">
        <v>15750</v>
      </c>
      <c r="AI66" s="3">
        <v>19300</v>
      </c>
      <c r="AJ66" s="3">
        <v>22500</v>
      </c>
      <c r="AK66" s="3">
        <v>24700</v>
      </c>
      <c r="AL66" s="3">
        <v>25900</v>
      </c>
      <c r="AM66" s="3">
        <v>24150</v>
      </c>
      <c r="AN66" s="3">
        <v>27300</v>
      </c>
      <c r="AO66" s="3">
        <v>32500</v>
      </c>
      <c r="AP66" s="3">
        <v>31300</v>
      </c>
      <c r="AQ66" s="3">
        <v>34700</v>
      </c>
      <c r="AR66" s="3">
        <v>39500</v>
      </c>
      <c r="AS66" s="3">
        <v>43500</v>
      </c>
      <c r="AT66" s="3">
        <v>52000</v>
      </c>
      <c r="AU66" s="3">
        <v>51000</v>
      </c>
      <c r="AV66" s="3">
        <v>53000</v>
      </c>
      <c r="AW66" s="3">
        <v>57000</v>
      </c>
      <c r="AX66" s="3">
        <v>59000</v>
      </c>
      <c r="AY66" s="3">
        <v>61000</v>
      </c>
      <c r="AZ66" s="3">
        <v>57800</v>
      </c>
      <c r="BA66" s="3">
        <v>69000</v>
      </c>
      <c r="BB66" s="3">
        <v>72000</v>
      </c>
      <c r="BC66" s="13">
        <v>0</v>
      </c>
      <c r="BD66" s="20">
        <f t="shared" si="13"/>
        <v>0.2583101080823873</v>
      </c>
      <c r="BE66" s="20">
        <f t="shared" si="13"/>
        <v>0.24975342141021789</v>
      </c>
      <c r="BF66" s="20">
        <f t="shared" si="13"/>
        <v>0.27676950998185118</v>
      </c>
      <c r="BG66" s="20">
        <f t="shared" si="13"/>
        <v>0.27270325356684533</v>
      </c>
      <c r="BH66" s="20">
        <f t="shared" si="13"/>
        <v>0.26515821106593601</v>
      </c>
      <c r="BI66" s="20">
        <f t="shared" si="13"/>
        <v>0.27589166653893904</v>
      </c>
      <c r="BJ66" s="23">
        <f t="shared" si="1"/>
        <v>0.27125104372390679</v>
      </c>
    </row>
    <row r="67" spans="1:62" s="5" customFormat="1" x14ac:dyDescent="0.25">
      <c r="A67" s="14"/>
      <c r="B67" s="6"/>
      <c r="C67" s="6" t="s">
        <v>7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441</v>
      </c>
      <c r="AF67" s="7">
        <v>62</v>
      </c>
      <c r="AG67" s="7">
        <v>63</v>
      </c>
      <c r="AH67" s="7">
        <v>126</v>
      </c>
      <c r="AI67" s="7">
        <v>279</v>
      </c>
      <c r="AJ67" s="7">
        <v>375</v>
      </c>
      <c r="AK67" s="7">
        <v>190</v>
      </c>
      <c r="AL67" s="8">
        <v>1200</v>
      </c>
      <c r="AM67" s="8">
        <v>1050</v>
      </c>
      <c r="AN67" s="7">
        <v>940</v>
      </c>
      <c r="AO67" s="8">
        <v>1591</v>
      </c>
      <c r="AP67" s="7">
        <v>730</v>
      </c>
      <c r="AQ67" s="7">
        <v>674</v>
      </c>
      <c r="AR67" s="7">
        <v>733</v>
      </c>
      <c r="AS67" s="8">
        <v>1112</v>
      </c>
      <c r="AT67" s="8">
        <v>1321</v>
      </c>
      <c r="AU67" s="7">
        <v>328</v>
      </c>
      <c r="AV67" s="7">
        <v>475</v>
      </c>
      <c r="AW67" s="7">
        <v>63</v>
      </c>
      <c r="AX67" s="7">
        <v>53</v>
      </c>
      <c r="AY67" s="7">
        <v>150</v>
      </c>
      <c r="AZ67" s="7">
        <v>44</v>
      </c>
      <c r="BA67" s="7">
        <v>174</v>
      </c>
      <c r="BB67" s="7">
        <v>175</v>
      </c>
      <c r="BC67" s="15">
        <v>0</v>
      </c>
      <c r="BD67" s="21">
        <f t="shared" si="13"/>
        <v>9.8239486035958776E-4</v>
      </c>
      <c r="BE67" s="21">
        <f t="shared" si="13"/>
        <v>7.6741525853206492E-4</v>
      </c>
      <c r="BF67" s="21">
        <f t="shared" si="13"/>
        <v>1.9203441256673195E-3</v>
      </c>
      <c r="BG67" s="21">
        <f t="shared" si="13"/>
        <v>5.6865177832919774E-4</v>
      </c>
      <c r="BH67" s="21">
        <f t="shared" si="13"/>
        <v>2.0065732572219341E-3</v>
      </c>
      <c r="BI67" s="21">
        <f t="shared" si="13"/>
        <v>1.8349585823634266E-3</v>
      </c>
      <c r="BJ67" s="23">
        <f t="shared" si="1"/>
        <v>1.4700612059715195E-3</v>
      </c>
    </row>
    <row r="68" spans="1:62" x14ac:dyDescent="0.25">
      <c r="A68" s="12"/>
      <c r="B68" s="2"/>
      <c r="C68" s="2" t="s">
        <v>8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  <c r="Y68" s="4">
        <v>0</v>
      </c>
      <c r="Z68" s="4">
        <v>0</v>
      </c>
      <c r="AA68" s="4">
        <v>0</v>
      </c>
      <c r="AB68" s="4">
        <v>0</v>
      </c>
      <c r="AC68" s="4">
        <v>0</v>
      </c>
      <c r="AD68" s="4">
        <v>0</v>
      </c>
      <c r="AE68" s="3">
        <v>2711</v>
      </c>
      <c r="AF68" s="3">
        <v>4838</v>
      </c>
      <c r="AG68" s="3">
        <v>3933</v>
      </c>
      <c r="AH68" s="3">
        <v>2478</v>
      </c>
      <c r="AI68" s="3">
        <v>3872</v>
      </c>
      <c r="AJ68" s="3">
        <v>4056</v>
      </c>
      <c r="AK68" s="3">
        <v>5434</v>
      </c>
      <c r="AL68" s="3">
        <v>3566</v>
      </c>
      <c r="AM68" s="3">
        <v>3458</v>
      </c>
      <c r="AN68" s="3">
        <v>8424</v>
      </c>
      <c r="AO68" s="3">
        <v>8760</v>
      </c>
      <c r="AP68" s="3">
        <v>8931</v>
      </c>
      <c r="AQ68" s="3">
        <v>11101</v>
      </c>
      <c r="AR68" s="3">
        <v>15469</v>
      </c>
      <c r="AS68" s="3">
        <v>14504</v>
      </c>
      <c r="AT68" s="3">
        <v>19629</v>
      </c>
      <c r="AU68" s="3">
        <v>20417</v>
      </c>
      <c r="AV68" s="3">
        <v>20137</v>
      </c>
      <c r="AW68" s="3">
        <v>25911</v>
      </c>
      <c r="AX68" s="3">
        <v>23485</v>
      </c>
      <c r="AY68" s="3">
        <v>25364</v>
      </c>
      <c r="AZ68" s="3">
        <v>29987</v>
      </c>
      <c r="BA68" s="3">
        <v>28578</v>
      </c>
      <c r="BB68" s="3">
        <v>32750</v>
      </c>
      <c r="BC68" s="13">
        <v>0</v>
      </c>
      <c r="BD68" s="20">
        <f t="shared" si="13"/>
        <v>0.40848467650397274</v>
      </c>
      <c r="BE68" s="20">
        <f t="shared" si="13"/>
        <v>0.33142349105996244</v>
      </c>
      <c r="BF68" s="20">
        <f t="shared" si="13"/>
        <v>0.32198032370675977</v>
      </c>
      <c r="BG68" s="20">
        <f t="shared" si="13"/>
        <v>0.39024231540043208</v>
      </c>
      <c r="BH68" s="20">
        <f t="shared" si="13"/>
        <v>0.30840788664299668</v>
      </c>
      <c r="BI68" s="20">
        <f t="shared" si="13"/>
        <v>0.33245355801441479</v>
      </c>
      <c r="BJ68" s="23">
        <f t="shared" si="1"/>
        <v>0.34370125335261453</v>
      </c>
    </row>
    <row r="69" spans="1:62" s="5" customFormat="1" x14ac:dyDescent="0.25">
      <c r="A69" s="14"/>
      <c r="B69" s="6"/>
      <c r="C69" s="6" t="s">
        <v>9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8">
        <v>14016</v>
      </c>
      <c r="AE69" s="8">
        <v>14175</v>
      </c>
      <c r="AF69" s="8">
        <v>15942</v>
      </c>
      <c r="AG69" s="8">
        <v>17104</v>
      </c>
      <c r="AH69" s="8">
        <v>15406</v>
      </c>
      <c r="AI69" s="8">
        <v>16201</v>
      </c>
      <c r="AJ69" s="8">
        <v>16977</v>
      </c>
      <c r="AK69" s="8">
        <v>20046</v>
      </c>
      <c r="AL69" s="8">
        <v>21838</v>
      </c>
      <c r="AM69" s="8">
        <v>23239</v>
      </c>
      <c r="AN69" s="8">
        <v>21617</v>
      </c>
      <c r="AO69" s="8">
        <v>21692</v>
      </c>
      <c r="AP69" s="8">
        <v>22907</v>
      </c>
      <c r="AQ69" s="8">
        <v>22941</v>
      </c>
      <c r="AR69" s="8">
        <v>24734</v>
      </c>
      <c r="AS69" s="8">
        <v>26963</v>
      </c>
      <c r="AT69" s="8">
        <v>29649</v>
      </c>
      <c r="AU69" s="8">
        <v>32040</v>
      </c>
      <c r="AV69" s="8">
        <v>32187</v>
      </c>
      <c r="AW69" s="8">
        <v>31169</v>
      </c>
      <c r="AX69" s="8">
        <v>34020</v>
      </c>
      <c r="AY69" s="8">
        <v>35077</v>
      </c>
      <c r="AZ69" s="8">
        <v>34718</v>
      </c>
      <c r="BA69" s="8">
        <v>36570</v>
      </c>
      <c r="BB69" s="8">
        <v>38600</v>
      </c>
      <c r="BC69" s="15">
        <v>0</v>
      </c>
      <c r="BD69" s="21">
        <f t="shared" si="13"/>
        <v>0.14421012695710109</v>
      </c>
      <c r="BE69" s="21">
        <f t="shared" si="13"/>
        <v>0.15081391637408234</v>
      </c>
      <c r="BF69" s="21">
        <f t="shared" si="13"/>
        <v>0.15214619081492792</v>
      </c>
      <c r="BG69" s="21">
        <f t="shared" si="13"/>
        <v>0.15685583521959726</v>
      </c>
      <c r="BH69" s="21">
        <f t="shared" si="13"/>
        <v>0.15367870770368627</v>
      </c>
      <c r="BI69" s="21">
        <f t="shared" si="13"/>
        <v>0.15091565925902758</v>
      </c>
      <c r="BJ69" s="23">
        <f t="shared" ref="BJ69:BJ135" si="14">AVERAGE(BH69,BI69,BG69)</f>
        <v>0.15381673406077037</v>
      </c>
    </row>
    <row r="70" spans="1:62" x14ac:dyDescent="0.25">
      <c r="A70" s="12"/>
      <c r="B70" s="2" t="s">
        <v>12</v>
      </c>
      <c r="C70" s="2" t="s">
        <v>6</v>
      </c>
      <c r="D70" s="3">
        <v>3667</v>
      </c>
      <c r="E70" s="3">
        <v>3779</v>
      </c>
      <c r="F70" s="3">
        <v>3903</v>
      </c>
      <c r="G70" s="3">
        <v>4315</v>
      </c>
      <c r="H70" s="3">
        <v>5154</v>
      </c>
      <c r="I70" s="3">
        <v>3945</v>
      </c>
      <c r="J70" s="3">
        <v>4619</v>
      </c>
      <c r="K70" s="3">
        <v>4523</v>
      </c>
      <c r="L70" s="3">
        <v>4348</v>
      </c>
      <c r="M70" s="3">
        <v>4521</v>
      </c>
      <c r="N70" s="3">
        <v>3668</v>
      </c>
      <c r="O70" s="3">
        <v>4170</v>
      </c>
      <c r="P70" s="3">
        <v>4510</v>
      </c>
      <c r="Q70" s="3">
        <v>4408</v>
      </c>
      <c r="R70" s="3">
        <v>4760</v>
      </c>
      <c r="S70" s="3">
        <v>5780</v>
      </c>
      <c r="T70" s="3">
        <v>5440</v>
      </c>
      <c r="U70" s="3">
        <v>5087</v>
      </c>
      <c r="V70" s="3">
        <v>5163</v>
      </c>
      <c r="W70" s="3">
        <v>6554</v>
      </c>
      <c r="X70" s="3">
        <v>5874</v>
      </c>
      <c r="Y70" s="3">
        <v>6225</v>
      </c>
      <c r="Z70" s="3">
        <v>5304</v>
      </c>
      <c r="AA70" s="3">
        <v>6120</v>
      </c>
      <c r="AB70" s="3">
        <v>5960</v>
      </c>
      <c r="AC70" s="3">
        <v>6675</v>
      </c>
      <c r="AD70" s="3">
        <v>7193</v>
      </c>
      <c r="AE70" s="3">
        <v>8024</v>
      </c>
      <c r="AF70" s="3">
        <v>7540</v>
      </c>
      <c r="AG70" s="3">
        <v>5420</v>
      </c>
      <c r="AH70" s="3">
        <v>6800</v>
      </c>
      <c r="AI70" s="3">
        <v>6868</v>
      </c>
      <c r="AJ70" s="3">
        <v>6733</v>
      </c>
      <c r="AK70" s="3">
        <v>7150</v>
      </c>
      <c r="AL70" s="3">
        <v>7640</v>
      </c>
      <c r="AM70" s="3">
        <v>6818</v>
      </c>
      <c r="AN70" s="3">
        <v>6476</v>
      </c>
      <c r="AO70" s="3">
        <v>5754</v>
      </c>
      <c r="AP70" s="3">
        <v>7876</v>
      </c>
      <c r="AQ70" s="3">
        <v>7768</v>
      </c>
      <c r="AR70" s="3">
        <v>6933</v>
      </c>
      <c r="AS70" s="3">
        <v>7067</v>
      </c>
      <c r="AT70" s="3">
        <v>7050</v>
      </c>
      <c r="AU70" s="3">
        <v>8709</v>
      </c>
      <c r="AV70" s="3">
        <v>8996</v>
      </c>
      <c r="AW70" s="3">
        <v>7874</v>
      </c>
      <c r="AX70" s="3">
        <v>7695</v>
      </c>
      <c r="AY70" s="3">
        <v>8199</v>
      </c>
      <c r="AZ70" s="3">
        <v>8570</v>
      </c>
      <c r="BA70" s="3">
        <v>7657</v>
      </c>
      <c r="BB70" s="3">
        <v>8908</v>
      </c>
      <c r="BC70" s="13">
        <v>0</v>
      </c>
      <c r="BD70" s="20">
        <f t="shared" si="13"/>
        <v>1.8810140371329467E-2</v>
      </c>
      <c r="BE70" s="20">
        <f t="shared" si="13"/>
        <v>1.8308873915029694E-2</v>
      </c>
      <c r="BF70" s="20">
        <f t="shared" si="13"/>
        <v>1.8909002013362455E-2</v>
      </c>
      <c r="BG70" s="20">
        <f t="shared" si="13"/>
        <v>1.9126433087613345E-2</v>
      </c>
      <c r="BH70" s="20">
        <f t="shared" si="13"/>
        <v>1.7388322550317588E-2</v>
      </c>
      <c r="BI70" s="20">
        <f t="shared" si="13"/>
        <v>1.9765643548319098E-2</v>
      </c>
      <c r="BJ70" s="23">
        <f t="shared" si="14"/>
        <v>1.8760133062083344E-2</v>
      </c>
    </row>
    <row r="71" spans="1:62" s="5" customFormat="1" x14ac:dyDescent="0.25">
      <c r="A71" s="14"/>
      <c r="B71" s="6"/>
      <c r="C71" s="6" t="s">
        <v>7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1</v>
      </c>
      <c r="O71" s="7">
        <v>9</v>
      </c>
      <c r="P71" s="7">
        <v>11</v>
      </c>
      <c r="Q71" s="7">
        <v>20</v>
      </c>
      <c r="R71" s="7">
        <v>40</v>
      </c>
      <c r="S71" s="7">
        <v>0</v>
      </c>
      <c r="T71" s="7">
        <v>0</v>
      </c>
      <c r="U71" s="7">
        <v>78</v>
      </c>
      <c r="V71" s="7">
        <v>736</v>
      </c>
      <c r="W71" s="7">
        <v>242</v>
      </c>
      <c r="X71" s="7">
        <v>0</v>
      </c>
      <c r="Y71" s="7">
        <v>180</v>
      </c>
      <c r="Z71" s="7">
        <v>340</v>
      </c>
      <c r="AA71" s="7">
        <v>41</v>
      </c>
      <c r="AB71" s="7">
        <v>700</v>
      </c>
      <c r="AC71" s="8">
        <v>1300</v>
      </c>
      <c r="AD71" s="7">
        <v>50</v>
      </c>
      <c r="AE71" s="7">
        <v>64</v>
      </c>
      <c r="AF71" s="7">
        <v>180</v>
      </c>
      <c r="AG71" s="7">
        <v>405</v>
      </c>
      <c r="AH71" s="7">
        <v>965</v>
      </c>
      <c r="AI71" s="7">
        <v>450</v>
      </c>
      <c r="AJ71" s="7">
        <v>716</v>
      </c>
      <c r="AK71" s="7">
        <v>980</v>
      </c>
      <c r="AL71" s="7">
        <v>895</v>
      </c>
      <c r="AM71" s="7">
        <v>770</v>
      </c>
      <c r="AN71" s="7">
        <v>624</v>
      </c>
      <c r="AO71" s="8">
        <v>1372</v>
      </c>
      <c r="AP71" s="7">
        <v>854</v>
      </c>
      <c r="AQ71" s="7">
        <v>538</v>
      </c>
      <c r="AR71" s="7">
        <v>663</v>
      </c>
      <c r="AS71" s="7">
        <v>579</v>
      </c>
      <c r="AT71" s="8">
        <v>1226</v>
      </c>
      <c r="AU71" s="7">
        <v>881</v>
      </c>
      <c r="AV71" s="7">
        <v>510</v>
      </c>
      <c r="AW71" s="7">
        <v>750</v>
      </c>
      <c r="AX71" s="7">
        <v>732</v>
      </c>
      <c r="AY71" s="7">
        <v>422</v>
      </c>
      <c r="AZ71" s="7">
        <v>675</v>
      </c>
      <c r="BA71" s="7">
        <v>725</v>
      </c>
      <c r="BB71" s="7">
        <v>500</v>
      </c>
      <c r="BC71" s="15">
        <v>0</v>
      </c>
      <c r="BD71" s="21">
        <f t="shared" si="13"/>
        <v>2.8301886792452831E-2</v>
      </c>
      <c r="BE71" s="21">
        <f t="shared" si="13"/>
        <v>2.5933536455750018E-2</v>
      </c>
      <c r="BF71" s="21">
        <f t="shared" si="13"/>
        <v>1.4335699969426232E-2</v>
      </c>
      <c r="BG71" s="21">
        <f t="shared" si="13"/>
        <v>2.4862794209731483E-2</v>
      </c>
      <c r="BH71" s="21">
        <f t="shared" si="13"/>
        <v>2.5823686553873553E-2</v>
      </c>
      <c r="BI71" s="21">
        <f t="shared" si="13"/>
        <v>1.7104542966611933E-2</v>
      </c>
      <c r="BJ71" s="23">
        <f t="shared" si="14"/>
        <v>2.2597007910072325E-2</v>
      </c>
    </row>
    <row r="72" spans="1:62" x14ac:dyDescent="0.25">
      <c r="A72" s="12"/>
      <c r="B72" s="2"/>
      <c r="C72" s="2" t="s">
        <v>8</v>
      </c>
      <c r="D72" s="4">
        <v>151</v>
      </c>
      <c r="E72" s="4">
        <v>44</v>
      </c>
      <c r="F72" s="4">
        <v>0</v>
      </c>
      <c r="G72" s="4">
        <v>12</v>
      </c>
      <c r="H72" s="4">
        <v>237</v>
      </c>
      <c r="I72" s="4">
        <v>289</v>
      </c>
      <c r="J72" s="4">
        <v>32</v>
      </c>
      <c r="K72" s="4">
        <v>158</v>
      </c>
      <c r="L72" s="4">
        <v>70</v>
      </c>
      <c r="M72" s="4">
        <v>95</v>
      </c>
      <c r="N72" s="4">
        <v>143</v>
      </c>
      <c r="O72" s="4">
        <v>20</v>
      </c>
      <c r="P72" s="4">
        <v>49</v>
      </c>
      <c r="Q72" s="4">
        <v>30</v>
      </c>
      <c r="R72" s="4">
        <v>3</v>
      </c>
      <c r="S72" s="4">
        <v>182</v>
      </c>
      <c r="T72" s="4">
        <v>388</v>
      </c>
      <c r="U72" s="4">
        <v>65</v>
      </c>
      <c r="V72" s="4">
        <v>0</v>
      </c>
      <c r="W72" s="4">
        <v>0</v>
      </c>
      <c r="X72" s="4">
        <v>50</v>
      </c>
      <c r="Y72" s="4">
        <v>14</v>
      </c>
      <c r="Z72" s="4">
        <v>7</v>
      </c>
      <c r="AA72" s="4">
        <v>0</v>
      </c>
      <c r="AB72" s="4">
        <v>0</v>
      </c>
      <c r="AC72" s="4">
        <v>0</v>
      </c>
      <c r="AD72" s="4">
        <v>0</v>
      </c>
      <c r="AE72" s="4">
        <v>20</v>
      </c>
      <c r="AF72" s="4">
        <v>5</v>
      </c>
      <c r="AG72" s="4">
        <v>0</v>
      </c>
      <c r="AH72" s="4">
        <v>0</v>
      </c>
      <c r="AI72" s="4">
        <v>0</v>
      </c>
      <c r="AJ72" s="4">
        <v>0</v>
      </c>
      <c r="AK72" s="4">
        <v>0</v>
      </c>
      <c r="AL72" s="4">
        <v>11</v>
      </c>
      <c r="AM72" s="4">
        <v>8</v>
      </c>
      <c r="AN72" s="4">
        <v>10</v>
      </c>
      <c r="AO72" s="4">
        <v>5</v>
      </c>
      <c r="AP72" s="4">
        <v>46</v>
      </c>
      <c r="AQ72" s="4">
        <v>58</v>
      </c>
      <c r="AR72" s="4">
        <v>22</v>
      </c>
      <c r="AS72" s="4">
        <v>25</v>
      </c>
      <c r="AT72" s="4">
        <v>19</v>
      </c>
      <c r="AU72" s="4">
        <v>79</v>
      </c>
      <c r="AV72" s="4">
        <v>282</v>
      </c>
      <c r="AW72" s="4">
        <v>274</v>
      </c>
      <c r="AX72" s="4">
        <v>242</v>
      </c>
      <c r="AY72" s="4">
        <v>550</v>
      </c>
      <c r="AZ72" s="4">
        <v>569</v>
      </c>
      <c r="BA72" s="4">
        <v>445</v>
      </c>
      <c r="BB72" s="4">
        <v>600</v>
      </c>
      <c r="BC72" s="13">
        <v>0</v>
      </c>
      <c r="BD72" s="20">
        <f t="shared" si="13"/>
        <v>9.2305619188788567E-3</v>
      </c>
      <c r="BE72" s="20">
        <f t="shared" si="13"/>
        <v>7.7082337951903173E-3</v>
      </c>
      <c r="BF72" s="20">
        <f t="shared" si="13"/>
        <v>1.7607324647053176E-2</v>
      </c>
      <c r="BG72" s="20">
        <f t="shared" si="13"/>
        <v>1.9680409518539013E-2</v>
      </c>
      <c r="BH72" s="20">
        <f t="shared" si="13"/>
        <v>1.4441018984260912E-2</v>
      </c>
      <c r="BI72" s="20">
        <f t="shared" si="13"/>
        <v>1.9737491364847527E-2</v>
      </c>
      <c r="BJ72" s="23">
        <f t="shared" si="14"/>
        <v>1.7952973289215819E-2</v>
      </c>
    </row>
    <row r="73" spans="1:62" s="5" customFormat="1" x14ac:dyDescent="0.25">
      <c r="A73" s="14"/>
      <c r="B73" s="6"/>
      <c r="C73" s="6" t="s">
        <v>9</v>
      </c>
      <c r="D73" s="8">
        <v>3516</v>
      </c>
      <c r="E73" s="8">
        <v>3735</v>
      </c>
      <c r="F73" s="8">
        <v>3903</v>
      </c>
      <c r="G73" s="8">
        <v>4303</v>
      </c>
      <c r="H73" s="8">
        <v>4917</v>
      </c>
      <c r="I73" s="8">
        <v>3656</v>
      </c>
      <c r="J73" s="8">
        <v>4587</v>
      </c>
      <c r="K73" s="8">
        <v>4365</v>
      </c>
      <c r="L73" s="8">
        <v>4278</v>
      </c>
      <c r="M73" s="8">
        <v>3686</v>
      </c>
      <c r="N73" s="8">
        <v>4546</v>
      </c>
      <c r="O73" s="8">
        <v>3770</v>
      </c>
      <c r="P73" s="8">
        <v>4701</v>
      </c>
      <c r="Q73" s="8">
        <v>4472</v>
      </c>
      <c r="R73" s="8">
        <v>4455</v>
      </c>
      <c r="S73" s="8">
        <v>4972</v>
      </c>
      <c r="T73" s="8">
        <v>5325</v>
      </c>
      <c r="U73" s="8">
        <v>5591</v>
      </c>
      <c r="V73" s="8">
        <v>5768</v>
      </c>
      <c r="W73" s="8">
        <v>6120</v>
      </c>
      <c r="X73" s="8">
        <v>6256</v>
      </c>
      <c r="Y73" s="8">
        <v>6392</v>
      </c>
      <c r="Z73" s="8">
        <v>6181</v>
      </c>
      <c r="AA73" s="8">
        <v>6069</v>
      </c>
      <c r="AB73" s="8">
        <v>6212</v>
      </c>
      <c r="AC73" s="8">
        <v>6675</v>
      </c>
      <c r="AD73" s="8">
        <v>7058</v>
      </c>
      <c r="AE73" s="8">
        <v>7100</v>
      </c>
      <c r="AF73" s="8">
        <v>7475</v>
      </c>
      <c r="AG73" s="8">
        <v>7643</v>
      </c>
      <c r="AH73" s="8">
        <v>7675</v>
      </c>
      <c r="AI73" s="8">
        <v>7700</v>
      </c>
      <c r="AJ73" s="8">
        <v>7750</v>
      </c>
      <c r="AK73" s="8">
        <v>7765</v>
      </c>
      <c r="AL73" s="8">
        <v>7780</v>
      </c>
      <c r="AM73" s="8">
        <v>7815</v>
      </c>
      <c r="AN73" s="8">
        <v>7850</v>
      </c>
      <c r="AO73" s="8">
        <v>7800</v>
      </c>
      <c r="AP73" s="8">
        <v>8000</v>
      </c>
      <c r="AQ73" s="8">
        <v>8025</v>
      </c>
      <c r="AR73" s="8">
        <v>8025</v>
      </c>
      <c r="AS73" s="8">
        <v>8050</v>
      </c>
      <c r="AT73" s="8">
        <v>8150</v>
      </c>
      <c r="AU73" s="8">
        <v>8700</v>
      </c>
      <c r="AV73" s="8">
        <v>9000</v>
      </c>
      <c r="AW73" s="8">
        <v>8800</v>
      </c>
      <c r="AX73" s="8">
        <v>8400</v>
      </c>
      <c r="AY73" s="8">
        <v>8350</v>
      </c>
      <c r="AZ73" s="8">
        <v>8400</v>
      </c>
      <c r="BA73" s="8">
        <v>8400</v>
      </c>
      <c r="BB73" s="8">
        <v>8400</v>
      </c>
      <c r="BC73" s="15">
        <v>0</v>
      </c>
      <c r="BD73" s="21">
        <f t="shared" si="13"/>
        <v>2.1310963279757247E-2</v>
      </c>
      <c r="BE73" s="21">
        <f t="shared" si="13"/>
        <v>2.0067992269044883E-2</v>
      </c>
      <c r="BF73" s="21">
        <f t="shared" si="13"/>
        <v>1.958820203764219E-2</v>
      </c>
      <c r="BG73" s="21">
        <f t="shared" si="13"/>
        <v>1.9305462986371261E-2</v>
      </c>
      <c r="BH73" s="21">
        <f t="shared" si="13"/>
        <v>1.9297612839345075E-2</v>
      </c>
      <c r="BI73" s="21">
        <f t="shared" si="13"/>
        <v>1.8824288710805142E-2</v>
      </c>
      <c r="BJ73" s="23">
        <f t="shared" si="14"/>
        <v>1.9142454845507157E-2</v>
      </c>
    </row>
    <row r="74" spans="1:62" x14ac:dyDescent="0.25">
      <c r="A74" s="12"/>
      <c r="B74" s="2" t="s">
        <v>13</v>
      </c>
      <c r="C74" s="2" t="s">
        <v>6</v>
      </c>
      <c r="D74" s="4">
        <v>0</v>
      </c>
      <c r="E74" s="4">
        <v>0</v>
      </c>
      <c r="F74" s="4">
        <v>0</v>
      </c>
      <c r="G74" s="4">
        <v>0</v>
      </c>
      <c r="H74" s="4">
        <v>0</v>
      </c>
      <c r="I74" s="4">
        <v>0</v>
      </c>
      <c r="J74" s="4">
        <v>0</v>
      </c>
      <c r="K74" s="4">
        <v>0</v>
      </c>
      <c r="L74" s="4">
        <v>0</v>
      </c>
      <c r="M74" s="4">
        <v>0</v>
      </c>
      <c r="N74" s="4">
        <v>170</v>
      </c>
      <c r="O74" s="4">
        <v>220</v>
      </c>
      <c r="P74" s="4">
        <v>249</v>
      </c>
      <c r="Q74" s="4">
        <v>243</v>
      </c>
      <c r="R74" s="4">
        <v>202</v>
      </c>
      <c r="S74" s="4">
        <v>277</v>
      </c>
      <c r="T74" s="4">
        <v>435</v>
      </c>
      <c r="U74" s="4">
        <v>228</v>
      </c>
      <c r="V74" s="4">
        <v>142</v>
      </c>
      <c r="W74" s="4">
        <v>182</v>
      </c>
      <c r="X74" s="4">
        <v>212</v>
      </c>
      <c r="Y74" s="4">
        <v>204</v>
      </c>
      <c r="Z74" s="4">
        <v>240</v>
      </c>
      <c r="AA74" s="4">
        <v>330</v>
      </c>
      <c r="AB74" s="4">
        <v>310</v>
      </c>
      <c r="AC74" s="4">
        <v>400</v>
      </c>
      <c r="AD74" s="4">
        <v>470</v>
      </c>
      <c r="AE74" s="4">
        <v>350</v>
      </c>
      <c r="AF74" s="4">
        <v>260</v>
      </c>
      <c r="AG74" s="4">
        <v>340</v>
      </c>
      <c r="AH74" s="4">
        <v>295</v>
      </c>
      <c r="AI74" s="4">
        <v>290</v>
      </c>
      <c r="AJ74" s="4">
        <v>280</v>
      </c>
      <c r="AK74" s="4">
        <v>400</v>
      </c>
      <c r="AL74" s="4">
        <v>350</v>
      </c>
      <c r="AM74" s="4">
        <v>350</v>
      </c>
      <c r="AN74" s="4">
        <v>435</v>
      </c>
      <c r="AO74" s="4">
        <v>547</v>
      </c>
      <c r="AP74" s="4">
        <v>540</v>
      </c>
      <c r="AQ74" s="4">
        <v>778</v>
      </c>
      <c r="AR74" s="4">
        <v>793</v>
      </c>
      <c r="AS74" s="4">
        <v>773</v>
      </c>
      <c r="AT74" s="4">
        <v>787</v>
      </c>
      <c r="AU74" s="3">
        <v>1805</v>
      </c>
      <c r="AV74" s="3">
        <v>2059</v>
      </c>
      <c r="AW74" s="3">
        <v>1523</v>
      </c>
      <c r="AX74" s="3">
        <v>1605</v>
      </c>
      <c r="AY74" s="3">
        <v>1441</v>
      </c>
      <c r="AZ74" s="3">
        <v>2004</v>
      </c>
      <c r="BA74" s="3">
        <v>1854</v>
      </c>
      <c r="BB74" s="3">
        <v>1709</v>
      </c>
      <c r="BC74" s="13">
        <v>0</v>
      </c>
      <c r="BD74" s="20">
        <f t="shared" si="13"/>
        <v>2.5539121977395447E-2</v>
      </c>
      <c r="BE74" s="20">
        <f t="shared" si="13"/>
        <v>2.7840416305290546E-2</v>
      </c>
      <c r="BF74" s="20">
        <f t="shared" si="13"/>
        <v>2.1863478432384044E-2</v>
      </c>
      <c r="BG74" s="20">
        <f t="shared" si="13"/>
        <v>3.0903987909817104E-2</v>
      </c>
      <c r="BH74" s="20">
        <f t="shared" si="13"/>
        <v>3.128744283375804E-2</v>
      </c>
      <c r="BI74" s="20">
        <f t="shared" si="13"/>
        <v>2.6200404734163244E-2</v>
      </c>
      <c r="BJ74" s="23">
        <f t="shared" si="14"/>
        <v>2.9463945159246132E-2</v>
      </c>
    </row>
    <row r="75" spans="1:62" s="5" customFormat="1" x14ac:dyDescent="0.25">
      <c r="A75" s="14"/>
      <c r="B75" s="6"/>
      <c r="C75" s="6" t="s">
        <v>7</v>
      </c>
      <c r="D75" s="7">
        <v>6</v>
      </c>
      <c r="E75" s="7">
        <v>10</v>
      </c>
      <c r="F75" s="7">
        <v>17</v>
      </c>
      <c r="G75" s="7">
        <v>13</v>
      </c>
      <c r="H75" s="7">
        <v>11</v>
      </c>
      <c r="I75" s="7">
        <v>14</v>
      </c>
      <c r="J75" s="7">
        <v>11</v>
      </c>
      <c r="K75" s="7">
        <v>23</v>
      </c>
      <c r="L75" s="7">
        <v>18</v>
      </c>
      <c r="M75" s="7">
        <v>12</v>
      </c>
      <c r="N75" s="7">
        <v>10</v>
      </c>
      <c r="O75" s="7">
        <v>16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14</v>
      </c>
      <c r="AK75" s="7">
        <v>5</v>
      </c>
      <c r="AL75" s="7">
        <v>3</v>
      </c>
      <c r="AM75" s="7">
        <v>0</v>
      </c>
      <c r="AN75" s="7">
        <v>0</v>
      </c>
      <c r="AO75" s="7">
        <v>6</v>
      </c>
      <c r="AP75" s="7">
        <v>20</v>
      </c>
      <c r="AQ75" s="7">
        <v>258</v>
      </c>
      <c r="AR75" s="7">
        <v>141</v>
      </c>
      <c r="AS75" s="7">
        <v>4</v>
      </c>
      <c r="AT75" s="7">
        <v>0</v>
      </c>
      <c r="AU75" s="7">
        <v>9</v>
      </c>
      <c r="AV75" s="7">
        <v>82</v>
      </c>
      <c r="AW75" s="7">
        <v>12</v>
      </c>
      <c r="AX75" s="7">
        <v>1</v>
      </c>
      <c r="AY75" s="7">
        <v>12</v>
      </c>
      <c r="AZ75" s="7">
        <v>2</v>
      </c>
      <c r="BA75" s="7">
        <v>4</v>
      </c>
      <c r="BB75" s="7">
        <v>5</v>
      </c>
      <c r="BC75" s="15">
        <v>0</v>
      </c>
      <c r="BD75" s="21">
        <f t="shared" si="13"/>
        <v>2.2492970946579195E-3</v>
      </c>
      <c r="BE75" s="21">
        <f t="shared" si="13"/>
        <v>2.0665426741062204E-4</v>
      </c>
      <c r="BF75" s="21">
        <f t="shared" si="13"/>
        <v>1.2397974997417089E-3</v>
      </c>
      <c r="BG75" s="21">
        <f t="shared" si="13"/>
        <v>3.2722513089005238E-4</v>
      </c>
      <c r="BH75" s="21">
        <f t="shared" si="13"/>
        <v>6.5178425941013528E-4</v>
      </c>
      <c r="BI75" s="21">
        <f t="shared" si="13"/>
        <v>7.6616610481152316E-4</v>
      </c>
      <c r="BJ75" s="23">
        <f t="shared" si="14"/>
        <v>5.8172516503723687E-4</v>
      </c>
    </row>
    <row r="76" spans="1:62" x14ac:dyDescent="0.25">
      <c r="A76" s="12"/>
      <c r="B76" s="2"/>
      <c r="C76" s="2" t="s">
        <v>8</v>
      </c>
      <c r="D76" s="4">
        <v>0</v>
      </c>
      <c r="E76" s="4">
        <v>1</v>
      </c>
      <c r="F76" s="4">
        <v>10</v>
      </c>
      <c r="G76" s="4">
        <v>8</v>
      </c>
      <c r="H76" s="4">
        <v>6</v>
      </c>
      <c r="I76" s="4">
        <v>3</v>
      </c>
      <c r="J76" s="4">
        <v>2</v>
      </c>
      <c r="K76" s="4">
        <v>18</v>
      </c>
      <c r="L76" s="4">
        <v>12</v>
      </c>
      <c r="M76" s="4">
        <v>0</v>
      </c>
      <c r="N76" s="4">
        <v>8</v>
      </c>
      <c r="O76" s="4">
        <v>23</v>
      </c>
      <c r="P76" s="4">
        <v>10</v>
      </c>
      <c r="Q76" s="4">
        <v>44</v>
      </c>
      <c r="R76" s="4">
        <v>0</v>
      </c>
      <c r="S76" s="4">
        <v>0</v>
      </c>
      <c r="T76" s="4">
        <v>50</v>
      </c>
      <c r="U76" s="4">
        <v>0</v>
      </c>
      <c r="V76" s="4">
        <v>0</v>
      </c>
      <c r="W76" s="4">
        <v>0</v>
      </c>
      <c r="X76" s="4">
        <v>11</v>
      </c>
      <c r="Y76" s="4">
        <v>27</v>
      </c>
      <c r="Z76" s="4">
        <v>40</v>
      </c>
      <c r="AA76" s="4">
        <v>0</v>
      </c>
      <c r="AB76" s="4">
        <v>0</v>
      </c>
      <c r="AC76" s="4">
        <v>0</v>
      </c>
      <c r="AD76" s="4">
        <v>0</v>
      </c>
      <c r="AE76" s="4">
        <v>0</v>
      </c>
      <c r="AF76" s="4">
        <v>0</v>
      </c>
      <c r="AG76" s="4">
        <v>0</v>
      </c>
      <c r="AH76" s="4">
        <v>0</v>
      </c>
      <c r="AI76" s="4">
        <v>0</v>
      </c>
      <c r="AJ76" s="4">
        <v>2</v>
      </c>
      <c r="AK76" s="4">
        <v>0</v>
      </c>
      <c r="AL76" s="4">
        <v>0</v>
      </c>
      <c r="AM76" s="4">
        <v>0</v>
      </c>
      <c r="AN76" s="4">
        <v>0</v>
      </c>
      <c r="AO76" s="4">
        <v>0</v>
      </c>
      <c r="AP76" s="4">
        <v>0</v>
      </c>
      <c r="AQ76" s="4">
        <v>0</v>
      </c>
      <c r="AR76" s="4">
        <v>0</v>
      </c>
      <c r="AS76" s="4">
        <v>11</v>
      </c>
      <c r="AT76" s="4">
        <v>64</v>
      </c>
      <c r="AU76" s="4">
        <v>371</v>
      </c>
      <c r="AV76" s="4">
        <v>24</v>
      </c>
      <c r="AW76" s="4">
        <v>0</v>
      </c>
      <c r="AX76" s="4">
        <v>115</v>
      </c>
      <c r="AY76" s="4">
        <v>116</v>
      </c>
      <c r="AZ76" s="4">
        <v>0</v>
      </c>
      <c r="BA76" s="4">
        <v>0</v>
      </c>
      <c r="BB76" s="4">
        <v>0</v>
      </c>
      <c r="BC76" s="13">
        <v>0</v>
      </c>
      <c r="BD76" s="20">
        <f t="shared" si="13"/>
        <v>0</v>
      </c>
      <c r="BE76" s="20">
        <f t="shared" si="13"/>
        <v>2.1050704740984808E-2</v>
      </c>
      <c r="BF76" s="20">
        <f t="shared" si="13"/>
        <v>1.1921891058581706E-2</v>
      </c>
      <c r="BG76" s="20">
        <f t="shared" si="13"/>
        <v>0</v>
      </c>
      <c r="BH76" s="20">
        <f t="shared" si="13"/>
        <v>0</v>
      </c>
      <c r="BI76" s="20">
        <f t="shared" si="13"/>
        <v>0</v>
      </c>
      <c r="BJ76" s="23">
        <f t="shared" si="14"/>
        <v>0</v>
      </c>
    </row>
    <row r="77" spans="1:62" s="5" customFormat="1" x14ac:dyDescent="0.25">
      <c r="A77" s="14"/>
      <c r="B77" s="6"/>
      <c r="C77" s="6" t="s">
        <v>9</v>
      </c>
      <c r="D77" s="7">
        <v>6</v>
      </c>
      <c r="E77" s="7">
        <v>9</v>
      </c>
      <c r="F77" s="7">
        <v>7</v>
      </c>
      <c r="G77" s="7">
        <v>5</v>
      </c>
      <c r="H77" s="7">
        <v>5</v>
      </c>
      <c r="I77" s="7">
        <v>11</v>
      </c>
      <c r="J77" s="7">
        <v>9</v>
      </c>
      <c r="K77" s="7">
        <v>5</v>
      </c>
      <c r="L77" s="7">
        <v>6</v>
      </c>
      <c r="M77" s="7">
        <v>12</v>
      </c>
      <c r="N77" s="7">
        <v>172</v>
      </c>
      <c r="O77" s="7">
        <v>213</v>
      </c>
      <c r="P77" s="7">
        <v>239</v>
      </c>
      <c r="Q77" s="7">
        <v>199</v>
      </c>
      <c r="R77" s="7">
        <v>202</v>
      </c>
      <c r="S77" s="7">
        <v>277</v>
      </c>
      <c r="T77" s="7">
        <v>385</v>
      </c>
      <c r="U77" s="7">
        <v>228</v>
      </c>
      <c r="V77" s="7">
        <v>142</v>
      </c>
      <c r="W77" s="7">
        <v>182</v>
      </c>
      <c r="X77" s="7">
        <v>201</v>
      </c>
      <c r="Y77" s="7">
        <v>177</v>
      </c>
      <c r="Z77" s="7">
        <v>200</v>
      </c>
      <c r="AA77" s="7">
        <v>330</v>
      </c>
      <c r="AB77" s="7">
        <v>310</v>
      </c>
      <c r="AC77" s="7">
        <v>400</v>
      </c>
      <c r="AD77" s="7">
        <v>470</v>
      </c>
      <c r="AE77" s="7">
        <v>350</v>
      </c>
      <c r="AF77" s="7">
        <v>260</v>
      </c>
      <c r="AG77" s="7">
        <v>340</v>
      </c>
      <c r="AH77" s="7">
        <v>295</v>
      </c>
      <c r="AI77" s="7">
        <v>290</v>
      </c>
      <c r="AJ77" s="7">
        <v>292</v>
      </c>
      <c r="AK77" s="7">
        <v>405</v>
      </c>
      <c r="AL77" s="7">
        <v>353</v>
      </c>
      <c r="AM77" s="7">
        <v>350</v>
      </c>
      <c r="AN77" s="7">
        <v>435</v>
      </c>
      <c r="AO77" s="7">
        <v>553</v>
      </c>
      <c r="AP77" s="7">
        <v>560</v>
      </c>
      <c r="AQ77" s="8">
        <v>1000</v>
      </c>
      <c r="AR77" s="7">
        <v>950</v>
      </c>
      <c r="AS77" s="7">
        <v>750</v>
      </c>
      <c r="AT77" s="7">
        <v>750</v>
      </c>
      <c r="AU77" s="8">
        <v>1275</v>
      </c>
      <c r="AV77" s="8">
        <v>2075</v>
      </c>
      <c r="AW77" s="8">
        <v>1675</v>
      </c>
      <c r="AX77" s="8">
        <v>1475</v>
      </c>
      <c r="AY77" s="8">
        <v>1375</v>
      </c>
      <c r="AZ77" s="8">
        <v>1875</v>
      </c>
      <c r="BA77" s="8">
        <v>1875</v>
      </c>
      <c r="BB77" s="8">
        <v>1775</v>
      </c>
      <c r="BC77" s="15">
        <v>0</v>
      </c>
      <c r="BD77" s="21">
        <f t="shared" si="13"/>
        <v>2.8249540417924546E-2</v>
      </c>
      <c r="BE77" s="21">
        <f t="shared" si="13"/>
        <v>2.5522563676633445E-2</v>
      </c>
      <c r="BF77" s="21">
        <f t="shared" si="13"/>
        <v>2.1327087728005956E-2</v>
      </c>
      <c r="BG77" s="21">
        <f t="shared" si="13"/>
        <v>2.9074275081407971E-2</v>
      </c>
      <c r="BH77" s="21">
        <f t="shared" si="13"/>
        <v>3.0700461734944492E-2</v>
      </c>
      <c r="BI77" s="21">
        <f t="shared" si="13"/>
        <v>2.7416091314891186E-2</v>
      </c>
      <c r="BJ77" s="23">
        <f t="shared" si="14"/>
        <v>2.9063609377081218E-2</v>
      </c>
    </row>
    <row r="78" spans="1:62" s="5" customFormat="1" x14ac:dyDescent="0.25">
      <c r="A78" s="12"/>
      <c r="B78" s="2" t="s">
        <v>14</v>
      </c>
      <c r="C78" s="2" t="s">
        <v>42</v>
      </c>
      <c r="D78" s="3">
        <v>3438</v>
      </c>
      <c r="E78" s="3">
        <v>3568</v>
      </c>
      <c r="F78" s="3">
        <v>3500</v>
      </c>
      <c r="G78" s="3">
        <v>3245</v>
      </c>
      <c r="H78" s="3">
        <v>4000</v>
      </c>
      <c r="I78" s="3">
        <v>4200</v>
      </c>
      <c r="J78" s="3">
        <v>4360</v>
      </c>
      <c r="K78" s="3">
        <v>4464</v>
      </c>
      <c r="L78" s="3">
        <v>4357</v>
      </c>
      <c r="M78" s="3">
        <v>4593</v>
      </c>
      <c r="N78" s="3">
        <v>5117</v>
      </c>
      <c r="O78" s="3">
        <v>5648</v>
      </c>
      <c r="P78" s="3">
        <v>6163</v>
      </c>
      <c r="Q78" s="3">
        <v>6942</v>
      </c>
      <c r="R78" s="3">
        <v>6985</v>
      </c>
      <c r="S78" s="3">
        <v>6180</v>
      </c>
      <c r="T78" s="3">
        <v>7598</v>
      </c>
      <c r="U78" s="3">
        <v>8756</v>
      </c>
      <c r="V78" s="3">
        <v>7767</v>
      </c>
      <c r="W78" s="3">
        <v>7027</v>
      </c>
      <c r="X78" s="3">
        <v>8547</v>
      </c>
      <c r="Y78" s="3">
        <v>8393</v>
      </c>
      <c r="Z78" s="3">
        <v>9302</v>
      </c>
      <c r="AA78" s="3">
        <v>9561</v>
      </c>
      <c r="AB78" s="3">
        <v>9324</v>
      </c>
      <c r="AC78" s="3">
        <v>8270</v>
      </c>
      <c r="AD78" s="3">
        <v>8650</v>
      </c>
      <c r="AE78" s="3">
        <v>8457</v>
      </c>
      <c r="AF78" s="3">
        <v>8582</v>
      </c>
      <c r="AG78" s="3">
        <v>7793</v>
      </c>
      <c r="AH78" s="3">
        <v>7900</v>
      </c>
      <c r="AI78" s="3">
        <v>9200</v>
      </c>
      <c r="AJ78" s="3">
        <v>9800</v>
      </c>
      <c r="AK78" s="3">
        <v>9930</v>
      </c>
      <c r="AL78" s="3">
        <v>12500</v>
      </c>
      <c r="AM78" s="3">
        <v>13700</v>
      </c>
      <c r="AN78" s="3">
        <v>14650</v>
      </c>
      <c r="AO78" s="3">
        <v>15700</v>
      </c>
      <c r="AP78" s="3">
        <v>18300</v>
      </c>
      <c r="AQ78" s="3">
        <v>20100</v>
      </c>
      <c r="AR78" s="3">
        <v>17100</v>
      </c>
      <c r="AS78" s="3">
        <v>20400</v>
      </c>
      <c r="AT78" s="3">
        <v>23810</v>
      </c>
      <c r="AU78" s="3">
        <v>26400</v>
      </c>
      <c r="AV78" s="3">
        <v>28175</v>
      </c>
      <c r="AW78" s="3">
        <v>26850</v>
      </c>
      <c r="AX78" s="3">
        <v>31450</v>
      </c>
      <c r="AY78" s="3">
        <v>31600</v>
      </c>
      <c r="AZ78" s="3">
        <v>31850</v>
      </c>
      <c r="BA78" s="3">
        <v>36400</v>
      </c>
      <c r="BB78" s="24">
        <v>39400</v>
      </c>
      <c r="BC78" s="21" t="e">
        <f>AW78/#REF!</f>
        <v>#REF!</v>
      </c>
      <c r="BD78" s="21" t="e">
        <f>AX78/#REF!</f>
        <v>#REF!</v>
      </c>
      <c r="BE78" s="21" t="e">
        <f>AY78/#REF!</f>
        <v>#REF!</v>
      </c>
      <c r="BF78" s="21" t="e">
        <f>AZ78/#REF!</f>
        <v>#REF!</v>
      </c>
      <c r="BG78" s="21" t="e">
        <f>BA78/#REF!</f>
        <v>#REF!</v>
      </c>
      <c r="BH78" s="21" t="e">
        <f>BB78/#REF!</f>
        <v>#REF!</v>
      </c>
      <c r="BI78"/>
      <c r="BJ78" s="23" t="e">
        <f>AVERAGE(BF78,BG78,BH78)</f>
        <v>#REF!</v>
      </c>
    </row>
    <row r="79" spans="1:62" x14ac:dyDescent="0.25">
      <c r="A79" s="12"/>
      <c r="B79" s="6"/>
      <c r="C79" s="6" t="s">
        <v>45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>
        <v>289</v>
      </c>
      <c r="AH79" s="7">
        <v>81</v>
      </c>
      <c r="AI79" s="7">
        <v>0</v>
      </c>
      <c r="AJ79" s="7">
        <v>55</v>
      </c>
      <c r="AK79" s="7">
        <v>6</v>
      </c>
      <c r="AL79" s="7">
        <v>55</v>
      </c>
      <c r="AM79" s="7">
        <v>0</v>
      </c>
      <c r="AN79" s="7">
        <v>0</v>
      </c>
      <c r="AO79" s="7">
        <v>0</v>
      </c>
      <c r="AP79" s="7">
        <v>0</v>
      </c>
      <c r="AQ79" s="7">
        <v>0</v>
      </c>
      <c r="AR79" s="7">
        <v>0</v>
      </c>
      <c r="AS79" s="7">
        <v>0</v>
      </c>
      <c r="AT79" s="7">
        <v>0</v>
      </c>
      <c r="AU79" s="7">
        <v>0</v>
      </c>
      <c r="AV79" s="7">
        <v>0</v>
      </c>
      <c r="AW79" s="7">
        <v>0</v>
      </c>
      <c r="AX79" s="7">
        <v>0</v>
      </c>
      <c r="AY79" s="7">
        <v>0</v>
      </c>
      <c r="AZ79" s="7">
        <v>0</v>
      </c>
      <c r="BA79" s="7">
        <v>0</v>
      </c>
      <c r="BB79" s="15">
        <v>0</v>
      </c>
      <c r="BC79" s="21">
        <f t="shared" ref="BC79:BH79" si="15">AW79/AX$63</f>
        <v>0</v>
      </c>
      <c r="BD79" s="21">
        <f t="shared" si="15"/>
        <v>0</v>
      </c>
      <c r="BE79" s="21">
        <f t="shared" si="15"/>
        <v>0</v>
      </c>
      <c r="BF79" s="21">
        <f t="shared" si="15"/>
        <v>0</v>
      </c>
      <c r="BG79" s="21">
        <f t="shared" si="15"/>
        <v>0</v>
      </c>
      <c r="BH79" s="21" t="e">
        <f t="shared" si="15"/>
        <v>#DIV/0!</v>
      </c>
      <c r="BI79" s="5"/>
      <c r="BJ79" s="23" t="e">
        <f>AVERAGE(BF79,BG79,BH79)</f>
        <v>#DIV/0!</v>
      </c>
    </row>
    <row r="80" spans="1:62" s="5" customFormat="1" x14ac:dyDescent="0.25">
      <c r="A80" s="12"/>
      <c r="B80" s="2"/>
      <c r="C80" s="2" t="s">
        <v>44</v>
      </c>
      <c r="D80" s="4">
        <v>783</v>
      </c>
      <c r="E80" s="4">
        <v>645</v>
      </c>
      <c r="F80" s="4">
        <v>600</v>
      </c>
      <c r="G80" s="4">
        <v>453</v>
      </c>
      <c r="H80" s="4">
        <v>710</v>
      </c>
      <c r="I80" s="3">
        <v>1005</v>
      </c>
      <c r="J80" s="3">
        <v>1001</v>
      </c>
      <c r="K80" s="3">
        <v>1026</v>
      </c>
      <c r="L80" s="3">
        <v>1099</v>
      </c>
      <c r="M80" s="3">
        <v>1075</v>
      </c>
      <c r="N80" s="3">
        <v>1191</v>
      </c>
      <c r="O80" s="3">
        <v>1854</v>
      </c>
      <c r="P80" s="3">
        <v>2430</v>
      </c>
      <c r="Q80" s="3">
        <v>2650</v>
      </c>
      <c r="R80" s="3">
        <v>2418</v>
      </c>
      <c r="S80" s="3">
        <v>1244</v>
      </c>
      <c r="T80" s="3">
        <v>1798</v>
      </c>
      <c r="U80" s="3">
        <v>2391</v>
      </c>
      <c r="V80" s="3">
        <v>1877</v>
      </c>
      <c r="W80" s="3">
        <v>2333</v>
      </c>
      <c r="X80" s="3">
        <v>2305</v>
      </c>
      <c r="Y80" s="3">
        <v>2615</v>
      </c>
      <c r="Z80" s="3">
        <v>2984</v>
      </c>
      <c r="AA80" s="3">
        <v>2700</v>
      </c>
      <c r="AB80" s="3">
        <v>3439</v>
      </c>
      <c r="AC80" s="3">
        <v>2560</v>
      </c>
      <c r="AD80" s="3">
        <v>2086</v>
      </c>
      <c r="AE80" s="3">
        <v>2131</v>
      </c>
      <c r="AF80" s="3">
        <v>1371</v>
      </c>
      <c r="AG80" s="3">
        <v>1500</v>
      </c>
      <c r="AH80" s="3">
        <v>1300</v>
      </c>
      <c r="AI80" s="3">
        <v>1607</v>
      </c>
      <c r="AJ80" s="3">
        <v>2425</v>
      </c>
      <c r="AK80" s="3">
        <v>2861</v>
      </c>
      <c r="AL80" s="3">
        <v>4300</v>
      </c>
      <c r="AM80" s="3">
        <v>5800</v>
      </c>
      <c r="AN80" s="3">
        <v>5800</v>
      </c>
      <c r="AO80" s="3">
        <v>7200</v>
      </c>
      <c r="AP80" s="3">
        <v>8750</v>
      </c>
      <c r="AQ80" s="3">
        <v>11300</v>
      </c>
      <c r="AR80" s="3">
        <v>7700</v>
      </c>
      <c r="AS80" s="3">
        <v>11600</v>
      </c>
      <c r="AT80" s="3">
        <v>14000</v>
      </c>
      <c r="AU80" s="3">
        <v>15240</v>
      </c>
      <c r="AV80" s="3">
        <v>18020</v>
      </c>
      <c r="AW80" s="3">
        <v>17090</v>
      </c>
      <c r="AX80" s="3">
        <v>20850</v>
      </c>
      <c r="AY80" s="3">
        <v>19500</v>
      </c>
      <c r="AZ80" s="3">
        <v>21550</v>
      </c>
      <c r="BA80" s="3">
        <v>24300</v>
      </c>
      <c r="BB80" s="24">
        <v>26850</v>
      </c>
      <c r="BC80" s="21">
        <f t="shared" ref="BC80:BH80" si="16">AW80/AX$42</f>
        <v>146.06837606837607</v>
      </c>
      <c r="BD80" s="21">
        <f t="shared" si="16"/>
        <v>1603.8461538461538</v>
      </c>
      <c r="BE80" s="21">
        <f t="shared" si="16"/>
        <v>443.18181818181819</v>
      </c>
      <c r="BF80" s="21">
        <f t="shared" si="16"/>
        <v>151.7605633802817</v>
      </c>
      <c r="BG80" s="21">
        <f t="shared" si="16"/>
        <v>39.967105263157897</v>
      </c>
      <c r="BH80" s="21" t="e">
        <f t="shared" si="16"/>
        <v>#DIV/0!</v>
      </c>
      <c r="BJ80" s="23" t="e">
        <f>AVERAGE(BF80,BG80,BH80)</f>
        <v>#DIV/0!</v>
      </c>
    </row>
    <row r="81" spans="1:62" ht="30" x14ac:dyDescent="0.25">
      <c r="A81" s="12"/>
      <c r="B81" s="6"/>
      <c r="C81" s="6" t="s">
        <v>43</v>
      </c>
      <c r="D81" s="8">
        <v>2667</v>
      </c>
      <c r="E81" s="8">
        <v>2731</v>
      </c>
      <c r="F81" s="8">
        <v>2800</v>
      </c>
      <c r="G81" s="8">
        <v>2891</v>
      </c>
      <c r="H81" s="8">
        <v>2897</v>
      </c>
      <c r="I81" s="8">
        <v>2946</v>
      </c>
      <c r="J81" s="8">
        <v>3116</v>
      </c>
      <c r="K81" s="8">
        <v>3317</v>
      </c>
      <c r="L81" s="8">
        <v>3516</v>
      </c>
      <c r="M81" s="8">
        <v>3540</v>
      </c>
      <c r="N81" s="8">
        <v>3743</v>
      </c>
      <c r="O81" s="8">
        <v>3900</v>
      </c>
      <c r="P81" s="8">
        <v>4564</v>
      </c>
      <c r="Q81" s="8">
        <v>4596</v>
      </c>
      <c r="R81" s="8">
        <v>4507</v>
      </c>
      <c r="S81" s="8">
        <v>5177</v>
      </c>
      <c r="T81" s="8">
        <v>5148</v>
      </c>
      <c r="U81" s="8">
        <v>5165</v>
      </c>
      <c r="V81" s="8">
        <v>5508</v>
      </c>
      <c r="W81" s="8">
        <v>6098</v>
      </c>
      <c r="X81" s="8">
        <v>6107</v>
      </c>
      <c r="Y81" s="8">
        <v>5832</v>
      </c>
      <c r="Z81" s="8">
        <v>6178</v>
      </c>
      <c r="AA81" s="8">
        <v>6300</v>
      </c>
      <c r="AB81" s="8">
        <v>6300</v>
      </c>
      <c r="AC81" s="8">
        <v>6300</v>
      </c>
      <c r="AD81" s="8">
        <v>6700</v>
      </c>
      <c r="AE81" s="8">
        <v>6400</v>
      </c>
      <c r="AF81" s="8">
        <v>6600</v>
      </c>
      <c r="AG81" s="8">
        <v>6800</v>
      </c>
      <c r="AH81" s="8">
        <v>7088</v>
      </c>
      <c r="AI81" s="8">
        <v>7400</v>
      </c>
      <c r="AJ81" s="8">
        <v>7500</v>
      </c>
      <c r="AK81" s="8">
        <v>7500</v>
      </c>
      <c r="AL81" s="8">
        <v>8000</v>
      </c>
      <c r="AM81" s="8">
        <v>8100</v>
      </c>
      <c r="AN81" s="8">
        <v>8500</v>
      </c>
      <c r="AO81" s="8">
        <v>8800</v>
      </c>
      <c r="AP81" s="8">
        <v>9100</v>
      </c>
      <c r="AQ81" s="8">
        <v>9100</v>
      </c>
      <c r="AR81" s="8">
        <v>9250</v>
      </c>
      <c r="AS81" s="8">
        <v>9450</v>
      </c>
      <c r="AT81" s="8">
        <v>9750</v>
      </c>
      <c r="AU81" s="8">
        <v>10400</v>
      </c>
      <c r="AV81" s="8">
        <v>10600</v>
      </c>
      <c r="AW81" s="8">
        <v>10630</v>
      </c>
      <c r="AX81" s="8">
        <v>10800</v>
      </c>
      <c r="AY81" s="8">
        <v>11400</v>
      </c>
      <c r="AZ81" s="8">
        <v>11650</v>
      </c>
      <c r="BA81" s="8">
        <v>11800</v>
      </c>
      <c r="BB81" s="25">
        <v>12000</v>
      </c>
      <c r="BC81" s="20">
        <f t="shared" ref="BC81:BH81" si="17">AW81/AW$25</f>
        <v>6.3462686567164175</v>
      </c>
      <c r="BD81" s="20">
        <f t="shared" si="17"/>
        <v>6.3157894736842106</v>
      </c>
      <c r="BE81" s="20">
        <f t="shared" si="17"/>
        <v>6.350974930362117</v>
      </c>
      <c r="BF81" s="20">
        <f t="shared" si="17"/>
        <v>6.7341040462427744</v>
      </c>
      <c r="BG81" s="20">
        <f t="shared" si="17"/>
        <v>6.8208092485549132</v>
      </c>
      <c r="BH81" s="20">
        <f t="shared" si="17"/>
        <v>6.8181818181818183</v>
      </c>
      <c r="BJ81" s="23">
        <f>AVERAGE(BF81,BG81,BH81)</f>
        <v>6.7910317043265023</v>
      </c>
    </row>
    <row r="82" spans="1:62" s="5" customFormat="1" x14ac:dyDescent="0.25">
      <c r="A82" s="14"/>
      <c r="B82" s="6" t="s">
        <v>15</v>
      </c>
      <c r="C82" s="6" t="s">
        <v>6</v>
      </c>
      <c r="D82" s="7">
        <v>350</v>
      </c>
      <c r="E82" s="7">
        <v>250</v>
      </c>
      <c r="F82" s="7">
        <v>256</v>
      </c>
      <c r="G82" s="7">
        <v>100</v>
      </c>
      <c r="H82" s="7">
        <v>226</v>
      </c>
      <c r="I82" s="7">
        <v>222</v>
      </c>
      <c r="J82" s="7">
        <v>299</v>
      </c>
      <c r="K82" s="7">
        <v>365</v>
      </c>
      <c r="L82" s="7">
        <v>694</v>
      </c>
      <c r="M82" s="8">
        <v>1146</v>
      </c>
      <c r="N82" s="8">
        <v>1735</v>
      </c>
      <c r="O82" s="8">
        <v>2034</v>
      </c>
      <c r="P82" s="7">
        <v>694</v>
      </c>
      <c r="Q82" s="8">
        <v>2031</v>
      </c>
      <c r="R82" s="8">
        <v>2858</v>
      </c>
      <c r="S82" s="8">
        <v>1788</v>
      </c>
      <c r="T82" s="8">
        <v>3216</v>
      </c>
      <c r="U82" s="8">
        <v>2066</v>
      </c>
      <c r="V82" s="8">
        <v>2691</v>
      </c>
      <c r="W82" s="8">
        <v>2879</v>
      </c>
      <c r="X82" s="8">
        <v>2676</v>
      </c>
      <c r="Y82" s="8">
        <v>2217</v>
      </c>
      <c r="Z82" s="8">
        <v>1849</v>
      </c>
      <c r="AA82" s="8">
        <v>2100</v>
      </c>
      <c r="AB82" s="8">
        <v>2030</v>
      </c>
      <c r="AC82" s="8">
        <v>4300</v>
      </c>
      <c r="AD82" s="8">
        <v>5600</v>
      </c>
      <c r="AE82" s="8">
        <v>6100</v>
      </c>
      <c r="AF82" s="8">
        <v>5800</v>
      </c>
      <c r="AG82" s="8">
        <v>5550</v>
      </c>
      <c r="AH82" s="8">
        <v>3300</v>
      </c>
      <c r="AI82" s="8">
        <v>3078</v>
      </c>
      <c r="AJ82" s="8">
        <v>2739</v>
      </c>
      <c r="AK82" s="8">
        <v>2107</v>
      </c>
      <c r="AL82" s="8">
        <v>2138</v>
      </c>
      <c r="AM82" s="8">
        <v>1526</v>
      </c>
      <c r="AN82" s="8">
        <v>3195</v>
      </c>
      <c r="AO82" s="8">
        <v>2380</v>
      </c>
      <c r="AP82" s="8">
        <v>2188</v>
      </c>
      <c r="AQ82" s="8">
        <v>2403</v>
      </c>
      <c r="AR82" s="8">
        <v>1660</v>
      </c>
      <c r="AS82" s="8">
        <v>3250</v>
      </c>
      <c r="AT82" s="8">
        <v>2925</v>
      </c>
      <c r="AU82" s="8">
        <v>5851</v>
      </c>
      <c r="AV82" s="8">
        <v>5845</v>
      </c>
      <c r="AW82" s="8">
        <v>4873</v>
      </c>
      <c r="AX82" s="8">
        <v>2234</v>
      </c>
      <c r="AY82" s="8">
        <v>3825</v>
      </c>
      <c r="AZ82" s="8">
        <v>5880</v>
      </c>
      <c r="BA82" s="8">
        <v>5026</v>
      </c>
      <c r="BB82" s="8">
        <v>5900</v>
      </c>
      <c r="BC82" s="15">
        <v>0</v>
      </c>
      <c r="BD82" s="21">
        <f t="shared" ref="BD82:BI85" si="18">AW82/AW571</f>
        <v>7.8706455447591483E-3</v>
      </c>
      <c r="BE82" s="21">
        <f t="shared" si="18"/>
        <v>3.746731672628901E-3</v>
      </c>
      <c r="BF82" s="21">
        <f t="shared" si="18"/>
        <v>6.2490299708378603E-3</v>
      </c>
      <c r="BG82" s="21">
        <f t="shared" si="18"/>
        <v>8.6192996086134361E-3</v>
      </c>
      <c r="BH82" s="21">
        <f t="shared" si="18"/>
        <v>7.3500271275374488E-3</v>
      </c>
      <c r="BI82" s="21">
        <f t="shared" si="18"/>
        <v>9.1164604646922585E-3</v>
      </c>
      <c r="BJ82" s="23">
        <f t="shared" si="14"/>
        <v>8.3619290669477153E-3</v>
      </c>
    </row>
    <row r="83" spans="1:62" x14ac:dyDescent="0.25">
      <c r="A83" s="12"/>
      <c r="B83" s="2"/>
      <c r="C83" s="2" t="s">
        <v>7</v>
      </c>
      <c r="D83" s="3">
        <v>1885</v>
      </c>
      <c r="E83" s="3">
        <v>2192</v>
      </c>
      <c r="F83" s="3">
        <v>2176</v>
      </c>
      <c r="G83" s="3">
        <v>2609</v>
      </c>
      <c r="H83" s="3">
        <v>1876</v>
      </c>
      <c r="I83" s="3">
        <v>2381</v>
      </c>
      <c r="J83" s="3">
        <v>2429</v>
      </c>
      <c r="K83" s="3">
        <v>2614</v>
      </c>
      <c r="L83" s="3">
        <v>2346</v>
      </c>
      <c r="M83" s="3">
        <v>1958</v>
      </c>
      <c r="N83" s="3">
        <v>1710</v>
      </c>
      <c r="O83" s="3">
        <v>1797</v>
      </c>
      <c r="P83" s="3">
        <v>3011</v>
      </c>
      <c r="Q83" s="3">
        <v>2510</v>
      </c>
      <c r="R83" s="3">
        <v>1946</v>
      </c>
      <c r="S83" s="3">
        <v>3752</v>
      </c>
      <c r="T83" s="3">
        <v>2729</v>
      </c>
      <c r="U83" s="3">
        <v>3621</v>
      </c>
      <c r="V83" s="3">
        <v>3931</v>
      </c>
      <c r="W83" s="3">
        <v>4780</v>
      </c>
      <c r="X83" s="3">
        <v>3910</v>
      </c>
      <c r="Y83" s="3">
        <v>4382</v>
      </c>
      <c r="Z83" s="3">
        <v>4000</v>
      </c>
      <c r="AA83" s="3">
        <v>4196</v>
      </c>
      <c r="AB83" s="3">
        <v>4690</v>
      </c>
      <c r="AC83" s="3">
        <v>2200</v>
      </c>
      <c r="AD83" s="3">
        <v>2800</v>
      </c>
      <c r="AE83" s="3">
        <v>1270</v>
      </c>
      <c r="AF83" s="3">
        <v>1100</v>
      </c>
      <c r="AG83" s="3">
        <v>1900</v>
      </c>
      <c r="AH83" s="3">
        <v>4444</v>
      </c>
      <c r="AI83" s="3">
        <v>4165</v>
      </c>
      <c r="AJ83" s="3">
        <v>5825</v>
      </c>
      <c r="AK83" s="3">
        <v>5775</v>
      </c>
      <c r="AL83" s="3">
        <v>6575</v>
      </c>
      <c r="AM83" s="3">
        <v>5809</v>
      </c>
      <c r="AN83" s="3">
        <v>5111</v>
      </c>
      <c r="AO83" s="3">
        <v>6183</v>
      </c>
      <c r="AP83" s="3">
        <v>7074</v>
      </c>
      <c r="AQ83" s="3">
        <v>7698</v>
      </c>
      <c r="AR83" s="3">
        <v>7177</v>
      </c>
      <c r="AS83" s="3">
        <v>6675</v>
      </c>
      <c r="AT83" s="3">
        <v>6563</v>
      </c>
      <c r="AU83" s="3">
        <v>4898</v>
      </c>
      <c r="AV83" s="3">
        <v>4904</v>
      </c>
      <c r="AW83" s="3">
        <v>6235</v>
      </c>
      <c r="AX83" s="3">
        <v>7997</v>
      </c>
      <c r="AY83" s="3">
        <v>6772</v>
      </c>
      <c r="AZ83" s="3">
        <v>6403</v>
      </c>
      <c r="BA83" s="3">
        <v>7126</v>
      </c>
      <c r="BB83" s="3">
        <v>6500</v>
      </c>
      <c r="BC83" s="13">
        <v>0</v>
      </c>
      <c r="BD83" s="20">
        <f t="shared" si="18"/>
        <v>5.5880692257364868E-2</v>
      </c>
      <c r="BE83" s="20">
        <f t="shared" si="18"/>
        <v>7.0144200406988988E-2</v>
      </c>
      <c r="BF83" s="20">
        <f t="shared" si="18"/>
        <v>5.950529414349106E-2</v>
      </c>
      <c r="BG83" s="20">
        <f t="shared" si="18"/>
        <v>4.6760094352712639E-2</v>
      </c>
      <c r="BH83" s="20">
        <f t="shared" si="18"/>
        <v>5.3396275898242855E-2</v>
      </c>
      <c r="BI83" s="20">
        <f t="shared" si="18"/>
        <v>5.2985962795702432E-2</v>
      </c>
      <c r="BJ83" s="23">
        <f t="shared" si="14"/>
        <v>5.1047444348885973E-2</v>
      </c>
    </row>
    <row r="84" spans="1:62" s="5" customFormat="1" x14ac:dyDescent="0.25">
      <c r="A84" s="14"/>
      <c r="B84" s="6"/>
      <c r="C84" s="6" t="s">
        <v>8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3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0</v>
      </c>
      <c r="AG84" s="7">
        <v>0</v>
      </c>
      <c r="AH84" s="7">
        <v>0</v>
      </c>
      <c r="AI84" s="7">
        <v>1</v>
      </c>
      <c r="AJ84" s="7">
        <v>0</v>
      </c>
      <c r="AK84" s="7">
        <v>0</v>
      </c>
      <c r="AL84" s="7">
        <v>1</v>
      </c>
      <c r="AM84" s="7">
        <v>1</v>
      </c>
      <c r="AN84" s="7">
        <v>54</v>
      </c>
      <c r="AO84" s="7">
        <v>3</v>
      </c>
      <c r="AP84" s="7">
        <v>7</v>
      </c>
      <c r="AQ84" s="7">
        <v>4</v>
      </c>
      <c r="AR84" s="7">
        <v>3</v>
      </c>
      <c r="AS84" s="7">
        <v>5</v>
      </c>
      <c r="AT84" s="7">
        <v>5</v>
      </c>
      <c r="AU84" s="8">
        <v>1378</v>
      </c>
      <c r="AV84" s="7">
        <v>15</v>
      </c>
      <c r="AW84" s="7">
        <v>807</v>
      </c>
      <c r="AX84" s="7">
        <v>4</v>
      </c>
      <c r="AY84" s="7">
        <v>770</v>
      </c>
      <c r="AZ84" s="7">
        <v>400</v>
      </c>
      <c r="BA84" s="8">
        <v>1162</v>
      </c>
      <c r="BB84" s="8">
        <v>1700</v>
      </c>
      <c r="BC84" s="15">
        <v>0</v>
      </c>
      <c r="BD84" s="21">
        <f t="shared" si="18"/>
        <v>6.8983202974740353E-3</v>
      </c>
      <c r="BE84" s="21">
        <f t="shared" si="18"/>
        <v>3.5770176615247036E-5</v>
      </c>
      <c r="BF84" s="21">
        <f t="shared" si="18"/>
        <v>6.5653723504033017E-3</v>
      </c>
      <c r="BG84" s="21">
        <f t="shared" si="18"/>
        <v>2.7843519420854795E-3</v>
      </c>
      <c r="BH84" s="21">
        <f t="shared" si="18"/>
        <v>8.5566380218113271E-3</v>
      </c>
      <c r="BI84" s="21">
        <f t="shared" si="18"/>
        <v>1.3692341148706879E-2</v>
      </c>
      <c r="BJ84" s="23">
        <f t="shared" si="14"/>
        <v>8.3444437042012286E-3</v>
      </c>
    </row>
    <row r="85" spans="1:62" x14ac:dyDescent="0.25">
      <c r="A85" s="12"/>
      <c r="B85" s="2"/>
      <c r="C85" s="2" t="s">
        <v>9</v>
      </c>
      <c r="D85" s="3">
        <v>2235</v>
      </c>
      <c r="E85" s="3">
        <v>2442</v>
      </c>
      <c r="F85" s="3">
        <v>2432</v>
      </c>
      <c r="G85" s="3">
        <v>2559</v>
      </c>
      <c r="H85" s="3">
        <v>2109</v>
      </c>
      <c r="I85" s="3">
        <v>2476</v>
      </c>
      <c r="J85" s="3">
        <v>2676</v>
      </c>
      <c r="K85" s="3">
        <v>2820</v>
      </c>
      <c r="L85" s="3">
        <v>3037</v>
      </c>
      <c r="M85" s="3">
        <v>3219</v>
      </c>
      <c r="N85" s="3">
        <v>3689</v>
      </c>
      <c r="O85" s="3">
        <v>3973</v>
      </c>
      <c r="P85" s="3">
        <v>3764</v>
      </c>
      <c r="Q85" s="3">
        <v>4322</v>
      </c>
      <c r="R85" s="3">
        <v>4695</v>
      </c>
      <c r="S85" s="3">
        <v>5598</v>
      </c>
      <c r="T85" s="3">
        <v>5823</v>
      </c>
      <c r="U85" s="3">
        <v>5955</v>
      </c>
      <c r="V85" s="3">
        <v>6789</v>
      </c>
      <c r="W85" s="3">
        <v>7100</v>
      </c>
      <c r="X85" s="3">
        <v>6600</v>
      </c>
      <c r="Y85" s="3">
        <v>6300</v>
      </c>
      <c r="Z85" s="3">
        <v>6300</v>
      </c>
      <c r="AA85" s="3">
        <v>6400</v>
      </c>
      <c r="AB85" s="3">
        <v>6430</v>
      </c>
      <c r="AC85" s="3">
        <v>6800</v>
      </c>
      <c r="AD85" s="3">
        <v>8000</v>
      </c>
      <c r="AE85" s="3">
        <v>7100</v>
      </c>
      <c r="AF85" s="3">
        <v>7800</v>
      </c>
      <c r="AG85" s="3">
        <v>7400</v>
      </c>
      <c r="AH85" s="3">
        <v>7844</v>
      </c>
      <c r="AI85" s="3">
        <v>7175</v>
      </c>
      <c r="AJ85" s="3">
        <v>7839</v>
      </c>
      <c r="AK85" s="3">
        <v>8075</v>
      </c>
      <c r="AL85" s="3">
        <v>8029</v>
      </c>
      <c r="AM85" s="3">
        <v>8214</v>
      </c>
      <c r="AN85" s="3">
        <v>8281</v>
      </c>
      <c r="AO85" s="3">
        <v>8560</v>
      </c>
      <c r="AP85" s="3">
        <v>8955</v>
      </c>
      <c r="AQ85" s="3">
        <v>9547</v>
      </c>
      <c r="AR85" s="3">
        <v>9511</v>
      </c>
      <c r="AS85" s="3">
        <v>9802</v>
      </c>
      <c r="AT85" s="3">
        <v>9690</v>
      </c>
      <c r="AU85" s="3">
        <v>9700</v>
      </c>
      <c r="AV85" s="3">
        <v>9900</v>
      </c>
      <c r="AW85" s="3">
        <v>10450</v>
      </c>
      <c r="AX85" s="3">
        <v>10300</v>
      </c>
      <c r="AY85" s="3">
        <v>10300</v>
      </c>
      <c r="AZ85" s="3">
        <v>10700</v>
      </c>
      <c r="BA85" s="3">
        <v>11000</v>
      </c>
      <c r="BB85" s="3">
        <v>10800</v>
      </c>
      <c r="BC85" s="13">
        <v>0</v>
      </c>
      <c r="BD85" s="20">
        <f t="shared" si="18"/>
        <v>1.6945222339154166E-2</v>
      </c>
      <c r="BE85" s="20">
        <f t="shared" si="18"/>
        <v>1.66587955205631E-2</v>
      </c>
      <c r="BF85" s="20">
        <f t="shared" si="18"/>
        <v>1.6794938690320897E-2</v>
      </c>
      <c r="BG85" s="20">
        <f t="shared" si="18"/>
        <v>1.6856897543146569E-2</v>
      </c>
      <c r="BH85" s="20">
        <f t="shared" si="18"/>
        <v>1.6917637252022041E-2</v>
      </c>
      <c r="BI85" s="20">
        <f t="shared" si="18"/>
        <v>1.6344468759364017E-2</v>
      </c>
      <c r="BJ85" s="23">
        <f t="shared" si="14"/>
        <v>1.6706334518177542E-2</v>
      </c>
    </row>
    <row r="86" spans="1:62" s="5" customFormat="1" x14ac:dyDescent="0.25">
      <c r="A86" s="14" t="s">
        <v>18</v>
      </c>
      <c r="B86" s="6" t="s">
        <v>5</v>
      </c>
      <c r="C86" s="6" t="s">
        <v>6</v>
      </c>
      <c r="D86" s="7">
        <v>663</v>
      </c>
      <c r="E86" s="7">
        <v>742</v>
      </c>
      <c r="F86" s="7">
        <v>848</v>
      </c>
      <c r="G86" s="7">
        <v>919</v>
      </c>
      <c r="H86" s="8">
        <v>1342</v>
      </c>
      <c r="I86" s="8">
        <v>1511</v>
      </c>
      <c r="J86" s="8">
        <v>1685</v>
      </c>
      <c r="K86" s="8">
        <v>1883</v>
      </c>
      <c r="L86" s="8">
        <v>2076</v>
      </c>
      <c r="M86" s="8">
        <v>1883</v>
      </c>
      <c r="N86" s="8">
        <v>2634</v>
      </c>
      <c r="O86" s="8">
        <v>2946</v>
      </c>
      <c r="P86" s="8">
        <v>2528</v>
      </c>
      <c r="Q86" s="8">
        <v>2879</v>
      </c>
      <c r="R86" s="8">
        <v>2620</v>
      </c>
      <c r="S86" s="8">
        <v>3645</v>
      </c>
      <c r="T86" s="8">
        <v>3759</v>
      </c>
      <c r="U86" s="8">
        <v>4250</v>
      </c>
      <c r="V86" s="8">
        <v>4033</v>
      </c>
      <c r="W86" s="8">
        <v>5276</v>
      </c>
      <c r="X86" s="8">
        <v>5753</v>
      </c>
      <c r="Y86" s="8">
        <v>6673</v>
      </c>
      <c r="Z86" s="8">
        <v>6513</v>
      </c>
      <c r="AA86" s="8">
        <v>5931</v>
      </c>
      <c r="AB86" s="8">
        <v>6778</v>
      </c>
      <c r="AC86" s="8">
        <v>6970</v>
      </c>
      <c r="AD86" s="8">
        <v>5912</v>
      </c>
      <c r="AE86" s="8">
        <v>7065</v>
      </c>
      <c r="AF86" s="8">
        <v>5450</v>
      </c>
      <c r="AG86" s="8">
        <v>6571</v>
      </c>
      <c r="AH86" s="8">
        <v>7067</v>
      </c>
      <c r="AI86" s="8">
        <v>7413</v>
      </c>
      <c r="AJ86" s="8">
        <v>4883</v>
      </c>
      <c r="AK86" s="8">
        <v>6755</v>
      </c>
      <c r="AL86" s="8">
        <v>7190</v>
      </c>
      <c r="AM86" s="8">
        <v>7281</v>
      </c>
      <c r="AN86" s="8">
        <v>7542</v>
      </c>
      <c r="AO86" s="8">
        <v>7180</v>
      </c>
      <c r="AP86" s="8">
        <v>8952</v>
      </c>
      <c r="AQ86" s="8">
        <v>9161</v>
      </c>
      <c r="AR86" s="8">
        <v>6827</v>
      </c>
      <c r="AS86" s="8">
        <v>8389</v>
      </c>
      <c r="AT86" s="8">
        <v>8999</v>
      </c>
      <c r="AU86" s="8">
        <v>9587</v>
      </c>
      <c r="AV86" s="8">
        <v>8837</v>
      </c>
      <c r="AW86" s="8">
        <v>9332</v>
      </c>
      <c r="AX86" s="8">
        <v>8990</v>
      </c>
      <c r="AY86" s="8">
        <v>11649</v>
      </c>
      <c r="AZ86" s="8">
        <v>10592</v>
      </c>
      <c r="BA86" s="8">
        <v>9561</v>
      </c>
      <c r="BB86" s="8">
        <v>11714</v>
      </c>
      <c r="BC86" s="15">
        <v>0</v>
      </c>
      <c r="BD86" s="21">
        <f t="shared" ref="BD86:BI89" si="19">AW86/AW547</f>
        <v>1.3341758904751965E-2</v>
      </c>
      <c r="BE86" s="21">
        <f t="shared" si="19"/>
        <v>1.2598606165329028E-2</v>
      </c>
      <c r="BF86" s="21">
        <f t="shared" si="19"/>
        <v>1.4662568347279702E-2</v>
      </c>
      <c r="BG86" s="21">
        <f t="shared" si="19"/>
        <v>1.3259491452435079E-2</v>
      </c>
      <c r="BH86" s="21">
        <f t="shared" si="19"/>
        <v>1.17684419646319E-2</v>
      </c>
      <c r="BI86" s="21">
        <f t="shared" si="19"/>
        <v>1.4374046710129935E-2</v>
      </c>
      <c r="BJ86" s="23">
        <f t="shared" si="14"/>
        <v>1.3133993375732305E-2</v>
      </c>
    </row>
    <row r="87" spans="1:62" x14ac:dyDescent="0.25">
      <c r="A87" s="12"/>
      <c r="B87" s="2"/>
      <c r="C87" s="2" t="s">
        <v>7</v>
      </c>
      <c r="D87" s="4">
        <v>504</v>
      </c>
      <c r="E87" s="4">
        <v>696</v>
      </c>
      <c r="F87" s="4">
        <v>734</v>
      </c>
      <c r="G87" s="4">
        <v>552</v>
      </c>
      <c r="H87" s="4">
        <v>420</v>
      </c>
      <c r="I87" s="4">
        <v>565</v>
      </c>
      <c r="J87" s="4">
        <v>531</v>
      </c>
      <c r="K87" s="4">
        <v>747</v>
      </c>
      <c r="L87" s="4">
        <v>803</v>
      </c>
      <c r="M87" s="4">
        <v>644</v>
      </c>
      <c r="N87" s="4">
        <v>267</v>
      </c>
      <c r="O87" s="4">
        <v>234</v>
      </c>
      <c r="P87" s="4">
        <v>868</v>
      </c>
      <c r="Q87" s="3">
        <v>1273</v>
      </c>
      <c r="R87" s="3">
        <v>1032</v>
      </c>
      <c r="S87" s="4">
        <v>697</v>
      </c>
      <c r="T87" s="4">
        <v>660</v>
      </c>
      <c r="U87" s="4">
        <v>386</v>
      </c>
      <c r="V87" s="4">
        <v>677</v>
      </c>
      <c r="W87" s="4">
        <v>994</v>
      </c>
      <c r="X87" s="3">
        <v>1363</v>
      </c>
      <c r="Y87" s="4">
        <v>822</v>
      </c>
      <c r="Z87" s="4">
        <v>759</v>
      </c>
      <c r="AA87" s="4">
        <v>226</v>
      </c>
      <c r="AB87" s="4">
        <v>612</v>
      </c>
      <c r="AC87" s="4">
        <v>415</v>
      </c>
      <c r="AD87" s="4">
        <v>642</v>
      </c>
      <c r="AE87" s="4">
        <v>235</v>
      </c>
      <c r="AF87" s="4">
        <v>975</v>
      </c>
      <c r="AG87" s="4">
        <v>568</v>
      </c>
      <c r="AH87" s="4">
        <v>522</v>
      </c>
      <c r="AI87" s="4">
        <v>213</v>
      </c>
      <c r="AJ87" s="3">
        <v>1255</v>
      </c>
      <c r="AK87" s="4">
        <v>552</v>
      </c>
      <c r="AL87" s="3">
        <v>1078</v>
      </c>
      <c r="AM87" s="4">
        <v>823</v>
      </c>
      <c r="AN87" s="4">
        <v>857</v>
      </c>
      <c r="AO87" s="3">
        <v>1475</v>
      </c>
      <c r="AP87" s="4">
        <v>899</v>
      </c>
      <c r="AQ87" s="3">
        <v>1017</v>
      </c>
      <c r="AR87" s="3">
        <v>2746</v>
      </c>
      <c r="AS87" s="3">
        <v>3951</v>
      </c>
      <c r="AT87" s="3">
        <v>3946</v>
      </c>
      <c r="AU87" s="3">
        <v>2029</v>
      </c>
      <c r="AV87" s="3">
        <v>2371</v>
      </c>
      <c r="AW87" s="3">
        <v>1928</v>
      </c>
      <c r="AX87" s="3">
        <v>2102</v>
      </c>
      <c r="AY87" s="3">
        <v>3182</v>
      </c>
      <c r="AZ87" s="3">
        <v>1843</v>
      </c>
      <c r="BA87" s="3">
        <v>2099</v>
      </c>
      <c r="BB87" s="3">
        <v>1200</v>
      </c>
      <c r="BC87" s="13">
        <v>0</v>
      </c>
      <c r="BD87" s="20">
        <f t="shared" si="19"/>
        <v>2.3910509214475285E-2</v>
      </c>
      <c r="BE87" s="20">
        <f t="shared" si="19"/>
        <v>2.3207543003510942E-2</v>
      </c>
      <c r="BF87" s="20">
        <f t="shared" si="19"/>
        <v>3.2298994082239615E-2</v>
      </c>
      <c r="BG87" s="20">
        <f t="shared" si="19"/>
        <v>2.2315860849770545E-2</v>
      </c>
      <c r="BH87" s="20">
        <f t="shared" si="19"/>
        <v>2.3363237683934019E-2</v>
      </c>
      <c r="BI87" s="20">
        <f t="shared" si="19"/>
        <v>1.3085722386399573E-2</v>
      </c>
      <c r="BJ87" s="23">
        <f t="shared" si="14"/>
        <v>1.9588273640034713E-2</v>
      </c>
    </row>
    <row r="88" spans="1:62" s="5" customFormat="1" x14ac:dyDescent="0.25">
      <c r="A88" s="14"/>
      <c r="B88" s="6"/>
      <c r="C88" s="6" t="s">
        <v>8</v>
      </c>
      <c r="D88" s="7">
        <v>1</v>
      </c>
      <c r="E88" s="7">
        <v>1</v>
      </c>
      <c r="F88" s="7">
        <v>1</v>
      </c>
      <c r="G88" s="7">
        <v>3</v>
      </c>
      <c r="H88" s="7">
        <v>3</v>
      </c>
      <c r="I88" s="7">
        <v>16</v>
      </c>
      <c r="J88" s="7">
        <v>2</v>
      </c>
      <c r="K88" s="7">
        <v>5</v>
      </c>
      <c r="L88" s="7">
        <v>6</v>
      </c>
      <c r="M88" s="7">
        <v>2</v>
      </c>
      <c r="N88" s="7">
        <v>5</v>
      </c>
      <c r="O88" s="7">
        <v>29</v>
      </c>
      <c r="P88" s="7">
        <v>12</v>
      </c>
      <c r="Q88" s="7">
        <v>5</v>
      </c>
      <c r="R88" s="7">
        <v>4</v>
      </c>
      <c r="S88" s="7">
        <v>233</v>
      </c>
      <c r="T88" s="7">
        <v>180</v>
      </c>
      <c r="U88" s="7">
        <v>323</v>
      </c>
      <c r="V88" s="7">
        <v>192</v>
      </c>
      <c r="W88" s="7">
        <v>344</v>
      </c>
      <c r="X88" s="8">
        <v>1056</v>
      </c>
      <c r="Y88" s="8">
        <v>1135</v>
      </c>
      <c r="Z88" s="7">
        <v>489</v>
      </c>
      <c r="AA88" s="7">
        <v>429</v>
      </c>
      <c r="AB88" s="7">
        <v>570</v>
      </c>
      <c r="AC88" s="7">
        <v>653</v>
      </c>
      <c r="AD88" s="7">
        <v>143</v>
      </c>
      <c r="AE88" s="7">
        <v>369</v>
      </c>
      <c r="AF88" s="7">
        <v>11</v>
      </c>
      <c r="AG88" s="7">
        <v>25</v>
      </c>
      <c r="AH88" s="7">
        <v>142</v>
      </c>
      <c r="AI88" s="7">
        <v>964</v>
      </c>
      <c r="AJ88" s="7">
        <v>200</v>
      </c>
      <c r="AK88" s="7">
        <v>523</v>
      </c>
      <c r="AL88" s="7">
        <v>360</v>
      </c>
      <c r="AM88" s="7">
        <v>604</v>
      </c>
      <c r="AN88" s="7">
        <v>340</v>
      </c>
      <c r="AO88" s="7">
        <v>134</v>
      </c>
      <c r="AP88" s="7">
        <v>829</v>
      </c>
      <c r="AQ88" s="7">
        <v>456</v>
      </c>
      <c r="AR88" s="7">
        <v>122</v>
      </c>
      <c r="AS88" s="7">
        <v>199</v>
      </c>
      <c r="AT88" s="7">
        <v>314</v>
      </c>
      <c r="AU88" s="7">
        <v>369</v>
      </c>
      <c r="AV88" s="7">
        <v>238</v>
      </c>
      <c r="AW88" s="7">
        <v>253</v>
      </c>
      <c r="AX88" s="7">
        <v>314</v>
      </c>
      <c r="AY88" s="7">
        <v>942</v>
      </c>
      <c r="AZ88" s="7">
        <v>372</v>
      </c>
      <c r="BA88" s="7">
        <v>129</v>
      </c>
      <c r="BB88" s="8">
        <v>1000</v>
      </c>
      <c r="BC88" s="15">
        <v>0</v>
      </c>
      <c r="BD88" s="21">
        <f t="shared" si="19"/>
        <v>3.1206828498125125E-3</v>
      </c>
      <c r="BE88" s="21">
        <f t="shared" si="19"/>
        <v>3.3384011822618202E-3</v>
      </c>
      <c r="BF88" s="21">
        <f t="shared" si="19"/>
        <v>9.550652932111282E-3</v>
      </c>
      <c r="BG88" s="21">
        <f t="shared" si="19"/>
        <v>4.4040868031302166E-3</v>
      </c>
      <c r="BH88" s="21">
        <f t="shared" si="19"/>
        <v>1.3301300227874988E-3</v>
      </c>
      <c r="BI88" s="21">
        <f t="shared" si="19"/>
        <v>1.1013579743824135E-2</v>
      </c>
      <c r="BJ88" s="23">
        <f t="shared" si="14"/>
        <v>5.5825988565806166E-3</v>
      </c>
    </row>
    <row r="89" spans="1:62" x14ac:dyDescent="0.25">
      <c r="A89" s="12"/>
      <c r="B89" s="2"/>
      <c r="C89" s="2" t="s">
        <v>9</v>
      </c>
      <c r="D89" s="3">
        <v>1114</v>
      </c>
      <c r="E89" s="3">
        <v>1332</v>
      </c>
      <c r="F89" s="3">
        <v>1690</v>
      </c>
      <c r="G89" s="3">
        <v>1471</v>
      </c>
      <c r="H89" s="3">
        <v>1701</v>
      </c>
      <c r="I89" s="3">
        <v>2073</v>
      </c>
      <c r="J89" s="3">
        <v>2211</v>
      </c>
      <c r="K89" s="3">
        <v>2663</v>
      </c>
      <c r="L89" s="3">
        <v>2828</v>
      </c>
      <c r="M89" s="3">
        <v>2580</v>
      </c>
      <c r="N89" s="3">
        <v>2942</v>
      </c>
      <c r="O89" s="3">
        <v>3049</v>
      </c>
      <c r="P89" s="3">
        <v>3352</v>
      </c>
      <c r="Q89" s="3">
        <v>4031</v>
      </c>
      <c r="R89" s="3">
        <v>3766</v>
      </c>
      <c r="S89" s="3">
        <v>3609</v>
      </c>
      <c r="T89" s="3">
        <v>3936</v>
      </c>
      <c r="U89" s="3">
        <v>4341</v>
      </c>
      <c r="V89" s="3">
        <v>4459</v>
      </c>
      <c r="W89" s="3">
        <v>5561</v>
      </c>
      <c r="X89" s="3">
        <v>6172</v>
      </c>
      <c r="Y89" s="3">
        <v>6449</v>
      </c>
      <c r="Z89" s="3">
        <v>6351</v>
      </c>
      <c r="AA89" s="3">
        <v>6340</v>
      </c>
      <c r="AB89" s="3">
        <v>6444</v>
      </c>
      <c r="AC89" s="3">
        <v>6688</v>
      </c>
      <c r="AD89" s="3">
        <v>6642</v>
      </c>
      <c r="AE89" s="3">
        <v>6883</v>
      </c>
      <c r="AF89" s="3">
        <v>6654</v>
      </c>
      <c r="AG89" s="3">
        <v>6972</v>
      </c>
      <c r="AH89" s="3">
        <v>7057</v>
      </c>
      <c r="AI89" s="3">
        <v>6675</v>
      </c>
      <c r="AJ89" s="3">
        <v>6209</v>
      </c>
      <c r="AK89" s="3">
        <v>7454</v>
      </c>
      <c r="AL89" s="3">
        <v>7785</v>
      </c>
      <c r="AM89" s="3">
        <v>7482</v>
      </c>
      <c r="AN89" s="3">
        <v>7810</v>
      </c>
      <c r="AO89" s="3">
        <v>8599</v>
      </c>
      <c r="AP89" s="3">
        <v>9029</v>
      </c>
      <c r="AQ89" s="3">
        <v>9055</v>
      </c>
      <c r="AR89" s="3">
        <v>10123</v>
      </c>
      <c r="AS89" s="3">
        <v>11965</v>
      </c>
      <c r="AT89" s="3">
        <v>12576</v>
      </c>
      <c r="AU89" s="3">
        <v>11215</v>
      </c>
      <c r="AV89" s="3">
        <v>10311</v>
      </c>
      <c r="AW89" s="3">
        <v>10808</v>
      </c>
      <c r="AX89" s="3">
        <v>11442</v>
      </c>
      <c r="AY89" s="3">
        <v>13769</v>
      </c>
      <c r="AZ89" s="3">
        <v>11687</v>
      </c>
      <c r="BA89" s="3">
        <v>11606</v>
      </c>
      <c r="BB89" s="3">
        <v>12300</v>
      </c>
      <c r="BC89" s="13">
        <v>0</v>
      </c>
      <c r="BD89" s="20">
        <f t="shared" si="19"/>
        <v>1.5309367355408776E-2</v>
      </c>
      <c r="BE89" s="20">
        <f t="shared" si="19"/>
        <v>1.5788340747772907E-2</v>
      </c>
      <c r="BF89" s="20">
        <f t="shared" si="19"/>
        <v>1.7829833796269318E-2</v>
      </c>
      <c r="BG89" s="20">
        <f t="shared" si="19"/>
        <v>1.4980548487781117E-2</v>
      </c>
      <c r="BH89" s="20">
        <f t="shared" si="19"/>
        <v>1.4354037397672138E-2</v>
      </c>
      <c r="BI89" s="20">
        <f t="shared" si="19"/>
        <v>1.4656414326108794E-2</v>
      </c>
      <c r="BJ89" s="23">
        <f t="shared" si="14"/>
        <v>1.466366673718735E-2</v>
      </c>
    </row>
    <row r="90" spans="1:62" s="5" customFormat="1" x14ac:dyDescent="0.25">
      <c r="A90" s="14"/>
      <c r="B90" s="6" t="s">
        <v>10</v>
      </c>
      <c r="C90" s="6" t="s">
        <v>7</v>
      </c>
      <c r="D90" s="7">
        <v>292</v>
      </c>
      <c r="E90" s="7">
        <v>433</v>
      </c>
      <c r="F90" s="7">
        <v>331</v>
      </c>
      <c r="G90" s="7">
        <v>466</v>
      </c>
      <c r="H90" s="7">
        <v>404</v>
      </c>
      <c r="I90" s="7">
        <v>434</v>
      </c>
      <c r="J90" s="7">
        <v>404</v>
      </c>
      <c r="K90" s="7">
        <v>361</v>
      </c>
      <c r="L90" s="7">
        <v>347</v>
      </c>
      <c r="M90" s="7">
        <v>333</v>
      </c>
      <c r="N90" s="7">
        <v>340</v>
      </c>
      <c r="O90" s="7">
        <v>354</v>
      </c>
      <c r="P90" s="7">
        <v>327</v>
      </c>
      <c r="Q90" s="7">
        <v>320</v>
      </c>
      <c r="R90" s="7">
        <v>225</v>
      </c>
      <c r="S90" s="7">
        <v>254</v>
      </c>
      <c r="T90" s="7">
        <v>215</v>
      </c>
      <c r="U90" s="7">
        <v>239</v>
      </c>
      <c r="V90" s="7">
        <v>255</v>
      </c>
      <c r="W90" s="7">
        <v>289</v>
      </c>
      <c r="X90" s="7">
        <v>276</v>
      </c>
      <c r="Y90" s="7">
        <v>190</v>
      </c>
      <c r="Z90" s="7">
        <v>248</v>
      </c>
      <c r="AA90" s="7">
        <v>243</v>
      </c>
      <c r="AB90" s="7">
        <v>216</v>
      </c>
      <c r="AC90" s="7">
        <v>287</v>
      </c>
      <c r="AD90" s="7">
        <v>151</v>
      </c>
      <c r="AE90" s="7">
        <v>210</v>
      </c>
      <c r="AF90" s="7">
        <v>187</v>
      </c>
      <c r="AG90" s="7">
        <v>204</v>
      </c>
      <c r="AH90" s="7">
        <v>187</v>
      </c>
      <c r="AI90" s="7">
        <v>200</v>
      </c>
      <c r="AJ90" s="7">
        <v>210</v>
      </c>
      <c r="AK90" s="7">
        <v>210</v>
      </c>
      <c r="AL90" s="7">
        <v>265</v>
      </c>
      <c r="AM90" s="7">
        <v>300</v>
      </c>
      <c r="AN90" s="7">
        <v>260</v>
      </c>
      <c r="AO90" s="7">
        <v>325</v>
      </c>
      <c r="AP90" s="7">
        <v>329</v>
      </c>
      <c r="AQ90" s="7">
        <v>286</v>
      </c>
      <c r="AR90" s="7">
        <v>352</v>
      </c>
      <c r="AS90" s="7">
        <v>400</v>
      </c>
      <c r="AT90" s="7">
        <v>460</v>
      </c>
      <c r="AU90" s="7">
        <v>375</v>
      </c>
      <c r="AV90" s="7">
        <v>365</v>
      </c>
      <c r="AW90" s="7">
        <v>152</v>
      </c>
      <c r="AX90" s="7">
        <v>105</v>
      </c>
      <c r="AY90" s="7">
        <v>40</v>
      </c>
      <c r="AZ90" s="7">
        <v>20</v>
      </c>
      <c r="BA90" s="7">
        <v>10</v>
      </c>
      <c r="BB90" s="7">
        <v>12</v>
      </c>
      <c r="BC90" s="15">
        <v>0</v>
      </c>
      <c r="BD90" s="21">
        <f t="shared" ref="BD90:BI96" si="20">AW90/AW552</f>
        <v>3.395054834602756E-3</v>
      </c>
      <c r="BE90" s="21">
        <f t="shared" si="20"/>
        <v>2.761050777038576E-3</v>
      </c>
      <c r="BF90" s="21">
        <f t="shared" si="20"/>
        <v>1.0267203983675146E-3</v>
      </c>
      <c r="BG90" s="21">
        <f t="shared" si="20"/>
        <v>6.6350396443618745E-4</v>
      </c>
      <c r="BH90" s="21">
        <f t="shared" si="20"/>
        <v>2.7651808428271211E-4</v>
      </c>
      <c r="BI90" s="21">
        <f t="shared" si="20"/>
        <v>3.147293327738145E-4</v>
      </c>
      <c r="BJ90" s="23">
        <f t="shared" si="14"/>
        <v>4.1825046049757134E-4</v>
      </c>
    </row>
    <row r="91" spans="1:62" x14ac:dyDescent="0.25">
      <c r="A91" s="12"/>
      <c r="B91" s="2"/>
      <c r="C91" s="2" t="s">
        <v>8</v>
      </c>
      <c r="D91" s="4">
        <v>12</v>
      </c>
      <c r="E91" s="4">
        <v>1</v>
      </c>
      <c r="F91" s="4">
        <v>0</v>
      </c>
      <c r="G91" s="4">
        <v>0</v>
      </c>
      <c r="H91" s="4">
        <v>0</v>
      </c>
      <c r="I91" s="4">
        <v>0</v>
      </c>
      <c r="J91" s="4">
        <v>0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  <c r="Y91" s="4">
        <v>0</v>
      </c>
      <c r="Z91" s="4">
        <v>0</v>
      </c>
      <c r="AA91" s="4">
        <v>0</v>
      </c>
      <c r="AB91" s="4">
        <v>0</v>
      </c>
      <c r="AC91" s="4">
        <v>0</v>
      </c>
      <c r="AD91" s="4">
        <v>0</v>
      </c>
      <c r="AE91" s="4">
        <v>0</v>
      </c>
      <c r="AF91" s="4">
        <v>0</v>
      </c>
      <c r="AG91" s="4">
        <v>0</v>
      </c>
      <c r="AH91" s="4">
        <v>0</v>
      </c>
      <c r="AI91" s="4">
        <v>0</v>
      </c>
      <c r="AJ91" s="4">
        <v>0</v>
      </c>
      <c r="AK91" s="4">
        <v>0</v>
      </c>
      <c r="AL91" s="4">
        <v>0</v>
      </c>
      <c r="AM91" s="4">
        <v>0</v>
      </c>
      <c r="AN91" s="4">
        <v>0</v>
      </c>
      <c r="AO91" s="4">
        <v>0</v>
      </c>
      <c r="AP91" s="4">
        <v>0</v>
      </c>
      <c r="AQ91" s="4">
        <v>0</v>
      </c>
      <c r="AR91" s="4">
        <v>0</v>
      </c>
      <c r="AS91" s="4">
        <v>0</v>
      </c>
      <c r="AT91" s="4">
        <v>0</v>
      </c>
      <c r="AU91" s="4">
        <v>8</v>
      </c>
      <c r="AV91" s="4">
        <v>2</v>
      </c>
      <c r="AW91" s="4">
        <v>0</v>
      </c>
      <c r="AX91" s="4">
        <v>0</v>
      </c>
      <c r="AY91" s="4">
        <v>0</v>
      </c>
      <c r="AZ91" s="4">
        <v>0</v>
      </c>
      <c r="BA91" s="4">
        <v>0</v>
      </c>
      <c r="BB91" s="4">
        <v>0</v>
      </c>
      <c r="BC91" s="13">
        <v>0</v>
      </c>
      <c r="BD91" s="20">
        <f t="shared" si="20"/>
        <v>0</v>
      </c>
      <c r="BE91" s="20">
        <f t="shared" si="20"/>
        <v>0</v>
      </c>
      <c r="BF91" s="20">
        <f t="shared" si="20"/>
        <v>0</v>
      </c>
      <c r="BG91" s="20">
        <f t="shared" si="20"/>
        <v>0</v>
      </c>
      <c r="BH91" s="20">
        <f t="shared" si="20"/>
        <v>0</v>
      </c>
      <c r="BI91" s="20">
        <f t="shared" si="20"/>
        <v>0</v>
      </c>
      <c r="BJ91" s="23">
        <f t="shared" si="14"/>
        <v>0</v>
      </c>
    </row>
    <row r="92" spans="1:62" s="5" customFormat="1" x14ac:dyDescent="0.25">
      <c r="A92" s="14"/>
      <c r="B92" s="6"/>
      <c r="C92" s="6" t="s">
        <v>9</v>
      </c>
      <c r="D92" s="7">
        <v>326</v>
      </c>
      <c r="E92" s="7">
        <v>375</v>
      </c>
      <c r="F92" s="7">
        <v>360</v>
      </c>
      <c r="G92" s="7">
        <v>430</v>
      </c>
      <c r="H92" s="7">
        <v>415</v>
      </c>
      <c r="I92" s="7">
        <v>400</v>
      </c>
      <c r="J92" s="7">
        <v>410</v>
      </c>
      <c r="K92" s="7">
        <v>390</v>
      </c>
      <c r="L92" s="7">
        <v>375</v>
      </c>
      <c r="M92" s="7">
        <v>350</v>
      </c>
      <c r="N92" s="7">
        <v>345</v>
      </c>
      <c r="O92" s="7">
        <v>350</v>
      </c>
      <c r="P92" s="7">
        <v>335</v>
      </c>
      <c r="Q92" s="7">
        <v>320</v>
      </c>
      <c r="R92" s="7">
        <v>245</v>
      </c>
      <c r="S92" s="7">
        <v>244</v>
      </c>
      <c r="T92" s="7">
        <v>215</v>
      </c>
      <c r="U92" s="7">
        <v>240</v>
      </c>
      <c r="V92" s="7">
        <v>255</v>
      </c>
      <c r="W92" s="7">
        <v>280</v>
      </c>
      <c r="X92" s="7">
        <v>270</v>
      </c>
      <c r="Y92" s="7">
        <v>185</v>
      </c>
      <c r="Z92" s="7">
        <v>253</v>
      </c>
      <c r="AA92" s="7">
        <v>253</v>
      </c>
      <c r="AB92" s="7">
        <v>221</v>
      </c>
      <c r="AC92" s="7">
        <v>248</v>
      </c>
      <c r="AD92" s="7">
        <v>198</v>
      </c>
      <c r="AE92" s="7">
        <v>210</v>
      </c>
      <c r="AF92" s="7">
        <v>187</v>
      </c>
      <c r="AG92" s="7">
        <v>208</v>
      </c>
      <c r="AH92" s="7">
        <v>187</v>
      </c>
      <c r="AI92" s="7">
        <v>200</v>
      </c>
      <c r="AJ92" s="7">
        <v>200</v>
      </c>
      <c r="AK92" s="7">
        <v>220</v>
      </c>
      <c r="AL92" s="7">
        <v>260</v>
      </c>
      <c r="AM92" s="7">
        <v>295</v>
      </c>
      <c r="AN92" s="7">
        <v>260</v>
      </c>
      <c r="AO92" s="7">
        <v>325</v>
      </c>
      <c r="AP92" s="7">
        <v>330</v>
      </c>
      <c r="AQ92" s="7">
        <v>286</v>
      </c>
      <c r="AR92" s="7">
        <v>350</v>
      </c>
      <c r="AS92" s="7">
        <v>400</v>
      </c>
      <c r="AT92" s="7">
        <v>390</v>
      </c>
      <c r="AU92" s="7">
        <v>375</v>
      </c>
      <c r="AV92" s="7">
        <v>350</v>
      </c>
      <c r="AW92" s="7">
        <v>200</v>
      </c>
      <c r="AX92" s="7">
        <v>135</v>
      </c>
      <c r="AY92" s="7">
        <v>50</v>
      </c>
      <c r="AZ92" s="7">
        <v>25</v>
      </c>
      <c r="BA92" s="7">
        <v>12</v>
      </c>
      <c r="BB92" s="7">
        <v>12</v>
      </c>
      <c r="BC92" s="15">
        <v>0</v>
      </c>
      <c r="BD92" s="21">
        <f t="shared" si="20"/>
        <v>1.7385559554234254E-3</v>
      </c>
      <c r="BE92" s="21">
        <f t="shared" si="20"/>
        <v>1.1066843736166445E-3</v>
      </c>
      <c r="BF92" s="21">
        <f t="shared" si="20"/>
        <v>4.1262636682484012E-4</v>
      </c>
      <c r="BG92" s="21">
        <f t="shared" si="20"/>
        <v>2.3279418200780326E-4</v>
      </c>
      <c r="BH92" s="21">
        <f t="shared" si="20"/>
        <v>1.0130771373817021E-4</v>
      </c>
      <c r="BI92" s="21">
        <f t="shared" si="20"/>
        <v>1.0258777666641019E-4</v>
      </c>
      <c r="BJ92" s="23">
        <f t="shared" si="14"/>
        <v>1.4556322413746122E-4</v>
      </c>
    </row>
    <row r="93" spans="1:62" x14ac:dyDescent="0.25">
      <c r="A93" s="12"/>
      <c r="B93" s="2" t="s">
        <v>11</v>
      </c>
      <c r="C93" s="2" t="s">
        <v>6</v>
      </c>
      <c r="D93" s="4">
        <v>0</v>
      </c>
      <c r="E93" s="4">
        <v>0</v>
      </c>
      <c r="F93" s="4">
        <v>0</v>
      </c>
      <c r="G93" s="4">
        <v>0</v>
      </c>
      <c r="H93" s="4">
        <v>190</v>
      </c>
      <c r="I93" s="4">
        <v>219</v>
      </c>
      <c r="J93" s="4">
        <v>245</v>
      </c>
      <c r="K93" s="4">
        <v>220</v>
      </c>
      <c r="L93" s="4">
        <v>246</v>
      </c>
      <c r="M93" s="4">
        <v>210</v>
      </c>
      <c r="N93" s="4">
        <v>283</v>
      </c>
      <c r="O93" s="4">
        <v>280</v>
      </c>
      <c r="P93" s="4">
        <v>375</v>
      </c>
      <c r="Q93" s="4">
        <v>397</v>
      </c>
      <c r="R93" s="4">
        <v>301</v>
      </c>
      <c r="S93" s="4">
        <v>367</v>
      </c>
      <c r="T93" s="4">
        <v>250</v>
      </c>
      <c r="U93" s="4">
        <v>580</v>
      </c>
      <c r="V93" s="4">
        <v>516</v>
      </c>
      <c r="W93" s="4">
        <v>657</v>
      </c>
      <c r="X93" s="4">
        <v>690</v>
      </c>
      <c r="Y93" s="4">
        <v>607</v>
      </c>
      <c r="Z93" s="4">
        <v>848</v>
      </c>
      <c r="AA93" s="4">
        <v>735</v>
      </c>
      <c r="AB93" s="4">
        <v>917</v>
      </c>
      <c r="AC93" s="3">
        <v>1012</v>
      </c>
      <c r="AD93" s="4">
        <v>960</v>
      </c>
      <c r="AE93" s="3">
        <v>1270</v>
      </c>
      <c r="AF93" s="3">
        <v>1153</v>
      </c>
      <c r="AG93" s="3">
        <v>1219</v>
      </c>
      <c r="AH93" s="3">
        <v>1262</v>
      </c>
      <c r="AI93" s="3">
        <v>1460</v>
      </c>
      <c r="AJ93" s="3">
        <v>1455</v>
      </c>
      <c r="AK93" s="3">
        <v>1851</v>
      </c>
      <c r="AL93" s="3">
        <v>2251</v>
      </c>
      <c r="AM93" s="3">
        <v>2293</v>
      </c>
      <c r="AN93" s="3">
        <v>2165</v>
      </c>
      <c r="AO93" s="3">
        <v>2738</v>
      </c>
      <c r="AP93" s="3">
        <v>2737</v>
      </c>
      <c r="AQ93" s="3">
        <v>2776</v>
      </c>
      <c r="AR93" s="3">
        <v>2703</v>
      </c>
      <c r="AS93" s="3">
        <v>1635</v>
      </c>
      <c r="AT93" s="3">
        <v>2336</v>
      </c>
      <c r="AU93" s="3">
        <v>2263</v>
      </c>
      <c r="AV93" s="3">
        <v>3042</v>
      </c>
      <c r="AW93" s="3">
        <v>3156</v>
      </c>
      <c r="AX93" s="3">
        <v>3466</v>
      </c>
      <c r="AY93" s="3">
        <v>2696</v>
      </c>
      <c r="AZ93" s="3">
        <v>3336</v>
      </c>
      <c r="BA93" s="3">
        <v>3507</v>
      </c>
      <c r="BB93" s="3">
        <v>4345</v>
      </c>
      <c r="BC93" s="13">
        <v>0</v>
      </c>
      <c r="BD93" s="20">
        <f t="shared" si="20"/>
        <v>1.4302222826456393E-2</v>
      </c>
      <c r="BE93" s="20">
        <f t="shared" si="20"/>
        <v>1.4671955230640936E-2</v>
      </c>
      <c r="BF93" s="20">
        <f t="shared" si="20"/>
        <v>1.2232304900181488E-2</v>
      </c>
      <c r="BG93" s="20">
        <f t="shared" si="20"/>
        <v>1.5739412697214464E-2</v>
      </c>
      <c r="BH93" s="20">
        <f t="shared" si="20"/>
        <v>1.3476954292873008E-2</v>
      </c>
      <c r="BI93" s="20">
        <f t="shared" si="20"/>
        <v>1.6649295709884587E-2</v>
      </c>
      <c r="BJ93" s="23">
        <f t="shared" si="14"/>
        <v>1.5288554233324017E-2</v>
      </c>
    </row>
    <row r="94" spans="1:62" s="5" customFormat="1" x14ac:dyDescent="0.25">
      <c r="A94" s="14"/>
      <c r="B94" s="6"/>
      <c r="C94" s="6" t="s">
        <v>7</v>
      </c>
      <c r="D94" s="7">
        <v>0</v>
      </c>
      <c r="E94" s="7">
        <v>0</v>
      </c>
      <c r="F94" s="7">
        <v>0</v>
      </c>
      <c r="G94" s="7">
        <v>0</v>
      </c>
      <c r="H94" s="7">
        <v>448</v>
      </c>
      <c r="I94" s="7">
        <v>464</v>
      </c>
      <c r="J94" s="7">
        <v>443</v>
      </c>
      <c r="K94" s="7">
        <v>363</v>
      </c>
      <c r="L94" s="7">
        <v>339</v>
      </c>
      <c r="M94" s="7">
        <v>473</v>
      </c>
      <c r="N94" s="7">
        <v>428</v>
      </c>
      <c r="O94" s="7">
        <v>403</v>
      </c>
      <c r="P94" s="7">
        <v>299</v>
      </c>
      <c r="Q94" s="7">
        <v>340</v>
      </c>
      <c r="R94" s="7">
        <v>346</v>
      </c>
      <c r="S94" s="7">
        <v>370</v>
      </c>
      <c r="T94" s="7">
        <v>392</v>
      </c>
      <c r="U94" s="7">
        <v>263</v>
      </c>
      <c r="V94" s="7">
        <v>350</v>
      </c>
      <c r="W94" s="7">
        <v>422</v>
      </c>
      <c r="X94" s="7">
        <v>401</v>
      </c>
      <c r="Y94" s="7">
        <v>424</v>
      </c>
      <c r="Z94" s="7">
        <v>419</v>
      </c>
      <c r="AA94" s="7">
        <v>280</v>
      </c>
      <c r="AB94" s="7">
        <v>229</v>
      </c>
      <c r="AC94" s="7">
        <v>175</v>
      </c>
      <c r="AD94" s="7">
        <v>217</v>
      </c>
      <c r="AE94" s="7">
        <v>151</v>
      </c>
      <c r="AF94" s="7">
        <v>159</v>
      </c>
      <c r="AG94" s="7">
        <v>287</v>
      </c>
      <c r="AH94" s="7">
        <v>151</v>
      </c>
      <c r="AI94" s="7">
        <v>72</v>
      </c>
      <c r="AJ94" s="7">
        <v>226</v>
      </c>
      <c r="AK94" s="7">
        <v>57</v>
      </c>
      <c r="AL94" s="7">
        <v>67</v>
      </c>
      <c r="AM94" s="7">
        <v>70</v>
      </c>
      <c r="AN94" s="7">
        <v>231</v>
      </c>
      <c r="AO94" s="7">
        <v>149</v>
      </c>
      <c r="AP94" s="7">
        <v>254</v>
      </c>
      <c r="AQ94" s="7">
        <v>455</v>
      </c>
      <c r="AR94" s="7">
        <v>431</v>
      </c>
      <c r="AS94" s="7">
        <v>982</v>
      </c>
      <c r="AT94" s="7">
        <v>651</v>
      </c>
      <c r="AU94" s="7">
        <v>613</v>
      </c>
      <c r="AV94" s="7">
        <v>386</v>
      </c>
      <c r="AW94" s="7">
        <v>349</v>
      </c>
      <c r="AX94" s="7">
        <v>234</v>
      </c>
      <c r="AY94" s="7">
        <v>309</v>
      </c>
      <c r="AZ94" s="7">
        <v>387</v>
      </c>
      <c r="BA94" s="7">
        <v>375</v>
      </c>
      <c r="BB94" s="7">
        <v>350</v>
      </c>
      <c r="BC94" s="15">
        <v>0</v>
      </c>
      <c r="BD94" s="21">
        <f t="shared" si="20"/>
        <v>5.4421556550078749E-3</v>
      </c>
      <c r="BE94" s="21">
        <f t="shared" si="20"/>
        <v>3.3882107640849659E-3</v>
      </c>
      <c r="BF94" s="21">
        <f t="shared" si="20"/>
        <v>3.955908898874678E-3</v>
      </c>
      <c r="BG94" s="21">
        <f t="shared" si="20"/>
        <v>5.0015508684863527E-3</v>
      </c>
      <c r="BH94" s="21">
        <f t="shared" si="20"/>
        <v>4.3245113302196854E-3</v>
      </c>
      <c r="BI94" s="21">
        <f t="shared" si="20"/>
        <v>3.6699171647268532E-3</v>
      </c>
      <c r="BJ94" s="23">
        <f t="shared" si="14"/>
        <v>4.331993121144297E-3</v>
      </c>
    </row>
    <row r="95" spans="1:62" x14ac:dyDescent="0.25">
      <c r="A95" s="12"/>
      <c r="B95" s="2"/>
      <c r="C95" s="2" t="s">
        <v>8</v>
      </c>
      <c r="D95" s="4">
        <v>0</v>
      </c>
      <c r="E95" s="4">
        <v>0</v>
      </c>
      <c r="F95" s="4">
        <v>0</v>
      </c>
      <c r="G95" s="4">
        <v>0</v>
      </c>
      <c r="H95" s="4">
        <v>87</v>
      </c>
      <c r="I95" s="4">
        <v>59</v>
      </c>
      <c r="J95" s="4">
        <v>98</v>
      </c>
      <c r="K95" s="4">
        <v>43</v>
      </c>
      <c r="L95" s="4">
        <v>31</v>
      </c>
      <c r="M95" s="4">
        <v>30</v>
      </c>
      <c r="N95" s="4">
        <v>22</v>
      </c>
      <c r="O95" s="4">
        <v>38</v>
      </c>
      <c r="P95" s="4">
        <v>30</v>
      </c>
      <c r="Q95" s="4">
        <v>30</v>
      </c>
      <c r="R95" s="4">
        <v>8</v>
      </c>
      <c r="S95" s="4">
        <v>22</v>
      </c>
      <c r="T95" s="4">
        <v>25</v>
      </c>
      <c r="U95" s="4">
        <v>64</v>
      </c>
      <c r="V95" s="4">
        <v>91</v>
      </c>
      <c r="W95" s="4">
        <v>54</v>
      </c>
      <c r="X95" s="4">
        <v>142</v>
      </c>
      <c r="Y95" s="4">
        <v>83</v>
      </c>
      <c r="Z95" s="4">
        <v>117</v>
      </c>
      <c r="AA95" s="4">
        <v>61</v>
      </c>
      <c r="AB95" s="4">
        <v>124</v>
      </c>
      <c r="AC95" s="4">
        <v>173</v>
      </c>
      <c r="AD95" s="4">
        <v>147</v>
      </c>
      <c r="AE95" s="4">
        <v>186</v>
      </c>
      <c r="AF95" s="4">
        <v>273</v>
      </c>
      <c r="AG95" s="4">
        <v>192</v>
      </c>
      <c r="AH95" s="4">
        <v>213</v>
      </c>
      <c r="AI95" s="4">
        <v>252</v>
      </c>
      <c r="AJ95" s="4">
        <v>211</v>
      </c>
      <c r="AK95" s="4">
        <v>489</v>
      </c>
      <c r="AL95" s="4">
        <v>542</v>
      </c>
      <c r="AM95" s="4">
        <v>599</v>
      </c>
      <c r="AN95" s="4">
        <v>478</v>
      </c>
      <c r="AO95" s="4">
        <v>769</v>
      </c>
      <c r="AP95" s="4">
        <v>876</v>
      </c>
      <c r="AQ95" s="4">
        <v>949</v>
      </c>
      <c r="AR95" s="4">
        <v>747</v>
      </c>
      <c r="AS95" s="4">
        <v>502</v>
      </c>
      <c r="AT95" s="4">
        <v>726</v>
      </c>
      <c r="AU95" s="4">
        <v>914</v>
      </c>
      <c r="AV95" s="3">
        <v>1124</v>
      </c>
      <c r="AW95" s="3">
        <v>1326</v>
      </c>
      <c r="AX95" s="3">
        <v>1683</v>
      </c>
      <c r="AY95" s="3">
        <v>1753</v>
      </c>
      <c r="AZ95" s="3">
        <v>2017</v>
      </c>
      <c r="BA95" s="3">
        <v>2247</v>
      </c>
      <c r="BB95" s="3">
        <v>2825</v>
      </c>
      <c r="BC95" s="13">
        <v>0</v>
      </c>
      <c r="BD95" s="20">
        <f t="shared" si="20"/>
        <v>2.0904275444570564E-2</v>
      </c>
      <c r="BE95" s="20">
        <f t="shared" si="20"/>
        <v>2.3750723246920027E-2</v>
      </c>
      <c r="BF95" s="20">
        <f t="shared" si="20"/>
        <v>2.2253252935576007E-2</v>
      </c>
      <c r="BG95" s="20">
        <f t="shared" si="20"/>
        <v>2.6248666094063143E-2</v>
      </c>
      <c r="BH95" s="20">
        <f t="shared" si="20"/>
        <v>2.4249160938022728E-2</v>
      </c>
      <c r="BI95" s="20">
        <f t="shared" si="20"/>
        <v>2.8677291645518223E-2</v>
      </c>
      <c r="BJ95" s="23">
        <f t="shared" si="14"/>
        <v>2.6391706225868033E-2</v>
      </c>
    </row>
    <row r="96" spans="1:62" s="5" customFormat="1" x14ac:dyDescent="0.25">
      <c r="A96" s="14"/>
      <c r="B96" s="6"/>
      <c r="C96" s="6" t="s">
        <v>9</v>
      </c>
      <c r="D96" s="7">
        <v>0</v>
      </c>
      <c r="E96" s="7">
        <v>0</v>
      </c>
      <c r="F96" s="7">
        <v>0</v>
      </c>
      <c r="G96" s="7">
        <v>0</v>
      </c>
      <c r="H96" s="7">
        <v>546</v>
      </c>
      <c r="I96" s="7">
        <v>610</v>
      </c>
      <c r="J96" s="7">
        <v>555</v>
      </c>
      <c r="K96" s="7">
        <v>553</v>
      </c>
      <c r="L96" s="7">
        <v>561</v>
      </c>
      <c r="M96" s="7">
        <v>664</v>
      </c>
      <c r="N96" s="7">
        <v>659</v>
      </c>
      <c r="O96" s="7">
        <v>652</v>
      </c>
      <c r="P96" s="7">
        <v>632</v>
      </c>
      <c r="Q96" s="7">
        <v>663</v>
      </c>
      <c r="R96" s="7">
        <v>652</v>
      </c>
      <c r="S96" s="7">
        <v>718</v>
      </c>
      <c r="T96" s="7">
        <v>629</v>
      </c>
      <c r="U96" s="7">
        <v>761</v>
      </c>
      <c r="V96" s="7">
        <v>774</v>
      </c>
      <c r="W96" s="7">
        <v>972</v>
      </c>
      <c r="X96" s="7">
        <v>965</v>
      </c>
      <c r="Y96" s="7">
        <v>996</v>
      </c>
      <c r="Z96" s="8">
        <v>1081</v>
      </c>
      <c r="AA96" s="7">
        <v>979</v>
      </c>
      <c r="AB96" s="7">
        <v>964</v>
      </c>
      <c r="AC96" s="7">
        <v>954</v>
      </c>
      <c r="AD96" s="8">
        <v>1166</v>
      </c>
      <c r="AE96" s="8">
        <v>1210</v>
      </c>
      <c r="AF96" s="8">
        <v>1007</v>
      </c>
      <c r="AG96" s="8">
        <v>1294</v>
      </c>
      <c r="AH96" s="8">
        <v>1181</v>
      </c>
      <c r="AI96" s="8">
        <v>1270</v>
      </c>
      <c r="AJ96" s="8">
        <v>1535</v>
      </c>
      <c r="AK96" s="8">
        <v>1424</v>
      </c>
      <c r="AL96" s="8">
        <v>1743</v>
      </c>
      <c r="AM96" s="8">
        <v>1827</v>
      </c>
      <c r="AN96" s="8">
        <v>1961</v>
      </c>
      <c r="AO96" s="8">
        <v>2063</v>
      </c>
      <c r="AP96" s="8">
        <v>2064</v>
      </c>
      <c r="AQ96" s="8">
        <v>2213</v>
      </c>
      <c r="AR96" s="8">
        <v>2219</v>
      </c>
      <c r="AS96" s="8">
        <v>2197</v>
      </c>
      <c r="AT96" s="8">
        <v>2296</v>
      </c>
      <c r="AU96" s="8">
        <v>2070</v>
      </c>
      <c r="AV96" s="8">
        <v>2046</v>
      </c>
      <c r="AW96" s="8">
        <v>1996</v>
      </c>
      <c r="AX96" s="8">
        <v>1978</v>
      </c>
      <c r="AY96" s="8">
        <v>1777</v>
      </c>
      <c r="AZ96" s="8">
        <v>1681</v>
      </c>
      <c r="BA96" s="8">
        <v>1674</v>
      </c>
      <c r="BB96" s="8">
        <v>1825</v>
      </c>
      <c r="BC96" s="15">
        <v>0</v>
      </c>
      <c r="BD96" s="21">
        <f t="shared" si="20"/>
        <v>9.2349261576044721E-3</v>
      </c>
      <c r="BE96" s="21">
        <f t="shared" si="20"/>
        <v>8.7686633329786857E-3</v>
      </c>
      <c r="BF96" s="21">
        <f t="shared" si="20"/>
        <v>7.7077224699411834E-3</v>
      </c>
      <c r="BG96" s="21">
        <f t="shared" si="20"/>
        <v>7.5947537013694054E-3</v>
      </c>
      <c r="BH96" s="21">
        <f t="shared" si="20"/>
        <v>7.0346775142458521E-3</v>
      </c>
      <c r="BI96" s="21">
        <f t="shared" si="20"/>
        <v>7.1352610919099826E-3</v>
      </c>
      <c r="BJ96" s="23">
        <f t="shared" si="14"/>
        <v>7.254897435841747E-3</v>
      </c>
    </row>
    <row r="97" spans="1:62" x14ac:dyDescent="0.25">
      <c r="A97" s="12"/>
      <c r="B97" s="2" t="s">
        <v>12</v>
      </c>
      <c r="C97" s="2" t="s">
        <v>7</v>
      </c>
      <c r="D97" s="4">
        <v>48</v>
      </c>
      <c r="E97" s="4">
        <v>39</v>
      </c>
      <c r="F97" s="4">
        <v>39</v>
      </c>
      <c r="G97" s="4">
        <v>47</v>
      </c>
      <c r="H97" s="4">
        <v>46</v>
      </c>
      <c r="I97" s="4">
        <v>54</v>
      </c>
      <c r="J97" s="4">
        <v>39</v>
      </c>
      <c r="K97" s="4">
        <v>41</v>
      </c>
      <c r="L97" s="4">
        <v>42</v>
      </c>
      <c r="M97" s="4">
        <v>42</v>
      </c>
      <c r="N97" s="4">
        <v>48</v>
      </c>
      <c r="O97" s="4">
        <v>71</v>
      </c>
      <c r="P97" s="4">
        <v>66</v>
      </c>
      <c r="Q97" s="4">
        <v>66</v>
      </c>
      <c r="R97" s="4">
        <v>56</v>
      </c>
      <c r="S97" s="4">
        <v>60</v>
      </c>
      <c r="T97" s="4">
        <v>66</v>
      </c>
      <c r="U97" s="4">
        <v>89</v>
      </c>
      <c r="V97" s="4">
        <v>89</v>
      </c>
      <c r="W97" s="4">
        <v>90</v>
      </c>
      <c r="X97" s="4">
        <v>99</v>
      </c>
      <c r="Y97" s="4">
        <v>99</v>
      </c>
      <c r="Z97" s="4">
        <v>99</v>
      </c>
      <c r="AA97" s="4">
        <v>105</v>
      </c>
      <c r="AB97" s="4">
        <v>108</v>
      </c>
      <c r="AC97" s="4">
        <v>87</v>
      </c>
      <c r="AD97" s="4">
        <v>85</v>
      </c>
      <c r="AE97" s="4">
        <v>113</v>
      </c>
      <c r="AF97" s="4">
        <v>115</v>
      </c>
      <c r="AG97" s="4">
        <v>155</v>
      </c>
      <c r="AH97" s="4">
        <v>189</v>
      </c>
      <c r="AI97" s="4">
        <v>175</v>
      </c>
      <c r="AJ97" s="4">
        <v>184</v>
      </c>
      <c r="AK97" s="4">
        <v>187</v>
      </c>
      <c r="AL97" s="4">
        <v>217</v>
      </c>
      <c r="AM97" s="4">
        <v>225</v>
      </c>
      <c r="AN97" s="4">
        <v>240</v>
      </c>
      <c r="AO97" s="4">
        <v>245</v>
      </c>
      <c r="AP97" s="4">
        <v>248</v>
      </c>
      <c r="AQ97" s="4">
        <v>251</v>
      </c>
      <c r="AR97" s="4">
        <v>255</v>
      </c>
      <c r="AS97" s="4">
        <v>229</v>
      </c>
      <c r="AT97" s="4">
        <v>242</v>
      </c>
      <c r="AU97" s="4">
        <v>285</v>
      </c>
      <c r="AV97" s="4">
        <v>321</v>
      </c>
      <c r="AW97" s="4">
        <v>333</v>
      </c>
      <c r="AX97" s="4">
        <v>341</v>
      </c>
      <c r="AY97" s="4">
        <v>388</v>
      </c>
      <c r="AZ97" s="4">
        <v>329</v>
      </c>
      <c r="BA97" s="4">
        <v>363</v>
      </c>
      <c r="BB97" s="4">
        <v>340</v>
      </c>
      <c r="BC97" s="13">
        <v>0</v>
      </c>
      <c r="BD97" s="20">
        <f t="shared" ref="BD97:BI97" si="21">AW97/AW560</f>
        <v>1.2566037735849057E-2</v>
      </c>
      <c r="BE97" s="20">
        <f t="shared" si="21"/>
        <v>1.2081060015588464E-2</v>
      </c>
      <c r="BF97" s="20">
        <f t="shared" si="21"/>
        <v>1.3180690967150185E-2</v>
      </c>
      <c r="BG97" s="20">
        <f t="shared" si="21"/>
        <v>1.2118310066669122E-2</v>
      </c>
      <c r="BH97" s="20">
        <f t="shared" si="21"/>
        <v>1.2929652715939448E-2</v>
      </c>
      <c r="BI97" s="20">
        <f t="shared" si="21"/>
        <v>1.1631089217296114E-2</v>
      </c>
      <c r="BJ97" s="23">
        <f t="shared" si="14"/>
        <v>1.2226350666634895E-2</v>
      </c>
    </row>
    <row r="98" spans="1:62" s="5" customFormat="1" x14ac:dyDescent="0.25">
      <c r="A98" s="14"/>
      <c r="B98" s="6"/>
      <c r="C98" s="6" t="s">
        <v>9</v>
      </c>
      <c r="D98" s="7">
        <v>48</v>
      </c>
      <c r="E98" s="7">
        <v>39</v>
      </c>
      <c r="F98" s="7">
        <v>39</v>
      </c>
      <c r="G98" s="7">
        <v>47</v>
      </c>
      <c r="H98" s="7">
        <v>46</v>
      </c>
      <c r="I98" s="7">
        <v>54</v>
      </c>
      <c r="J98" s="7">
        <v>39</v>
      </c>
      <c r="K98" s="7">
        <v>41</v>
      </c>
      <c r="L98" s="7">
        <v>42</v>
      </c>
      <c r="M98" s="7">
        <v>42</v>
      </c>
      <c r="N98" s="7">
        <v>48</v>
      </c>
      <c r="O98" s="7">
        <v>71</v>
      </c>
      <c r="P98" s="7">
        <v>66</v>
      </c>
      <c r="Q98" s="7">
        <v>66</v>
      </c>
      <c r="R98" s="7">
        <v>56</v>
      </c>
      <c r="S98" s="7">
        <v>60</v>
      </c>
      <c r="T98" s="7">
        <v>66</v>
      </c>
      <c r="U98" s="7">
        <v>89</v>
      </c>
      <c r="V98" s="7">
        <v>89</v>
      </c>
      <c r="W98" s="7">
        <v>90</v>
      </c>
      <c r="X98" s="7">
        <v>99</v>
      </c>
      <c r="Y98" s="7">
        <v>99</v>
      </c>
      <c r="Z98" s="7">
        <v>99</v>
      </c>
      <c r="AA98" s="7">
        <v>105</v>
      </c>
      <c r="AB98" s="7">
        <v>108</v>
      </c>
      <c r="AC98" s="7">
        <v>87</v>
      </c>
      <c r="AD98" s="7">
        <v>85</v>
      </c>
      <c r="AE98" s="7">
        <v>113</v>
      </c>
      <c r="AF98" s="7">
        <v>115</v>
      </c>
      <c r="AG98" s="7">
        <v>155</v>
      </c>
      <c r="AH98" s="7">
        <v>189</v>
      </c>
      <c r="AI98" s="7">
        <v>175</v>
      </c>
      <c r="AJ98" s="7">
        <v>184</v>
      </c>
      <c r="AK98" s="7">
        <v>187</v>
      </c>
      <c r="AL98" s="7">
        <v>217</v>
      </c>
      <c r="AM98" s="7">
        <v>225</v>
      </c>
      <c r="AN98" s="7">
        <v>240</v>
      </c>
      <c r="AO98" s="7">
        <v>245</v>
      </c>
      <c r="AP98" s="7">
        <v>248</v>
      </c>
      <c r="AQ98" s="7">
        <v>251</v>
      </c>
      <c r="AR98" s="7">
        <v>255</v>
      </c>
      <c r="AS98" s="7">
        <v>229</v>
      </c>
      <c r="AT98" s="7">
        <v>242</v>
      </c>
      <c r="AU98" s="7">
        <v>285</v>
      </c>
      <c r="AV98" s="7">
        <v>321</v>
      </c>
      <c r="AW98" s="7">
        <v>333</v>
      </c>
      <c r="AX98" s="7">
        <v>341</v>
      </c>
      <c r="AY98" s="7">
        <v>388</v>
      </c>
      <c r="AZ98" s="7">
        <v>329</v>
      </c>
      <c r="BA98" s="7">
        <v>363</v>
      </c>
      <c r="BB98" s="7">
        <v>340</v>
      </c>
      <c r="BC98" s="15">
        <v>0</v>
      </c>
      <c r="BD98" s="21">
        <f t="shared" ref="BD98:BI98" si="22">AW98/AW562</f>
        <v>8.0642622410899585E-4</v>
      </c>
      <c r="BE98" s="21">
        <f t="shared" si="22"/>
        <v>8.1466492425527441E-4</v>
      </c>
      <c r="BF98" s="21">
        <f t="shared" si="22"/>
        <v>9.1020627432397249E-4</v>
      </c>
      <c r="BG98" s="21">
        <f t="shared" si="22"/>
        <v>7.561306336328744E-4</v>
      </c>
      <c r="BH98" s="21">
        <f t="shared" si="22"/>
        <v>8.3393255484312653E-4</v>
      </c>
      <c r="BI98" s="21">
        <f t="shared" si="22"/>
        <v>7.6193549543735102E-4</v>
      </c>
      <c r="BJ98" s="23">
        <f t="shared" si="14"/>
        <v>7.8399956130445058E-4</v>
      </c>
    </row>
    <row r="99" spans="1:62" s="5" customFormat="1" x14ac:dyDescent="0.25">
      <c r="A99" s="12"/>
      <c r="B99" s="2" t="s">
        <v>14</v>
      </c>
      <c r="C99" s="2" t="s">
        <v>42</v>
      </c>
      <c r="D99" s="4">
        <v>146</v>
      </c>
      <c r="E99" s="4">
        <v>127</v>
      </c>
      <c r="F99" s="4">
        <v>127</v>
      </c>
      <c r="G99" s="4">
        <v>133</v>
      </c>
      <c r="H99" s="4">
        <v>145</v>
      </c>
      <c r="I99" s="4">
        <v>131</v>
      </c>
      <c r="J99" s="4">
        <v>147</v>
      </c>
      <c r="K99" s="4">
        <v>135</v>
      </c>
      <c r="L99" s="4">
        <v>135</v>
      </c>
      <c r="M99" s="4">
        <v>134</v>
      </c>
      <c r="N99" s="4">
        <v>97</v>
      </c>
      <c r="O99" s="4">
        <v>149</v>
      </c>
      <c r="P99" s="4">
        <v>146</v>
      </c>
      <c r="Q99" s="4">
        <v>114</v>
      </c>
      <c r="R99" s="4">
        <v>108</v>
      </c>
      <c r="S99" s="4">
        <v>120</v>
      </c>
      <c r="T99" s="4">
        <v>156</v>
      </c>
      <c r="U99" s="4">
        <v>155</v>
      </c>
      <c r="V99" s="4">
        <v>123</v>
      </c>
      <c r="W99" s="4">
        <v>133</v>
      </c>
      <c r="X99" s="4">
        <v>108</v>
      </c>
      <c r="Y99" s="4">
        <v>141</v>
      </c>
      <c r="Z99" s="4">
        <v>128</v>
      </c>
      <c r="AA99" s="4">
        <v>135</v>
      </c>
      <c r="AB99" s="4">
        <v>116</v>
      </c>
      <c r="AC99" s="4">
        <v>52</v>
      </c>
      <c r="AD99" s="4">
        <v>122</v>
      </c>
      <c r="AE99" s="4">
        <v>147</v>
      </c>
      <c r="AF99" s="4">
        <v>114</v>
      </c>
      <c r="AG99" s="4">
        <v>117</v>
      </c>
      <c r="AH99" s="4">
        <v>147</v>
      </c>
      <c r="AI99" s="4">
        <v>151</v>
      </c>
      <c r="AJ99" s="4">
        <v>123</v>
      </c>
      <c r="AK99" s="4">
        <v>123</v>
      </c>
      <c r="AL99" s="4">
        <v>182</v>
      </c>
      <c r="AM99" s="4">
        <v>164</v>
      </c>
      <c r="AN99" s="4">
        <v>157</v>
      </c>
      <c r="AO99" s="4">
        <v>105</v>
      </c>
      <c r="AP99" s="4">
        <v>95</v>
      </c>
      <c r="AQ99" s="4">
        <v>73</v>
      </c>
      <c r="AR99" s="4">
        <v>121</v>
      </c>
      <c r="AS99" s="4">
        <v>88</v>
      </c>
      <c r="AT99" s="4">
        <v>54</v>
      </c>
      <c r="AU99" s="4">
        <v>98</v>
      </c>
      <c r="AV99" s="4">
        <v>105</v>
      </c>
      <c r="AW99" s="4">
        <v>105</v>
      </c>
      <c r="AX99" s="4">
        <v>135</v>
      </c>
      <c r="AY99" s="4">
        <v>126</v>
      </c>
      <c r="AZ99" s="4">
        <v>50</v>
      </c>
      <c r="BA99" s="4">
        <v>125</v>
      </c>
      <c r="BB99" s="13">
        <v>125</v>
      </c>
      <c r="BC99" s="21">
        <f t="shared" ref="BC99:BH99" si="23">AW99/AX$83</f>
        <v>1.3129923721395523E-2</v>
      </c>
      <c r="BD99" s="21">
        <f t="shared" si="23"/>
        <v>1.9935026580035441E-2</v>
      </c>
      <c r="BE99" s="21">
        <f t="shared" si="23"/>
        <v>1.96782758082149E-2</v>
      </c>
      <c r="BF99" s="21">
        <f t="shared" si="23"/>
        <v>7.0165590794274485E-3</v>
      </c>
      <c r="BG99" s="21">
        <f t="shared" si="23"/>
        <v>1.9230769230769232E-2</v>
      </c>
      <c r="BH99" s="21" t="e">
        <f t="shared" si="23"/>
        <v>#DIV/0!</v>
      </c>
      <c r="BJ99" s="23" t="e">
        <f>AVERAGE(BF99,BG99,BH99)</f>
        <v>#DIV/0!</v>
      </c>
    </row>
    <row r="100" spans="1:62" x14ac:dyDescent="0.25">
      <c r="A100" s="12"/>
      <c r="B100" s="6"/>
      <c r="C100" s="6" t="s">
        <v>45</v>
      </c>
      <c r="D100" s="7">
        <v>689</v>
      </c>
      <c r="E100" s="7">
        <v>755</v>
      </c>
      <c r="F100" s="7">
        <v>760</v>
      </c>
      <c r="G100" s="7">
        <v>766</v>
      </c>
      <c r="H100" s="7">
        <v>818</v>
      </c>
      <c r="I100" s="7">
        <v>825</v>
      </c>
      <c r="J100" s="7">
        <v>893</v>
      </c>
      <c r="K100" s="7">
        <v>870</v>
      </c>
      <c r="L100" s="7">
        <v>946</v>
      </c>
      <c r="M100" s="7">
        <v>999</v>
      </c>
      <c r="N100" s="7">
        <v>901</v>
      </c>
      <c r="O100" s="7">
        <v>918</v>
      </c>
      <c r="P100" s="7">
        <v>945</v>
      </c>
      <c r="Q100" s="7">
        <v>987</v>
      </c>
      <c r="R100" s="7">
        <v>795</v>
      </c>
      <c r="S100" s="8">
        <v>1030</v>
      </c>
      <c r="T100" s="8">
        <v>1015</v>
      </c>
      <c r="U100" s="8">
        <v>1050</v>
      </c>
      <c r="V100" s="8">
        <v>1046</v>
      </c>
      <c r="W100" s="7">
        <v>989</v>
      </c>
      <c r="X100" s="7">
        <v>922</v>
      </c>
      <c r="Y100" s="7">
        <v>929</v>
      </c>
      <c r="Z100" s="8">
        <v>1099</v>
      </c>
      <c r="AA100" s="7">
        <v>993</v>
      </c>
      <c r="AB100" s="8">
        <v>1070</v>
      </c>
      <c r="AC100" s="8">
        <v>1145</v>
      </c>
      <c r="AD100" s="8">
        <v>1119</v>
      </c>
      <c r="AE100" s="7">
        <v>928</v>
      </c>
      <c r="AF100" s="7">
        <v>711</v>
      </c>
      <c r="AG100" s="7">
        <v>824</v>
      </c>
      <c r="AH100" s="8">
        <v>1109</v>
      </c>
      <c r="AI100" s="7">
        <v>961</v>
      </c>
      <c r="AJ100" s="8">
        <v>1110</v>
      </c>
      <c r="AK100" s="8">
        <v>1155</v>
      </c>
      <c r="AL100" s="8">
        <v>1090</v>
      </c>
      <c r="AM100" s="8">
        <v>1156</v>
      </c>
      <c r="AN100" s="8">
        <v>1062</v>
      </c>
      <c r="AO100" s="8">
        <v>1056</v>
      </c>
      <c r="AP100" s="8">
        <v>1129</v>
      </c>
      <c r="AQ100" s="8">
        <v>1207</v>
      </c>
      <c r="AR100" s="8">
        <v>1211</v>
      </c>
      <c r="AS100" s="8">
        <v>1235</v>
      </c>
      <c r="AT100" s="8">
        <v>1329</v>
      </c>
      <c r="AU100" s="8">
        <v>1323</v>
      </c>
      <c r="AV100" s="8">
        <v>1274</v>
      </c>
      <c r="AW100" s="8">
        <v>1445</v>
      </c>
      <c r="AX100" s="8">
        <v>1294</v>
      </c>
      <c r="AY100" s="8">
        <v>1417</v>
      </c>
      <c r="AZ100" s="8">
        <v>1350</v>
      </c>
      <c r="BA100" s="8">
        <v>1300</v>
      </c>
      <c r="BB100" s="25">
        <v>1300</v>
      </c>
      <c r="BC100" s="21">
        <f t="shared" ref="BC100:BH100" si="24">AW100/AX$63</f>
        <v>2.8058252427184467</v>
      </c>
      <c r="BD100" s="21">
        <f t="shared" si="24"/>
        <v>7.8902439024390247</v>
      </c>
      <c r="BE100" s="21">
        <f t="shared" si="24"/>
        <v>28.34</v>
      </c>
      <c r="BF100" s="21">
        <f t="shared" si="24"/>
        <v>8.9403973509933774</v>
      </c>
      <c r="BG100" s="21">
        <f t="shared" si="24"/>
        <v>2</v>
      </c>
      <c r="BH100" s="21" t="e">
        <f t="shared" si="24"/>
        <v>#DIV/0!</v>
      </c>
      <c r="BJ100" s="23" t="e">
        <f>AVERAGE(BF100,BG100,BH100)</f>
        <v>#DIV/0!</v>
      </c>
    </row>
    <row r="101" spans="1:62" s="5" customFormat="1" x14ac:dyDescent="0.25">
      <c r="A101" s="12"/>
      <c r="B101" s="2"/>
      <c r="C101" s="2" t="s">
        <v>44</v>
      </c>
      <c r="D101" s="4">
        <v>8</v>
      </c>
      <c r="E101" s="4">
        <v>11</v>
      </c>
      <c r="F101" s="4">
        <v>0</v>
      </c>
      <c r="G101" s="4">
        <v>15</v>
      </c>
      <c r="H101" s="4">
        <v>18</v>
      </c>
      <c r="I101" s="4">
        <v>16</v>
      </c>
      <c r="J101" s="4">
        <v>21</v>
      </c>
      <c r="K101" s="4">
        <v>23</v>
      </c>
      <c r="L101" s="4">
        <v>16</v>
      </c>
      <c r="M101" s="4">
        <v>15</v>
      </c>
      <c r="N101" s="4">
        <v>12</v>
      </c>
      <c r="O101" s="4">
        <v>18</v>
      </c>
      <c r="P101" s="4">
        <v>64</v>
      </c>
      <c r="Q101" s="4">
        <v>20</v>
      </c>
      <c r="R101" s="4">
        <v>43</v>
      </c>
      <c r="S101" s="4">
        <v>62</v>
      </c>
      <c r="T101" s="4">
        <v>58</v>
      </c>
      <c r="U101" s="4">
        <v>114</v>
      </c>
      <c r="V101" s="4">
        <v>143</v>
      </c>
      <c r="W101" s="4">
        <v>32</v>
      </c>
      <c r="X101" s="4">
        <v>64</v>
      </c>
      <c r="Y101" s="4">
        <v>95</v>
      </c>
      <c r="Z101" s="4">
        <v>97</v>
      </c>
      <c r="AA101" s="4">
        <v>73</v>
      </c>
      <c r="AB101" s="4">
        <v>71</v>
      </c>
      <c r="AC101" s="4">
        <v>67</v>
      </c>
      <c r="AD101" s="4">
        <v>101</v>
      </c>
      <c r="AE101" s="4">
        <v>76</v>
      </c>
      <c r="AF101" s="4">
        <v>53</v>
      </c>
      <c r="AG101" s="4">
        <v>33</v>
      </c>
      <c r="AH101" s="4">
        <v>29</v>
      </c>
      <c r="AI101" s="4">
        <v>36</v>
      </c>
      <c r="AJ101" s="4">
        <v>42</v>
      </c>
      <c r="AK101" s="4">
        <v>43</v>
      </c>
      <c r="AL101" s="4">
        <v>50</v>
      </c>
      <c r="AM101" s="4">
        <v>34</v>
      </c>
      <c r="AN101" s="4">
        <v>19</v>
      </c>
      <c r="AO101" s="4">
        <v>21</v>
      </c>
      <c r="AP101" s="4">
        <v>13</v>
      </c>
      <c r="AQ101" s="4">
        <v>13</v>
      </c>
      <c r="AR101" s="4">
        <v>13</v>
      </c>
      <c r="AS101" s="4">
        <v>14</v>
      </c>
      <c r="AT101" s="4">
        <v>18</v>
      </c>
      <c r="AU101" s="4">
        <v>12</v>
      </c>
      <c r="AV101" s="4">
        <v>21</v>
      </c>
      <c r="AW101" s="4">
        <v>79</v>
      </c>
      <c r="AX101" s="4">
        <v>41</v>
      </c>
      <c r="AY101" s="4">
        <v>77</v>
      </c>
      <c r="AZ101" s="4">
        <v>60</v>
      </c>
      <c r="BA101" s="4">
        <v>70</v>
      </c>
      <c r="BB101" s="13">
        <v>70</v>
      </c>
      <c r="BC101" s="21">
        <f t="shared" ref="BC101:BH101" si="25">AW101/AX$42</f>
        <v>0.67521367521367526</v>
      </c>
      <c r="BD101" s="21">
        <f t="shared" si="25"/>
        <v>3.1538461538461537</v>
      </c>
      <c r="BE101" s="21">
        <f t="shared" si="25"/>
        <v>1.75</v>
      </c>
      <c r="BF101" s="21">
        <f t="shared" si="25"/>
        <v>0.42253521126760563</v>
      </c>
      <c r="BG101" s="21">
        <f t="shared" si="25"/>
        <v>0.11513157894736842</v>
      </c>
      <c r="BH101" s="21" t="e">
        <f t="shared" si="25"/>
        <v>#DIV/0!</v>
      </c>
      <c r="BI101"/>
      <c r="BJ101" s="23" t="e">
        <f>AVERAGE(BF101,BG101,BH101)</f>
        <v>#DIV/0!</v>
      </c>
    </row>
    <row r="102" spans="1:62" ht="30" x14ac:dyDescent="0.25">
      <c r="A102" s="12"/>
      <c r="B102" s="6"/>
      <c r="C102" s="6" t="s">
        <v>43</v>
      </c>
      <c r="D102" s="7">
        <v>790</v>
      </c>
      <c r="E102" s="7">
        <v>825</v>
      </c>
      <c r="F102" s="7">
        <v>888</v>
      </c>
      <c r="G102" s="7">
        <v>883</v>
      </c>
      <c r="H102" s="7">
        <v>936</v>
      </c>
      <c r="I102" s="7">
        <v>967</v>
      </c>
      <c r="J102" s="8">
        <v>1030</v>
      </c>
      <c r="K102" s="7">
        <v>992</v>
      </c>
      <c r="L102" s="8">
        <v>1048</v>
      </c>
      <c r="M102" s="8">
        <v>1043</v>
      </c>
      <c r="N102" s="8">
        <v>1030</v>
      </c>
      <c r="O102" s="8">
        <v>1050</v>
      </c>
      <c r="P102" s="8">
        <v>1021</v>
      </c>
      <c r="Q102" s="8">
        <v>1099</v>
      </c>
      <c r="R102" s="7">
        <v>865</v>
      </c>
      <c r="S102" s="8">
        <v>1052</v>
      </c>
      <c r="T102" s="8">
        <v>1051</v>
      </c>
      <c r="U102" s="8">
        <v>1060</v>
      </c>
      <c r="V102" s="8">
        <v>1088</v>
      </c>
      <c r="W102" s="8">
        <v>1072</v>
      </c>
      <c r="X102" s="8">
        <v>1008</v>
      </c>
      <c r="Y102" s="7">
        <v>992</v>
      </c>
      <c r="Z102" s="8">
        <v>1089</v>
      </c>
      <c r="AA102" s="8">
        <v>1043</v>
      </c>
      <c r="AB102" s="8">
        <v>1115</v>
      </c>
      <c r="AC102" s="8">
        <v>1122</v>
      </c>
      <c r="AD102" s="8">
        <v>1147</v>
      </c>
      <c r="AE102" s="8">
        <v>1051</v>
      </c>
      <c r="AF102" s="7">
        <v>812</v>
      </c>
      <c r="AG102" s="7">
        <v>882</v>
      </c>
      <c r="AH102" s="8">
        <v>1118</v>
      </c>
      <c r="AI102" s="8">
        <v>1180</v>
      </c>
      <c r="AJ102" s="8">
        <v>1200</v>
      </c>
      <c r="AK102" s="8">
        <v>1321</v>
      </c>
      <c r="AL102" s="8">
        <v>1158</v>
      </c>
      <c r="AM102" s="8">
        <v>1220</v>
      </c>
      <c r="AN102" s="8">
        <v>1190</v>
      </c>
      <c r="AO102" s="8">
        <v>1235</v>
      </c>
      <c r="AP102" s="8">
        <v>1227</v>
      </c>
      <c r="AQ102" s="8">
        <v>1265</v>
      </c>
      <c r="AR102" s="8">
        <v>1242</v>
      </c>
      <c r="AS102" s="8">
        <v>1250</v>
      </c>
      <c r="AT102" s="8">
        <v>1398</v>
      </c>
      <c r="AU102" s="8">
        <v>1431</v>
      </c>
      <c r="AV102" s="8">
        <v>1425</v>
      </c>
      <c r="AW102" s="8">
        <v>1380</v>
      </c>
      <c r="AX102" s="8">
        <v>1360</v>
      </c>
      <c r="AY102" s="8">
        <v>1370</v>
      </c>
      <c r="AZ102" s="8">
        <v>1330</v>
      </c>
      <c r="BA102" s="8">
        <v>1350</v>
      </c>
      <c r="BB102" s="25">
        <v>1350</v>
      </c>
      <c r="BC102" s="20">
        <f t="shared" ref="BC102:BH102" si="26">AW102/AW$25</f>
        <v>0.82388059701492533</v>
      </c>
      <c r="BD102" s="20">
        <f t="shared" si="26"/>
        <v>0.79532163742690054</v>
      </c>
      <c r="BE102" s="20">
        <f t="shared" si="26"/>
        <v>0.76323119777158777</v>
      </c>
      <c r="BF102" s="20">
        <f t="shared" si="26"/>
        <v>0.76878612716763006</v>
      </c>
      <c r="BG102" s="20">
        <f t="shared" si="26"/>
        <v>0.78034682080924855</v>
      </c>
      <c r="BH102" s="20">
        <f t="shared" si="26"/>
        <v>0.76704545454545459</v>
      </c>
      <c r="BI102" s="5"/>
      <c r="BJ102" s="23">
        <f>AVERAGE(BF102,BG102,BH102)</f>
        <v>0.77205946750744436</v>
      </c>
    </row>
    <row r="103" spans="1:62" s="5" customFormat="1" x14ac:dyDescent="0.25">
      <c r="A103" s="14"/>
      <c r="B103" s="6" t="s">
        <v>15</v>
      </c>
      <c r="C103" s="6" t="s">
        <v>6</v>
      </c>
      <c r="D103" s="8">
        <v>14108</v>
      </c>
      <c r="E103" s="8">
        <v>7713</v>
      </c>
      <c r="F103" s="8">
        <v>15392</v>
      </c>
      <c r="G103" s="8">
        <v>19690</v>
      </c>
      <c r="H103" s="8">
        <v>16349</v>
      </c>
      <c r="I103" s="8">
        <v>17674</v>
      </c>
      <c r="J103" s="8">
        <v>22516</v>
      </c>
      <c r="K103" s="8">
        <v>16137</v>
      </c>
      <c r="L103" s="8">
        <v>17689</v>
      </c>
      <c r="M103" s="8">
        <v>18267</v>
      </c>
      <c r="N103" s="8">
        <v>9024</v>
      </c>
      <c r="O103" s="8">
        <v>14412</v>
      </c>
      <c r="P103" s="8">
        <v>14514</v>
      </c>
      <c r="Q103" s="8">
        <v>16159</v>
      </c>
      <c r="R103" s="8">
        <v>13295</v>
      </c>
      <c r="S103" s="8">
        <v>17078</v>
      </c>
      <c r="T103" s="8">
        <v>23587</v>
      </c>
      <c r="U103" s="8">
        <v>19862</v>
      </c>
      <c r="V103" s="8">
        <v>21145</v>
      </c>
      <c r="W103" s="8">
        <v>17185</v>
      </c>
      <c r="X103" s="8">
        <v>19291</v>
      </c>
      <c r="Y103" s="8">
        <v>24802</v>
      </c>
      <c r="Z103" s="8">
        <v>26715</v>
      </c>
      <c r="AA103" s="8">
        <v>26465</v>
      </c>
      <c r="AB103" s="8">
        <v>21188</v>
      </c>
      <c r="AC103" s="8">
        <v>24252</v>
      </c>
      <c r="AD103" s="8">
        <v>31359</v>
      </c>
      <c r="AE103" s="8">
        <v>25945</v>
      </c>
      <c r="AF103" s="8">
        <v>15913</v>
      </c>
      <c r="AG103" s="8">
        <v>24796</v>
      </c>
      <c r="AH103" s="8">
        <v>32098</v>
      </c>
      <c r="AI103" s="8">
        <v>31946</v>
      </c>
      <c r="AJ103" s="8">
        <v>29871</v>
      </c>
      <c r="AK103" s="8">
        <v>27226</v>
      </c>
      <c r="AL103" s="8">
        <v>22920</v>
      </c>
      <c r="AM103" s="8">
        <v>24989</v>
      </c>
      <c r="AN103" s="8">
        <v>29801</v>
      </c>
      <c r="AO103" s="8">
        <v>24280</v>
      </c>
      <c r="AP103" s="8">
        <v>24082</v>
      </c>
      <c r="AQ103" s="8">
        <v>26941</v>
      </c>
      <c r="AR103" s="8">
        <v>26519</v>
      </c>
      <c r="AS103" s="8">
        <v>20568</v>
      </c>
      <c r="AT103" s="8">
        <v>16198</v>
      </c>
      <c r="AU103" s="8">
        <v>23049</v>
      </c>
      <c r="AV103" s="8">
        <v>24796</v>
      </c>
      <c r="AW103" s="8">
        <v>25748</v>
      </c>
      <c r="AX103" s="8">
        <v>25265</v>
      </c>
      <c r="AY103" s="8">
        <v>20054</v>
      </c>
      <c r="AZ103" s="8">
        <v>28611</v>
      </c>
      <c r="BA103" s="8">
        <v>26848</v>
      </c>
      <c r="BB103" s="8">
        <v>23167</v>
      </c>
      <c r="BC103" s="15">
        <v>0</v>
      </c>
      <c r="BD103" s="21">
        <f t="shared" ref="BD103:BI106" si="27">AW103/AW571</f>
        <v>4.1586985734959683E-2</v>
      </c>
      <c r="BE103" s="21">
        <f t="shared" si="27"/>
        <v>4.2372952421203751E-2</v>
      </c>
      <c r="BF103" s="21">
        <f t="shared" si="27"/>
        <v>3.2762888113773189E-2</v>
      </c>
      <c r="BG103" s="21">
        <f t="shared" si="27"/>
        <v>4.1939928758850172E-2</v>
      </c>
      <c r="BH103" s="21">
        <f t="shared" si="27"/>
        <v>3.926254045366602E-2</v>
      </c>
      <c r="BI103" s="21">
        <f t="shared" si="27"/>
        <v>3.5796786370428053E-2</v>
      </c>
      <c r="BJ103" s="23">
        <f t="shared" si="14"/>
        <v>3.8999751860981417E-2</v>
      </c>
    </row>
    <row r="104" spans="1:62" x14ac:dyDescent="0.25">
      <c r="A104" s="12"/>
      <c r="B104" s="2"/>
      <c r="C104" s="2" t="s">
        <v>7</v>
      </c>
      <c r="D104" s="4">
        <v>0</v>
      </c>
      <c r="E104" s="4">
        <v>0</v>
      </c>
      <c r="F104" s="4">
        <v>0</v>
      </c>
      <c r="G104" s="4">
        <v>0</v>
      </c>
      <c r="H104" s="4">
        <v>0</v>
      </c>
      <c r="I104" s="4">
        <v>0</v>
      </c>
      <c r="J104" s="4">
        <v>0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  <c r="Y104" s="4">
        <v>0</v>
      </c>
      <c r="Z104" s="4">
        <v>0</v>
      </c>
      <c r="AA104" s="4">
        <v>0</v>
      </c>
      <c r="AB104" s="4">
        <v>2</v>
      </c>
      <c r="AC104" s="4">
        <v>14</v>
      </c>
      <c r="AD104" s="4">
        <v>38</v>
      </c>
      <c r="AE104" s="4">
        <v>34</v>
      </c>
      <c r="AF104" s="4">
        <v>46</v>
      </c>
      <c r="AG104" s="4">
        <v>36</v>
      </c>
      <c r="AH104" s="4">
        <v>52</v>
      </c>
      <c r="AI104" s="4">
        <v>95</v>
      </c>
      <c r="AJ104" s="4">
        <v>113</v>
      </c>
      <c r="AK104" s="4">
        <v>151</v>
      </c>
      <c r="AL104" s="4">
        <v>136</v>
      </c>
      <c r="AM104" s="4">
        <v>158</v>
      </c>
      <c r="AN104" s="4">
        <v>241</v>
      </c>
      <c r="AO104" s="4">
        <v>132</v>
      </c>
      <c r="AP104" s="4">
        <v>152</v>
      </c>
      <c r="AQ104" s="4">
        <v>190</v>
      </c>
      <c r="AR104" s="4">
        <v>199</v>
      </c>
      <c r="AS104" s="4">
        <v>341</v>
      </c>
      <c r="AT104" s="4">
        <v>382</v>
      </c>
      <c r="AU104" s="4">
        <v>233</v>
      </c>
      <c r="AV104" s="4">
        <v>253</v>
      </c>
      <c r="AW104" s="4">
        <v>290</v>
      </c>
      <c r="AX104" s="4">
        <v>322</v>
      </c>
      <c r="AY104" s="4">
        <v>390</v>
      </c>
      <c r="AZ104" s="4">
        <v>378</v>
      </c>
      <c r="BA104" s="4">
        <v>403</v>
      </c>
      <c r="BB104" s="4">
        <v>400</v>
      </c>
      <c r="BC104" s="13">
        <v>0</v>
      </c>
      <c r="BD104" s="20">
        <f t="shared" si="27"/>
        <v>2.5991019654588313E-3</v>
      </c>
      <c r="BE104" s="20">
        <f t="shared" si="27"/>
        <v>2.824363202582275E-3</v>
      </c>
      <c r="BF104" s="20">
        <f t="shared" si="27"/>
        <v>3.4269144589429289E-3</v>
      </c>
      <c r="BG104" s="20">
        <f t="shared" si="27"/>
        <v>2.7604741004724938E-3</v>
      </c>
      <c r="BH104" s="20">
        <f t="shared" si="27"/>
        <v>3.0197444831591173E-3</v>
      </c>
      <c r="BI104" s="20">
        <f t="shared" si="27"/>
        <v>3.2606746335816878E-3</v>
      </c>
      <c r="BJ104" s="23">
        <f t="shared" si="14"/>
        <v>3.0136310724044328E-3</v>
      </c>
    </row>
    <row r="105" spans="1:62" s="5" customFormat="1" x14ac:dyDescent="0.25">
      <c r="A105" s="14"/>
      <c r="B105" s="6"/>
      <c r="C105" s="6" t="s">
        <v>8</v>
      </c>
      <c r="D105" s="8">
        <v>9614</v>
      </c>
      <c r="E105" s="8">
        <v>9744</v>
      </c>
      <c r="F105" s="8">
        <v>9018</v>
      </c>
      <c r="G105" s="8">
        <v>16181</v>
      </c>
      <c r="H105" s="8">
        <v>10875</v>
      </c>
      <c r="I105" s="8">
        <v>15918</v>
      </c>
      <c r="J105" s="8">
        <v>14024</v>
      </c>
      <c r="K105" s="8">
        <v>9145</v>
      </c>
      <c r="L105" s="8">
        <v>8323</v>
      </c>
      <c r="M105" s="8">
        <v>9430</v>
      </c>
      <c r="N105" s="8">
        <v>11846</v>
      </c>
      <c r="O105" s="8">
        <v>13710</v>
      </c>
      <c r="P105" s="8">
        <v>15692</v>
      </c>
      <c r="Q105" s="8">
        <v>11414</v>
      </c>
      <c r="R105" s="8">
        <v>10739</v>
      </c>
      <c r="S105" s="8">
        <v>12253</v>
      </c>
      <c r="T105" s="8">
        <v>13446</v>
      </c>
      <c r="U105" s="8">
        <v>15997</v>
      </c>
      <c r="V105" s="8">
        <v>13061</v>
      </c>
      <c r="W105" s="8">
        <v>15883</v>
      </c>
      <c r="X105" s="8">
        <v>16262</v>
      </c>
      <c r="Y105" s="8">
        <v>18447</v>
      </c>
      <c r="Z105" s="8">
        <v>21368</v>
      </c>
      <c r="AA105" s="8">
        <v>21765</v>
      </c>
      <c r="AB105" s="8">
        <v>17543</v>
      </c>
      <c r="AC105" s="8">
        <v>17697</v>
      </c>
      <c r="AD105" s="8">
        <v>20783</v>
      </c>
      <c r="AE105" s="8">
        <v>23518</v>
      </c>
      <c r="AF105" s="8">
        <v>12429</v>
      </c>
      <c r="AG105" s="8">
        <v>16885</v>
      </c>
      <c r="AH105" s="8">
        <v>21731</v>
      </c>
      <c r="AI105" s="8">
        <v>24481</v>
      </c>
      <c r="AJ105" s="8">
        <v>19709</v>
      </c>
      <c r="AK105" s="8">
        <v>19100</v>
      </c>
      <c r="AL105" s="8">
        <v>20851</v>
      </c>
      <c r="AM105" s="8">
        <v>16342</v>
      </c>
      <c r="AN105" s="8">
        <v>19501</v>
      </c>
      <c r="AO105" s="8">
        <v>20134</v>
      </c>
      <c r="AP105" s="8">
        <v>14705</v>
      </c>
      <c r="AQ105" s="8">
        <v>19165</v>
      </c>
      <c r="AR105" s="8">
        <v>17316</v>
      </c>
      <c r="AS105" s="8">
        <v>16272</v>
      </c>
      <c r="AT105" s="8">
        <v>9432</v>
      </c>
      <c r="AU105" s="8">
        <v>15843</v>
      </c>
      <c r="AV105" s="8">
        <v>14872</v>
      </c>
      <c r="AW105" s="8">
        <v>16020</v>
      </c>
      <c r="AX105" s="8">
        <v>19434</v>
      </c>
      <c r="AY105" s="8">
        <v>16116</v>
      </c>
      <c r="AZ105" s="8">
        <v>18812</v>
      </c>
      <c r="BA105" s="8">
        <v>19023</v>
      </c>
      <c r="BB105" s="8">
        <v>17000</v>
      </c>
      <c r="BC105" s="15">
        <v>0</v>
      </c>
      <c r="BD105" s="21">
        <f t="shared" si="27"/>
        <v>0.13694063341454032</v>
      </c>
      <c r="BE105" s="21">
        <f t="shared" si="27"/>
        <v>0.17378940308517773</v>
      </c>
      <c r="BF105" s="21">
        <f t="shared" si="27"/>
        <v>0.13741239064818131</v>
      </c>
      <c r="BG105" s="21">
        <f t="shared" si="27"/>
        <v>0.1309480718362801</v>
      </c>
      <c r="BH105" s="21">
        <f t="shared" si="27"/>
        <v>0.14007996995603861</v>
      </c>
      <c r="BI105" s="21">
        <f t="shared" si="27"/>
        <v>0.1369234114870688</v>
      </c>
      <c r="BJ105" s="23">
        <f t="shared" si="14"/>
        <v>0.13598381775979584</v>
      </c>
    </row>
    <row r="106" spans="1:62" x14ac:dyDescent="0.25">
      <c r="A106" s="12"/>
      <c r="B106" s="2"/>
      <c r="C106" s="2" t="s">
        <v>9</v>
      </c>
      <c r="D106" s="3">
        <v>4256</v>
      </c>
      <c r="E106" s="3">
        <v>3882</v>
      </c>
      <c r="F106" s="3">
        <v>3756</v>
      </c>
      <c r="G106" s="3">
        <v>4266</v>
      </c>
      <c r="H106" s="3">
        <v>4016</v>
      </c>
      <c r="I106" s="3">
        <v>4284</v>
      </c>
      <c r="J106" s="3">
        <v>4365</v>
      </c>
      <c r="K106" s="3">
        <v>4250</v>
      </c>
      <c r="L106" s="3">
        <v>4486</v>
      </c>
      <c r="M106" s="3">
        <v>4568</v>
      </c>
      <c r="N106" s="3">
        <v>4650</v>
      </c>
      <c r="O106" s="3">
        <v>4795</v>
      </c>
      <c r="P106" s="3">
        <v>4764</v>
      </c>
      <c r="Q106" s="3">
        <v>4601</v>
      </c>
      <c r="R106" s="3">
        <v>4607</v>
      </c>
      <c r="S106" s="3">
        <v>4641</v>
      </c>
      <c r="T106" s="3">
        <v>5045</v>
      </c>
      <c r="U106" s="3">
        <v>5068</v>
      </c>
      <c r="V106" s="3">
        <v>5290</v>
      </c>
      <c r="W106" s="3">
        <v>5490</v>
      </c>
      <c r="X106" s="3">
        <v>5240</v>
      </c>
      <c r="Y106" s="3">
        <v>5152</v>
      </c>
      <c r="Z106" s="3">
        <v>5087</v>
      </c>
      <c r="AA106" s="3">
        <v>5483</v>
      </c>
      <c r="AB106" s="3">
        <v>5239</v>
      </c>
      <c r="AC106" s="3">
        <v>5598</v>
      </c>
      <c r="AD106" s="3">
        <v>6452</v>
      </c>
      <c r="AE106" s="3">
        <v>7887</v>
      </c>
      <c r="AF106" s="3">
        <v>5803</v>
      </c>
      <c r="AG106" s="3">
        <v>6537</v>
      </c>
      <c r="AH106" s="3">
        <v>6576</v>
      </c>
      <c r="AI106" s="3">
        <v>7779</v>
      </c>
      <c r="AJ106" s="3">
        <v>8148</v>
      </c>
      <c r="AK106" s="3">
        <v>9352</v>
      </c>
      <c r="AL106" s="3">
        <v>7643</v>
      </c>
      <c r="AM106" s="3">
        <v>7758</v>
      </c>
      <c r="AN106" s="3">
        <v>8222</v>
      </c>
      <c r="AO106" s="3">
        <v>7315</v>
      </c>
      <c r="AP106" s="3">
        <v>8113</v>
      </c>
      <c r="AQ106" s="3">
        <v>8092</v>
      </c>
      <c r="AR106" s="3">
        <v>7043</v>
      </c>
      <c r="AS106" s="3">
        <v>7746</v>
      </c>
      <c r="AT106" s="3">
        <v>7972</v>
      </c>
      <c r="AU106" s="3">
        <v>7179</v>
      </c>
      <c r="AV106" s="3">
        <v>8240</v>
      </c>
      <c r="AW106" s="3">
        <v>8242</v>
      </c>
      <c r="AX106" s="3">
        <v>8986</v>
      </c>
      <c r="AY106" s="3">
        <v>6787</v>
      </c>
      <c r="AZ106" s="3">
        <v>8036</v>
      </c>
      <c r="BA106" s="3">
        <v>6955</v>
      </c>
      <c r="BB106" s="3">
        <v>8400</v>
      </c>
      <c r="BC106" s="13">
        <v>0</v>
      </c>
      <c r="BD106" s="20">
        <f t="shared" si="27"/>
        <v>1.3364834690842932E-2</v>
      </c>
      <c r="BE106" s="20">
        <f t="shared" si="27"/>
        <v>1.4533586072600002E-2</v>
      </c>
      <c r="BF106" s="20">
        <f t="shared" si="27"/>
        <v>1.1066723193321158E-2</v>
      </c>
      <c r="BG106" s="20">
        <f t="shared" si="27"/>
        <v>1.2660002678198674E-2</v>
      </c>
      <c r="BH106" s="20">
        <f t="shared" si="27"/>
        <v>1.0696560644346664E-2</v>
      </c>
      <c r="BI106" s="20">
        <f t="shared" si="27"/>
        <v>1.2712364590616459E-2</v>
      </c>
      <c r="BJ106" s="23">
        <f t="shared" si="14"/>
        <v>1.2022975971053932E-2</v>
      </c>
    </row>
    <row r="107" spans="1:62" s="5" customFormat="1" x14ac:dyDescent="0.25">
      <c r="A107" s="14" t="s">
        <v>19</v>
      </c>
      <c r="B107" s="6" t="s">
        <v>5</v>
      </c>
      <c r="C107" s="6" t="s">
        <v>6</v>
      </c>
      <c r="D107" s="8">
        <v>14348</v>
      </c>
      <c r="E107" s="8">
        <v>21345</v>
      </c>
      <c r="F107" s="8">
        <v>20892</v>
      </c>
      <c r="G107" s="8">
        <v>20580</v>
      </c>
      <c r="H107" s="8">
        <v>22690</v>
      </c>
      <c r="I107" s="8">
        <v>23660</v>
      </c>
      <c r="J107" s="8">
        <v>27613</v>
      </c>
      <c r="K107" s="8">
        <v>29715</v>
      </c>
      <c r="L107" s="8">
        <v>26861</v>
      </c>
      <c r="M107" s="8">
        <v>27826</v>
      </c>
      <c r="N107" s="8">
        <v>33030</v>
      </c>
      <c r="O107" s="8">
        <v>35850</v>
      </c>
      <c r="P107" s="8">
        <v>32100</v>
      </c>
      <c r="Q107" s="8">
        <v>38630</v>
      </c>
      <c r="R107" s="8">
        <v>42920</v>
      </c>
      <c r="S107" s="8">
        <v>47220</v>
      </c>
      <c r="T107" s="8">
        <v>48160</v>
      </c>
      <c r="U107" s="8">
        <v>49390</v>
      </c>
      <c r="V107" s="8">
        <v>55945</v>
      </c>
      <c r="W107" s="8">
        <v>60035</v>
      </c>
      <c r="X107" s="8">
        <v>62600</v>
      </c>
      <c r="Y107" s="8">
        <v>59205</v>
      </c>
      <c r="Z107" s="8">
        <v>60560</v>
      </c>
      <c r="AA107" s="8">
        <v>68205</v>
      </c>
      <c r="AB107" s="8">
        <v>73410</v>
      </c>
      <c r="AC107" s="8">
        <v>63826</v>
      </c>
      <c r="AD107" s="8">
        <v>70856</v>
      </c>
      <c r="AE107" s="8">
        <v>79240</v>
      </c>
      <c r="AF107" s="8">
        <v>77351</v>
      </c>
      <c r="AG107" s="8">
        <v>78928</v>
      </c>
      <c r="AH107" s="8">
        <v>96820</v>
      </c>
      <c r="AI107" s="8">
        <v>98770</v>
      </c>
      <c r="AJ107" s="8">
        <v>95380</v>
      </c>
      <c r="AK107" s="8">
        <v>102700</v>
      </c>
      <c r="AL107" s="8">
        <v>99280</v>
      </c>
      <c r="AM107" s="8">
        <v>112000</v>
      </c>
      <c r="AN107" s="8">
        <v>127470</v>
      </c>
      <c r="AO107" s="8">
        <v>104309</v>
      </c>
      <c r="AP107" s="8">
        <v>132954</v>
      </c>
      <c r="AQ107" s="8">
        <v>128086</v>
      </c>
      <c r="AR107" s="8">
        <v>106000</v>
      </c>
      <c r="AS107" s="8">
        <v>114088</v>
      </c>
      <c r="AT107" s="8">
        <v>121300</v>
      </c>
      <c r="AU107" s="8">
        <v>115830</v>
      </c>
      <c r="AV107" s="8">
        <v>130290</v>
      </c>
      <c r="AW107" s="8">
        <v>139365</v>
      </c>
      <c r="AX107" s="8">
        <v>151600</v>
      </c>
      <c r="AY107" s="8">
        <v>152300</v>
      </c>
      <c r="AZ107" s="8">
        <v>165900</v>
      </c>
      <c r="BA107" s="8">
        <v>158000</v>
      </c>
      <c r="BB107" s="8">
        <v>168000</v>
      </c>
      <c r="BC107" s="15">
        <v>0</v>
      </c>
      <c r="BD107" s="21">
        <f t="shared" ref="BD107:BI126" si="28">AW107/AW547</f>
        <v>0.19924713135027408</v>
      </c>
      <c r="BE107" s="21">
        <f t="shared" si="28"/>
        <v>0.21245258005159964</v>
      </c>
      <c r="BF107" s="21">
        <f t="shared" si="28"/>
        <v>0.19169964454379765</v>
      </c>
      <c r="BG107" s="21">
        <f t="shared" si="28"/>
        <v>0.20768029002633873</v>
      </c>
      <c r="BH107" s="21">
        <f t="shared" si="28"/>
        <v>0.19447901165273926</v>
      </c>
      <c r="BI107" s="21">
        <f t="shared" si="28"/>
        <v>0.20614989305974299</v>
      </c>
      <c r="BJ107" s="23">
        <f t="shared" si="14"/>
        <v>0.20276973157960698</v>
      </c>
    </row>
    <row r="108" spans="1:62" x14ac:dyDescent="0.25">
      <c r="A108" s="12"/>
      <c r="B108" s="2"/>
      <c r="C108" s="2" t="s">
        <v>7</v>
      </c>
      <c r="D108" s="4">
        <v>33</v>
      </c>
      <c r="E108" s="4">
        <v>212</v>
      </c>
      <c r="F108" s="4">
        <v>264</v>
      </c>
      <c r="G108" s="4">
        <v>212</v>
      </c>
      <c r="H108" s="4">
        <v>101</v>
      </c>
      <c r="I108" s="4">
        <v>31</v>
      </c>
      <c r="J108" s="4">
        <v>63</v>
      </c>
      <c r="K108" s="4">
        <v>113</v>
      </c>
      <c r="L108" s="4">
        <v>1</v>
      </c>
      <c r="M108" s="4">
        <v>0</v>
      </c>
      <c r="N108" s="4">
        <v>0</v>
      </c>
      <c r="O108" s="4">
        <v>0</v>
      </c>
      <c r="P108" s="4">
        <v>955</v>
      </c>
      <c r="Q108" s="3">
        <v>2058</v>
      </c>
      <c r="R108" s="4">
        <v>496</v>
      </c>
      <c r="S108" s="4">
        <v>0</v>
      </c>
      <c r="T108" s="4">
        <v>0</v>
      </c>
      <c r="U108" s="4">
        <v>59</v>
      </c>
      <c r="V108" s="3">
        <v>3032</v>
      </c>
      <c r="W108" s="3">
        <v>1966</v>
      </c>
      <c r="X108" s="4">
        <v>772</v>
      </c>
      <c r="Y108" s="3">
        <v>1245</v>
      </c>
      <c r="Z108" s="3">
        <v>2441</v>
      </c>
      <c r="AA108" s="4">
        <v>131</v>
      </c>
      <c r="AB108" s="4">
        <v>100</v>
      </c>
      <c r="AC108" s="4">
        <v>374</v>
      </c>
      <c r="AD108" s="3">
        <v>1551</v>
      </c>
      <c r="AE108" s="4">
        <v>217</v>
      </c>
      <c r="AF108" s="4">
        <v>0</v>
      </c>
      <c r="AG108" s="4">
        <v>442</v>
      </c>
      <c r="AH108" s="4">
        <v>0</v>
      </c>
      <c r="AI108" s="4">
        <v>0</v>
      </c>
      <c r="AJ108" s="4">
        <v>0</v>
      </c>
      <c r="AK108" s="4">
        <v>0</v>
      </c>
      <c r="AL108" s="3">
        <v>4287</v>
      </c>
      <c r="AM108" s="3">
        <v>1476</v>
      </c>
      <c r="AN108" s="4">
        <v>75</v>
      </c>
      <c r="AO108" s="4">
        <v>287</v>
      </c>
      <c r="AP108" s="4">
        <v>262</v>
      </c>
      <c r="AQ108" s="4">
        <v>71</v>
      </c>
      <c r="AR108" s="4">
        <v>89</v>
      </c>
      <c r="AS108" s="4">
        <v>39</v>
      </c>
      <c r="AT108" s="4">
        <v>29</v>
      </c>
      <c r="AU108" s="4">
        <v>2</v>
      </c>
      <c r="AV108" s="4">
        <v>2</v>
      </c>
      <c r="AW108" s="4">
        <v>62</v>
      </c>
      <c r="AX108" s="4">
        <v>16</v>
      </c>
      <c r="AY108" s="4">
        <v>41</v>
      </c>
      <c r="AZ108" s="4">
        <v>47</v>
      </c>
      <c r="BA108" s="3">
        <v>1296</v>
      </c>
      <c r="BB108" s="3">
        <v>1500</v>
      </c>
      <c r="BC108" s="13">
        <v>0</v>
      </c>
      <c r="BD108" s="20">
        <f t="shared" si="28"/>
        <v>7.6890641664806411E-4</v>
      </c>
      <c r="BE108" s="20">
        <f t="shared" si="28"/>
        <v>1.7665113608761896E-4</v>
      </c>
      <c r="BF108" s="20">
        <f t="shared" si="28"/>
        <v>4.1617182821238974E-4</v>
      </c>
      <c r="BG108" s="20">
        <f t="shared" si="28"/>
        <v>5.6909683122040994E-4</v>
      </c>
      <c r="BH108" s="20">
        <f t="shared" si="28"/>
        <v>1.44253244584938E-2</v>
      </c>
      <c r="BI108" s="20">
        <f t="shared" si="28"/>
        <v>1.6357152982999466E-2</v>
      </c>
      <c r="BJ108" s="23">
        <f t="shared" si="14"/>
        <v>1.0450524757571225E-2</v>
      </c>
    </row>
    <row r="109" spans="1:62" s="5" customFormat="1" x14ac:dyDescent="0.25">
      <c r="A109" s="14"/>
      <c r="B109" s="6"/>
      <c r="C109" s="6" t="s">
        <v>8</v>
      </c>
      <c r="D109" s="7">
        <v>14</v>
      </c>
      <c r="E109" s="7">
        <v>0</v>
      </c>
      <c r="F109" s="7">
        <v>19</v>
      </c>
      <c r="G109" s="7">
        <v>98</v>
      </c>
      <c r="H109" s="7">
        <v>285</v>
      </c>
      <c r="I109" s="7">
        <v>232</v>
      </c>
      <c r="J109" s="7">
        <v>123</v>
      </c>
      <c r="K109" s="7">
        <v>25</v>
      </c>
      <c r="L109" s="7">
        <v>35</v>
      </c>
      <c r="M109" s="7">
        <v>0</v>
      </c>
      <c r="N109" s="7">
        <v>31</v>
      </c>
      <c r="O109" s="7">
        <v>300</v>
      </c>
      <c r="P109" s="7">
        <v>200</v>
      </c>
      <c r="Q109" s="7">
        <v>150</v>
      </c>
      <c r="R109" s="7">
        <v>225</v>
      </c>
      <c r="S109" s="7">
        <v>225</v>
      </c>
      <c r="T109" s="7">
        <v>125</v>
      </c>
      <c r="U109" s="7">
        <v>75</v>
      </c>
      <c r="V109" s="7">
        <v>50</v>
      </c>
      <c r="W109" s="7">
        <v>75</v>
      </c>
      <c r="X109" s="7">
        <v>125</v>
      </c>
      <c r="Y109" s="7">
        <v>100</v>
      </c>
      <c r="Z109" s="7">
        <v>50</v>
      </c>
      <c r="AA109" s="7">
        <v>330</v>
      </c>
      <c r="AB109" s="8">
        <v>5240</v>
      </c>
      <c r="AC109" s="8">
        <v>6400</v>
      </c>
      <c r="AD109" s="8">
        <v>3750</v>
      </c>
      <c r="AE109" s="8">
        <v>4510</v>
      </c>
      <c r="AF109" s="8">
        <v>4008</v>
      </c>
      <c r="AG109" s="8">
        <v>3085</v>
      </c>
      <c r="AH109" s="8">
        <v>6880</v>
      </c>
      <c r="AI109" s="8">
        <v>9974</v>
      </c>
      <c r="AJ109" s="8">
        <v>11463</v>
      </c>
      <c r="AK109" s="8">
        <v>11594</v>
      </c>
      <c r="AL109" s="8">
        <v>1333</v>
      </c>
      <c r="AM109" s="7">
        <v>157</v>
      </c>
      <c r="AN109" s="8">
        <v>3892</v>
      </c>
      <c r="AO109" s="8">
        <v>6173</v>
      </c>
      <c r="AP109" s="8">
        <v>3338</v>
      </c>
      <c r="AQ109" s="8">
        <v>9935</v>
      </c>
      <c r="AR109" s="8">
        <v>7276</v>
      </c>
      <c r="AS109" s="8">
        <v>8611</v>
      </c>
      <c r="AT109" s="8">
        <v>15244</v>
      </c>
      <c r="AU109" s="8">
        <v>7553</v>
      </c>
      <c r="AV109" s="8">
        <v>7589</v>
      </c>
      <c r="AW109" s="8">
        <v>3727</v>
      </c>
      <c r="AX109" s="8">
        <v>5269</v>
      </c>
      <c r="AY109" s="7">
        <v>549</v>
      </c>
      <c r="AZ109" s="7">
        <v>172</v>
      </c>
      <c r="BA109" s="7">
        <v>151</v>
      </c>
      <c r="BB109" s="7">
        <v>100</v>
      </c>
      <c r="BC109" s="15">
        <v>0</v>
      </c>
      <c r="BD109" s="21">
        <f t="shared" si="28"/>
        <v>4.5971482139332942E-2</v>
      </c>
      <c r="BE109" s="21">
        <f t="shared" si="28"/>
        <v>5.6019222386425253E-2</v>
      </c>
      <c r="BF109" s="21">
        <f t="shared" si="28"/>
        <v>5.5661448617081678E-3</v>
      </c>
      <c r="BG109" s="21">
        <f t="shared" si="28"/>
        <v>2.0362981992967668E-3</v>
      </c>
      <c r="BH109" s="21">
        <f t="shared" si="28"/>
        <v>1.5569739026427313E-3</v>
      </c>
      <c r="BI109" s="21">
        <f t="shared" si="28"/>
        <v>1.1013579743824136E-3</v>
      </c>
      <c r="BJ109" s="23">
        <f t="shared" si="14"/>
        <v>1.5648766921073042E-3</v>
      </c>
    </row>
    <row r="110" spans="1:62" x14ac:dyDescent="0.25">
      <c r="A110" s="12"/>
      <c r="B110" s="2"/>
      <c r="C110" s="2" t="s">
        <v>9</v>
      </c>
      <c r="D110" s="3">
        <v>16398</v>
      </c>
      <c r="E110" s="3">
        <v>17262</v>
      </c>
      <c r="F110" s="3">
        <v>21276</v>
      </c>
      <c r="G110" s="3">
        <v>20957</v>
      </c>
      <c r="H110" s="3">
        <v>23420</v>
      </c>
      <c r="I110" s="3">
        <v>24475</v>
      </c>
      <c r="J110" s="3">
        <v>26359</v>
      </c>
      <c r="K110" s="3">
        <v>28339</v>
      </c>
      <c r="L110" s="3">
        <v>26721</v>
      </c>
      <c r="M110" s="3">
        <v>27426</v>
      </c>
      <c r="N110" s="3">
        <v>30609</v>
      </c>
      <c r="O110" s="3">
        <v>33498</v>
      </c>
      <c r="P110" s="3">
        <v>32801</v>
      </c>
      <c r="Q110" s="3">
        <v>38269</v>
      </c>
      <c r="R110" s="3">
        <v>38540</v>
      </c>
      <c r="S110" s="3">
        <v>43570</v>
      </c>
      <c r="T110" s="3">
        <v>47223</v>
      </c>
      <c r="U110" s="3">
        <v>49090</v>
      </c>
      <c r="V110" s="3">
        <v>48600</v>
      </c>
      <c r="W110" s="3">
        <v>53300</v>
      </c>
      <c r="X110" s="3">
        <v>61800</v>
      </c>
      <c r="Y110" s="3">
        <v>62000</v>
      </c>
      <c r="Z110" s="3">
        <v>61400</v>
      </c>
      <c r="AA110" s="3">
        <v>61800</v>
      </c>
      <c r="AB110" s="3">
        <v>61200</v>
      </c>
      <c r="AC110" s="3">
        <v>59700</v>
      </c>
      <c r="AD110" s="3">
        <v>64100</v>
      </c>
      <c r="AE110" s="3">
        <v>67300</v>
      </c>
      <c r="AF110" s="3">
        <v>69000</v>
      </c>
      <c r="AG110" s="3">
        <v>74200</v>
      </c>
      <c r="AH110" s="3">
        <v>79850</v>
      </c>
      <c r="AI110" s="3">
        <v>83200</v>
      </c>
      <c r="AJ110" s="3">
        <v>87800</v>
      </c>
      <c r="AK110" s="3">
        <v>92900</v>
      </c>
      <c r="AL110" s="3">
        <v>97000</v>
      </c>
      <c r="AM110" s="3">
        <v>101200</v>
      </c>
      <c r="AN110" s="3">
        <v>105750</v>
      </c>
      <c r="AO110" s="3">
        <v>109500</v>
      </c>
      <c r="AP110" s="3">
        <v>113920</v>
      </c>
      <c r="AQ110" s="3">
        <v>117300</v>
      </c>
      <c r="AR110" s="3">
        <v>120240</v>
      </c>
      <c r="AS110" s="3">
        <v>123100</v>
      </c>
      <c r="AT110" s="3">
        <v>125900</v>
      </c>
      <c r="AU110" s="3">
        <v>128400</v>
      </c>
      <c r="AV110" s="3">
        <v>131000</v>
      </c>
      <c r="AW110" s="3">
        <v>137000</v>
      </c>
      <c r="AX110" s="3">
        <v>145000</v>
      </c>
      <c r="AY110" s="3">
        <v>149000</v>
      </c>
      <c r="AZ110" s="3">
        <v>152000</v>
      </c>
      <c r="BA110" s="3">
        <v>159000</v>
      </c>
      <c r="BB110" s="3">
        <v>164000</v>
      </c>
      <c r="BC110" s="13">
        <v>0</v>
      </c>
      <c r="BD110" s="20">
        <f t="shared" si="28"/>
        <v>0.19405841299879739</v>
      </c>
      <c r="BE110" s="20">
        <f t="shared" si="28"/>
        <v>0.20007947984854674</v>
      </c>
      <c r="BF110" s="20">
        <f t="shared" si="28"/>
        <v>0.19294394913531326</v>
      </c>
      <c r="BG110" s="20">
        <f t="shared" si="28"/>
        <v>0.19483557543789937</v>
      </c>
      <c r="BH110" s="20">
        <f t="shared" si="28"/>
        <v>0.19664759143803809</v>
      </c>
      <c r="BI110" s="20">
        <f t="shared" si="28"/>
        <v>0.19541885768145059</v>
      </c>
      <c r="BJ110" s="23">
        <f t="shared" si="14"/>
        <v>0.19563400818579602</v>
      </c>
    </row>
    <row r="111" spans="1:62" s="5" customFormat="1" x14ac:dyDescent="0.25">
      <c r="A111" s="14"/>
      <c r="B111" s="6" t="s">
        <v>10</v>
      </c>
      <c r="C111" s="6" t="s">
        <v>6</v>
      </c>
      <c r="D111" s="8">
        <v>4900</v>
      </c>
      <c r="E111" s="8">
        <v>3700</v>
      </c>
      <c r="F111" s="8">
        <v>3400</v>
      </c>
      <c r="G111" s="8">
        <v>5500</v>
      </c>
      <c r="H111" s="8">
        <v>7600</v>
      </c>
      <c r="I111" s="8">
        <v>9600</v>
      </c>
      <c r="J111" s="8">
        <v>10700</v>
      </c>
      <c r="K111" s="8">
        <v>10800</v>
      </c>
      <c r="L111" s="8">
        <v>10800</v>
      </c>
      <c r="M111" s="8">
        <v>9550</v>
      </c>
      <c r="N111" s="8">
        <v>10500</v>
      </c>
      <c r="O111" s="8">
        <v>9700</v>
      </c>
      <c r="P111" s="8">
        <v>9000</v>
      </c>
      <c r="Q111" s="8">
        <v>11700</v>
      </c>
      <c r="R111" s="8">
        <v>11300</v>
      </c>
      <c r="S111" s="8">
        <v>10900</v>
      </c>
      <c r="T111" s="8">
        <v>9500</v>
      </c>
      <c r="U111" s="8">
        <v>9400</v>
      </c>
      <c r="V111" s="8">
        <v>9950</v>
      </c>
      <c r="W111" s="8">
        <v>10100</v>
      </c>
      <c r="X111" s="8">
        <v>12400</v>
      </c>
      <c r="Y111" s="8">
        <v>13600</v>
      </c>
      <c r="Z111" s="8">
        <v>16500</v>
      </c>
      <c r="AA111" s="8">
        <v>21300</v>
      </c>
      <c r="AB111" s="8">
        <v>28700</v>
      </c>
      <c r="AC111" s="8">
        <v>19000</v>
      </c>
      <c r="AD111" s="8">
        <v>16300</v>
      </c>
      <c r="AE111" s="8">
        <v>19500</v>
      </c>
      <c r="AF111" s="8">
        <v>19100</v>
      </c>
      <c r="AG111" s="8">
        <v>17400</v>
      </c>
      <c r="AH111" s="8">
        <v>20700</v>
      </c>
      <c r="AI111" s="8">
        <v>26100</v>
      </c>
      <c r="AJ111" s="8">
        <v>20700</v>
      </c>
      <c r="AK111" s="8">
        <v>17200</v>
      </c>
      <c r="AL111" s="8">
        <v>19900</v>
      </c>
      <c r="AM111" s="8">
        <v>21900</v>
      </c>
      <c r="AN111" s="8">
        <v>19300</v>
      </c>
      <c r="AO111" s="8">
        <v>21100</v>
      </c>
      <c r="AP111" s="8">
        <v>20700</v>
      </c>
      <c r="AQ111" s="8">
        <v>17600</v>
      </c>
      <c r="AR111" s="8">
        <v>20300</v>
      </c>
      <c r="AS111" s="8">
        <v>24400</v>
      </c>
      <c r="AT111" s="8">
        <v>25200</v>
      </c>
      <c r="AU111" s="8">
        <v>23800</v>
      </c>
      <c r="AV111" s="8">
        <v>30300</v>
      </c>
      <c r="AW111" s="8">
        <v>28400</v>
      </c>
      <c r="AX111" s="8">
        <v>35500</v>
      </c>
      <c r="AY111" s="8">
        <v>37000</v>
      </c>
      <c r="AZ111" s="8">
        <v>36700</v>
      </c>
      <c r="BA111" s="8">
        <v>32000</v>
      </c>
      <c r="BB111" s="8">
        <v>29500</v>
      </c>
      <c r="BC111" s="15">
        <v>0</v>
      </c>
      <c r="BD111" s="21">
        <f t="shared" si="28"/>
        <v>0.24391710253965801</v>
      </c>
      <c r="BE111" s="21">
        <f t="shared" si="28"/>
        <v>0.29143269956982892</v>
      </c>
      <c r="BF111" s="21">
        <f t="shared" si="28"/>
        <v>0.30915000459547304</v>
      </c>
      <c r="BG111" s="21">
        <f t="shared" si="28"/>
        <v>0.34266400253963514</v>
      </c>
      <c r="BH111" s="21">
        <f t="shared" si="28"/>
        <v>0.31575623618566467</v>
      </c>
      <c r="BI111" s="21">
        <f t="shared" si="28"/>
        <v>0.25756768791527335</v>
      </c>
      <c r="BJ111" s="23">
        <f t="shared" si="14"/>
        <v>0.30532930888019105</v>
      </c>
    </row>
    <row r="112" spans="1:62" x14ac:dyDescent="0.25">
      <c r="A112" s="12"/>
      <c r="B112" s="2"/>
      <c r="C112" s="2" t="s">
        <v>7</v>
      </c>
      <c r="D112" s="4">
        <v>300</v>
      </c>
      <c r="E112" s="4">
        <v>200</v>
      </c>
      <c r="F112" s="4">
        <v>400</v>
      </c>
      <c r="G112" s="4">
        <v>800</v>
      </c>
      <c r="H112" s="4">
        <v>700</v>
      </c>
      <c r="I112" s="4">
        <v>500</v>
      </c>
      <c r="J112" s="4">
        <v>500</v>
      </c>
      <c r="K112" s="4">
        <v>300</v>
      </c>
      <c r="L112" s="4">
        <v>300</v>
      </c>
      <c r="M112" s="4">
        <v>400</v>
      </c>
      <c r="N112" s="4">
        <v>500</v>
      </c>
      <c r="O112" s="4">
        <v>700</v>
      </c>
      <c r="P112" s="3">
        <v>2000</v>
      </c>
      <c r="Q112" s="3">
        <v>1800</v>
      </c>
      <c r="R112" s="4">
        <v>700</v>
      </c>
      <c r="S112" s="4">
        <v>900</v>
      </c>
      <c r="T112" s="4">
        <v>650</v>
      </c>
      <c r="U112" s="3">
        <v>1600</v>
      </c>
      <c r="V112" s="3">
        <v>2125</v>
      </c>
      <c r="W112" s="3">
        <v>4100</v>
      </c>
      <c r="X112" s="3">
        <v>3550</v>
      </c>
      <c r="Y112" s="3">
        <v>2199</v>
      </c>
      <c r="Z112" s="3">
        <v>1085</v>
      </c>
      <c r="AA112" s="4">
        <v>664</v>
      </c>
      <c r="AB112" s="4">
        <v>85</v>
      </c>
      <c r="AC112" s="4">
        <v>1</v>
      </c>
      <c r="AD112" s="4">
        <v>16</v>
      </c>
      <c r="AE112" s="4">
        <v>86</v>
      </c>
      <c r="AF112" s="3">
        <v>1448</v>
      </c>
      <c r="AG112" s="3">
        <v>1873</v>
      </c>
      <c r="AH112" s="3">
        <v>2205</v>
      </c>
      <c r="AI112" s="3">
        <v>1630</v>
      </c>
      <c r="AJ112" s="4">
        <v>242</v>
      </c>
      <c r="AK112" s="4">
        <v>808</v>
      </c>
      <c r="AL112" s="3">
        <v>4060</v>
      </c>
      <c r="AM112" s="3">
        <v>2908</v>
      </c>
      <c r="AN112" s="3">
        <v>3491</v>
      </c>
      <c r="AO112" s="3">
        <v>1725</v>
      </c>
      <c r="AP112" s="4">
        <v>332</v>
      </c>
      <c r="AQ112" s="4">
        <v>117</v>
      </c>
      <c r="AR112" s="4">
        <v>230</v>
      </c>
      <c r="AS112" s="4">
        <v>449</v>
      </c>
      <c r="AT112" s="3">
        <v>3127</v>
      </c>
      <c r="AU112" s="3">
        <v>8832</v>
      </c>
      <c r="AV112" s="3">
        <v>6385</v>
      </c>
      <c r="AW112" s="3">
        <v>19284</v>
      </c>
      <c r="AX112" s="3">
        <v>10588</v>
      </c>
      <c r="AY112" s="3">
        <v>11530</v>
      </c>
      <c r="AZ112" s="3">
        <v>6996</v>
      </c>
      <c r="BA112" s="3">
        <v>10903</v>
      </c>
      <c r="BB112" s="3">
        <v>15000</v>
      </c>
      <c r="BC112" s="13">
        <v>0</v>
      </c>
      <c r="BD112" s="20">
        <f t="shared" si="28"/>
        <v>0.43072524625315495</v>
      </c>
      <c r="BE112" s="20">
        <f t="shared" si="28"/>
        <v>0.27841910121223279</v>
      </c>
      <c r="BF112" s="20">
        <f t="shared" si="28"/>
        <v>0.2959521548294361</v>
      </c>
      <c r="BG112" s="20">
        <f t="shared" si="28"/>
        <v>0.2320936867597784</v>
      </c>
      <c r="BH112" s="20">
        <f t="shared" si="28"/>
        <v>0.30148766729344101</v>
      </c>
      <c r="BI112" s="20">
        <f t="shared" si="28"/>
        <v>0.39341166596726818</v>
      </c>
      <c r="BJ112" s="23">
        <f t="shared" si="14"/>
        <v>0.30899767334016254</v>
      </c>
    </row>
    <row r="113" spans="1:62" s="5" customFormat="1" x14ac:dyDescent="0.25">
      <c r="A113" s="14"/>
      <c r="B113" s="6"/>
      <c r="C113" s="6" t="s">
        <v>8</v>
      </c>
      <c r="D113" s="7">
        <v>100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100</v>
      </c>
      <c r="M113" s="7">
        <v>100</v>
      </c>
      <c r="N113" s="7">
        <v>100</v>
      </c>
      <c r="O113" s="7">
        <v>100</v>
      </c>
      <c r="P113" s="7">
        <v>100</v>
      </c>
      <c r="Q113" s="7">
        <v>100</v>
      </c>
      <c r="R113" s="7">
        <v>200</v>
      </c>
      <c r="S113" s="7">
        <v>250</v>
      </c>
      <c r="T113" s="7">
        <v>200</v>
      </c>
      <c r="U113" s="7">
        <v>100</v>
      </c>
      <c r="V113" s="7">
        <v>15</v>
      </c>
      <c r="W113" s="7">
        <v>12</v>
      </c>
      <c r="X113" s="7">
        <v>6</v>
      </c>
      <c r="Y113" s="7">
        <v>0</v>
      </c>
      <c r="Z113" s="7">
        <v>75</v>
      </c>
      <c r="AA113" s="7">
        <v>760</v>
      </c>
      <c r="AB113" s="7">
        <v>944</v>
      </c>
      <c r="AC113" s="8">
        <v>2799</v>
      </c>
      <c r="AD113" s="8">
        <v>3169</v>
      </c>
      <c r="AE113" s="8">
        <v>2322</v>
      </c>
      <c r="AF113" s="8">
        <v>1636</v>
      </c>
      <c r="AG113" s="7">
        <v>865</v>
      </c>
      <c r="AH113" s="7">
        <v>928</v>
      </c>
      <c r="AI113" s="7">
        <v>602</v>
      </c>
      <c r="AJ113" s="7">
        <v>684</v>
      </c>
      <c r="AK113" s="7">
        <v>749</v>
      </c>
      <c r="AL113" s="7">
        <v>183</v>
      </c>
      <c r="AM113" s="7">
        <v>20</v>
      </c>
      <c r="AN113" s="7">
        <v>10</v>
      </c>
      <c r="AO113" s="7">
        <v>25</v>
      </c>
      <c r="AP113" s="7">
        <v>676</v>
      </c>
      <c r="AQ113" s="8">
        <v>1692</v>
      </c>
      <c r="AR113" s="7">
        <v>442</v>
      </c>
      <c r="AS113" s="7">
        <v>342</v>
      </c>
      <c r="AT113" s="7">
        <v>751</v>
      </c>
      <c r="AU113" s="7">
        <v>173</v>
      </c>
      <c r="AV113" s="7">
        <v>30</v>
      </c>
      <c r="AW113" s="7">
        <v>36</v>
      </c>
      <c r="AX113" s="7">
        <v>88</v>
      </c>
      <c r="AY113" s="7">
        <v>62</v>
      </c>
      <c r="AZ113" s="7">
        <v>84</v>
      </c>
      <c r="BA113" s="7">
        <v>23</v>
      </c>
      <c r="BB113" s="7">
        <v>50</v>
      </c>
      <c r="BC113" s="15">
        <v>0</v>
      </c>
      <c r="BD113" s="21">
        <f t="shared" si="28"/>
        <v>8.0260400410219824E-4</v>
      </c>
      <c r="BE113" s="21">
        <f t="shared" si="28"/>
        <v>2.3481694951435587E-3</v>
      </c>
      <c r="BF113" s="21">
        <f t="shared" si="28"/>
        <v>1.5895398025894117E-3</v>
      </c>
      <c r="BG113" s="21">
        <f t="shared" si="28"/>
        <v>2.7939464493597207E-3</v>
      </c>
      <c r="BH113" s="21">
        <f t="shared" si="28"/>
        <v>6.4643057897695332E-4</v>
      </c>
      <c r="BI113" s="21">
        <f t="shared" si="28"/>
        <v>1.3113034356150013E-3</v>
      </c>
      <c r="BJ113" s="23">
        <f t="shared" si="14"/>
        <v>1.5838934879838916E-3</v>
      </c>
    </row>
    <row r="114" spans="1:62" x14ac:dyDescent="0.25">
      <c r="A114" s="12"/>
      <c r="B114" s="2"/>
      <c r="C114" s="2" t="s">
        <v>9</v>
      </c>
      <c r="D114" s="3">
        <v>5900</v>
      </c>
      <c r="E114" s="3">
        <v>4100</v>
      </c>
      <c r="F114" s="3">
        <v>3600</v>
      </c>
      <c r="G114" s="3">
        <v>5900</v>
      </c>
      <c r="H114" s="3">
        <v>7900</v>
      </c>
      <c r="I114" s="3">
        <v>9700</v>
      </c>
      <c r="J114" s="3">
        <v>10800</v>
      </c>
      <c r="K114" s="3">
        <v>10900</v>
      </c>
      <c r="L114" s="3">
        <v>10900</v>
      </c>
      <c r="M114" s="3">
        <v>9950</v>
      </c>
      <c r="N114" s="3">
        <v>10500</v>
      </c>
      <c r="O114" s="3">
        <v>10800</v>
      </c>
      <c r="P114" s="3">
        <v>10900</v>
      </c>
      <c r="Q114" s="3">
        <v>10600</v>
      </c>
      <c r="R114" s="3">
        <v>11400</v>
      </c>
      <c r="S114" s="3">
        <v>11500</v>
      </c>
      <c r="T114" s="3">
        <v>11600</v>
      </c>
      <c r="U114" s="3">
        <v>12200</v>
      </c>
      <c r="V114" s="3">
        <v>13100</v>
      </c>
      <c r="W114" s="3">
        <v>14100</v>
      </c>
      <c r="X114" s="3">
        <v>15100</v>
      </c>
      <c r="Y114" s="3">
        <v>16200</v>
      </c>
      <c r="Z114" s="3">
        <v>16600</v>
      </c>
      <c r="AA114" s="3">
        <v>16300</v>
      </c>
      <c r="AB114" s="3">
        <v>16800</v>
      </c>
      <c r="AC114" s="3">
        <v>18000</v>
      </c>
      <c r="AD114" s="3">
        <v>19500</v>
      </c>
      <c r="AE114" s="3">
        <v>20500</v>
      </c>
      <c r="AF114" s="3">
        <v>20500</v>
      </c>
      <c r="AG114" s="3">
        <v>20300</v>
      </c>
      <c r="AH114" s="3">
        <v>20000</v>
      </c>
      <c r="AI114" s="3">
        <v>20850</v>
      </c>
      <c r="AJ114" s="3">
        <v>21900</v>
      </c>
      <c r="AK114" s="3">
        <v>21300</v>
      </c>
      <c r="AL114" s="3">
        <v>19550</v>
      </c>
      <c r="AM114" s="3">
        <v>18825</v>
      </c>
      <c r="AN114" s="3">
        <v>19325</v>
      </c>
      <c r="AO114" s="3">
        <v>18450</v>
      </c>
      <c r="AP114" s="3">
        <v>17975</v>
      </c>
      <c r="AQ114" s="3">
        <v>20575</v>
      </c>
      <c r="AR114" s="3">
        <v>22725</v>
      </c>
      <c r="AS114" s="3">
        <v>25400</v>
      </c>
      <c r="AT114" s="3">
        <v>28950</v>
      </c>
      <c r="AU114" s="3">
        <v>30950</v>
      </c>
      <c r="AV114" s="3">
        <v>37250</v>
      </c>
      <c r="AW114" s="3">
        <v>43500</v>
      </c>
      <c r="AX114" s="3">
        <v>48000</v>
      </c>
      <c r="AY114" s="3">
        <v>48500</v>
      </c>
      <c r="AZ114" s="3">
        <v>41750</v>
      </c>
      <c r="BA114" s="3">
        <v>50000</v>
      </c>
      <c r="BB114" s="3">
        <v>47000</v>
      </c>
      <c r="BC114" s="13">
        <v>0</v>
      </c>
      <c r="BD114" s="20">
        <f t="shared" si="28"/>
        <v>0.37813592030459503</v>
      </c>
      <c r="BE114" s="20">
        <f t="shared" si="28"/>
        <v>0.39348777728591805</v>
      </c>
      <c r="BF114" s="20">
        <f t="shared" si="28"/>
        <v>0.4002475758200949</v>
      </c>
      <c r="BG114" s="20">
        <f t="shared" si="28"/>
        <v>0.38876628395303142</v>
      </c>
      <c r="BH114" s="20">
        <f t="shared" si="28"/>
        <v>0.42211547390904258</v>
      </c>
      <c r="BI114" s="20">
        <f t="shared" si="28"/>
        <v>0.40180212527677328</v>
      </c>
      <c r="BJ114" s="23">
        <f t="shared" si="14"/>
        <v>0.40422796104628245</v>
      </c>
    </row>
    <row r="115" spans="1:62" s="5" customFormat="1" x14ac:dyDescent="0.25">
      <c r="A115" s="14"/>
      <c r="B115" s="6" t="s">
        <v>11</v>
      </c>
      <c r="C115" s="6" t="s">
        <v>6</v>
      </c>
      <c r="D115" s="7">
        <v>0</v>
      </c>
      <c r="E115" s="7">
        <v>0</v>
      </c>
      <c r="F115" s="7">
        <v>0</v>
      </c>
      <c r="G115" s="7">
        <v>0</v>
      </c>
      <c r="H115" s="8">
        <v>7870</v>
      </c>
      <c r="I115" s="8">
        <v>6140</v>
      </c>
      <c r="J115" s="8">
        <v>8270</v>
      </c>
      <c r="K115" s="8">
        <v>8270</v>
      </c>
      <c r="L115" s="8">
        <v>8040</v>
      </c>
      <c r="M115" s="8">
        <v>7630</v>
      </c>
      <c r="N115" s="8">
        <v>8710</v>
      </c>
      <c r="O115" s="8">
        <v>8610</v>
      </c>
      <c r="P115" s="8">
        <v>6450</v>
      </c>
      <c r="Q115" s="8">
        <v>8370</v>
      </c>
      <c r="R115" s="8">
        <v>7470</v>
      </c>
      <c r="S115" s="8">
        <v>7240</v>
      </c>
      <c r="T115" s="8">
        <v>6640</v>
      </c>
      <c r="U115" s="8">
        <v>7260</v>
      </c>
      <c r="V115" s="8">
        <v>7565</v>
      </c>
      <c r="W115" s="8">
        <v>7460</v>
      </c>
      <c r="X115" s="8">
        <v>7940</v>
      </c>
      <c r="Y115" s="8">
        <v>9325</v>
      </c>
      <c r="Z115" s="8">
        <v>9030</v>
      </c>
      <c r="AA115" s="8">
        <v>9760</v>
      </c>
      <c r="AB115" s="8">
        <v>9695</v>
      </c>
      <c r="AC115" s="8">
        <v>10509</v>
      </c>
      <c r="AD115" s="8">
        <v>11614</v>
      </c>
      <c r="AE115" s="8">
        <v>12184</v>
      </c>
      <c r="AF115" s="8">
        <v>11645</v>
      </c>
      <c r="AG115" s="8">
        <v>10227</v>
      </c>
      <c r="AH115" s="8">
        <v>11000</v>
      </c>
      <c r="AI115" s="8">
        <v>9710</v>
      </c>
      <c r="AJ115" s="8">
        <v>10300</v>
      </c>
      <c r="AK115" s="8">
        <v>15310</v>
      </c>
      <c r="AL115" s="8">
        <v>16000</v>
      </c>
      <c r="AM115" s="8">
        <v>13500</v>
      </c>
      <c r="AN115" s="8">
        <v>13220</v>
      </c>
      <c r="AO115" s="8">
        <v>14728</v>
      </c>
      <c r="AP115" s="8">
        <v>15152</v>
      </c>
      <c r="AQ115" s="8">
        <v>14290</v>
      </c>
      <c r="AR115" s="8">
        <v>15400</v>
      </c>
      <c r="AS115" s="8">
        <v>15410</v>
      </c>
      <c r="AT115" s="8">
        <v>16510</v>
      </c>
      <c r="AU115" s="8">
        <v>15394</v>
      </c>
      <c r="AV115" s="8">
        <v>17400</v>
      </c>
      <c r="AW115" s="8">
        <v>16350</v>
      </c>
      <c r="AX115" s="8">
        <v>15074</v>
      </c>
      <c r="AY115" s="8">
        <v>13400</v>
      </c>
      <c r="AZ115" s="8">
        <v>15540</v>
      </c>
      <c r="BA115" s="8">
        <v>14980</v>
      </c>
      <c r="BB115" s="8">
        <v>15200</v>
      </c>
      <c r="BC115" s="15">
        <v>0</v>
      </c>
      <c r="BD115" s="21">
        <f t="shared" si="28"/>
        <v>7.4094215213105843E-2</v>
      </c>
      <c r="BE115" s="21">
        <f t="shared" si="28"/>
        <v>6.3809882615891933E-2</v>
      </c>
      <c r="BF115" s="21">
        <f t="shared" si="28"/>
        <v>6.0798548094373864E-2</v>
      </c>
      <c r="BG115" s="21">
        <f t="shared" si="28"/>
        <v>7.3318487204650104E-2</v>
      </c>
      <c r="BH115" s="21">
        <f t="shared" si="28"/>
        <v>5.7566231909677121E-2</v>
      </c>
      <c r="BI115" s="21">
        <f t="shared" si="28"/>
        <v>5.8243796269331578E-2</v>
      </c>
      <c r="BJ115" s="23">
        <f t="shared" si="14"/>
        <v>6.3042838461219608E-2</v>
      </c>
    </row>
    <row r="116" spans="1:62" x14ac:dyDescent="0.25">
      <c r="A116" s="12"/>
      <c r="B116" s="2"/>
      <c r="C116" s="2" t="s">
        <v>7</v>
      </c>
      <c r="D116" s="4">
        <v>0</v>
      </c>
      <c r="E116" s="4">
        <v>0</v>
      </c>
      <c r="F116" s="4">
        <v>0</v>
      </c>
      <c r="G116" s="4">
        <v>0</v>
      </c>
      <c r="H116" s="4">
        <v>0</v>
      </c>
      <c r="I116" s="4">
        <v>0</v>
      </c>
      <c r="J116" s="4">
        <v>0</v>
      </c>
      <c r="K116" s="4">
        <v>0</v>
      </c>
      <c r="L116" s="4">
        <v>0</v>
      </c>
      <c r="M116" s="4">
        <v>0</v>
      </c>
      <c r="N116" s="4">
        <v>0</v>
      </c>
      <c r="O116" s="4">
        <v>2</v>
      </c>
      <c r="P116" s="4">
        <v>255</v>
      </c>
      <c r="Q116" s="4">
        <v>619</v>
      </c>
      <c r="R116" s="4">
        <v>36</v>
      </c>
      <c r="S116" s="4">
        <v>25</v>
      </c>
      <c r="T116" s="4">
        <v>253</v>
      </c>
      <c r="U116" s="4">
        <v>188</v>
      </c>
      <c r="V116" s="4">
        <v>261</v>
      </c>
      <c r="W116" s="4">
        <v>810</v>
      </c>
      <c r="X116" s="4">
        <v>540</v>
      </c>
      <c r="Y116" s="4">
        <v>530</v>
      </c>
      <c r="Z116" s="4">
        <v>30</v>
      </c>
      <c r="AA116" s="4">
        <v>0</v>
      </c>
      <c r="AB116" s="4">
        <v>0</v>
      </c>
      <c r="AC116" s="4">
        <v>280</v>
      </c>
      <c r="AD116" s="4">
        <v>190</v>
      </c>
      <c r="AE116" s="4">
        <v>208</v>
      </c>
      <c r="AF116" s="4">
        <v>33</v>
      </c>
      <c r="AG116" s="4">
        <v>1</v>
      </c>
      <c r="AH116" s="4">
        <v>1</v>
      </c>
      <c r="AI116" s="4">
        <v>136</v>
      </c>
      <c r="AJ116" s="4">
        <v>150</v>
      </c>
      <c r="AK116" s="4">
        <v>125</v>
      </c>
      <c r="AL116" s="4">
        <v>155</v>
      </c>
      <c r="AM116" s="4">
        <v>795</v>
      </c>
      <c r="AN116" s="3">
        <v>2274</v>
      </c>
      <c r="AO116" s="3">
        <v>2940</v>
      </c>
      <c r="AP116" s="3">
        <v>3850</v>
      </c>
      <c r="AQ116" s="3">
        <v>10100</v>
      </c>
      <c r="AR116" s="3">
        <v>13245</v>
      </c>
      <c r="AS116" s="3">
        <v>10385</v>
      </c>
      <c r="AT116" s="3">
        <v>21417</v>
      </c>
      <c r="AU116" s="3">
        <v>16933</v>
      </c>
      <c r="AV116" s="3">
        <v>25802</v>
      </c>
      <c r="AW116" s="3">
        <v>28317</v>
      </c>
      <c r="AX116" s="3">
        <v>28726</v>
      </c>
      <c r="AY116" s="3">
        <v>37816</v>
      </c>
      <c r="AZ116" s="3">
        <v>41098</v>
      </c>
      <c r="BA116" s="3">
        <v>50338</v>
      </c>
      <c r="BB116" s="3">
        <v>57000</v>
      </c>
      <c r="BC116" s="13">
        <v>0</v>
      </c>
      <c r="BD116" s="20">
        <f t="shared" si="28"/>
        <v>0.44156309937781657</v>
      </c>
      <c r="BE116" s="20">
        <f t="shared" si="28"/>
        <v>0.4159390701243792</v>
      </c>
      <c r="BF116" s="20">
        <f t="shared" si="28"/>
        <v>0.48413155637490241</v>
      </c>
      <c r="BG116" s="20">
        <f t="shared" si="28"/>
        <v>0.53114660876757647</v>
      </c>
      <c r="BH116" s="20">
        <f t="shared" si="28"/>
        <v>0.58049933690826272</v>
      </c>
      <c r="BI116" s="20">
        <f t="shared" si="28"/>
        <v>0.5976722239698018</v>
      </c>
      <c r="BJ116" s="23">
        <f t="shared" si="14"/>
        <v>0.56977272321521366</v>
      </c>
    </row>
    <row r="117" spans="1:62" s="5" customFormat="1" x14ac:dyDescent="0.25">
      <c r="A117" s="14"/>
      <c r="B117" s="6"/>
      <c r="C117" s="6" t="s">
        <v>8</v>
      </c>
      <c r="D117" s="7">
        <v>0</v>
      </c>
      <c r="E117" s="7">
        <v>0</v>
      </c>
      <c r="F117" s="7">
        <v>0</v>
      </c>
      <c r="G117" s="7">
        <v>0</v>
      </c>
      <c r="H117" s="7">
        <v>577</v>
      </c>
      <c r="I117" s="7">
        <v>550</v>
      </c>
      <c r="J117" s="7">
        <v>565</v>
      </c>
      <c r="K117" s="7">
        <v>571</v>
      </c>
      <c r="L117" s="7">
        <v>488</v>
      </c>
      <c r="M117" s="7">
        <v>424</v>
      </c>
      <c r="N117" s="7">
        <v>460</v>
      </c>
      <c r="O117" s="7">
        <v>370</v>
      </c>
      <c r="P117" s="7">
        <v>310</v>
      </c>
      <c r="Q117" s="7">
        <v>340</v>
      </c>
      <c r="R117" s="7">
        <v>330</v>
      </c>
      <c r="S117" s="7">
        <v>178</v>
      </c>
      <c r="T117" s="7">
        <v>115</v>
      </c>
      <c r="U117" s="7">
        <v>90</v>
      </c>
      <c r="V117" s="7">
        <v>274</v>
      </c>
      <c r="W117" s="7">
        <v>207</v>
      </c>
      <c r="X117" s="7">
        <v>143</v>
      </c>
      <c r="Y117" s="7">
        <v>110</v>
      </c>
      <c r="Z117" s="7">
        <v>320</v>
      </c>
      <c r="AA117" s="7">
        <v>800</v>
      </c>
      <c r="AB117" s="8">
        <v>1080</v>
      </c>
      <c r="AC117" s="8">
        <v>1260</v>
      </c>
      <c r="AD117" s="8">
        <v>1750</v>
      </c>
      <c r="AE117" s="8">
        <v>1482</v>
      </c>
      <c r="AF117" s="8">
        <v>1209</v>
      </c>
      <c r="AG117" s="8">
        <v>1107</v>
      </c>
      <c r="AH117" s="8">
        <v>1288</v>
      </c>
      <c r="AI117" s="8">
        <v>1090</v>
      </c>
      <c r="AJ117" s="7">
        <v>300</v>
      </c>
      <c r="AK117" s="8">
        <v>1100</v>
      </c>
      <c r="AL117" s="7">
        <v>394</v>
      </c>
      <c r="AM117" s="7">
        <v>222</v>
      </c>
      <c r="AN117" s="7">
        <v>195</v>
      </c>
      <c r="AO117" s="7">
        <v>168</v>
      </c>
      <c r="AP117" s="7">
        <v>187</v>
      </c>
      <c r="AQ117" s="7">
        <v>230</v>
      </c>
      <c r="AR117" s="7">
        <v>208</v>
      </c>
      <c r="AS117" s="7">
        <v>300</v>
      </c>
      <c r="AT117" s="7">
        <v>265</v>
      </c>
      <c r="AU117" s="7">
        <v>319</v>
      </c>
      <c r="AV117" s="7">
        <v>390</v>
      </c>
      <c r="AW117" s="7">
        <v>354</v>
      </c>
      <c r="AX117" s="7">
        <v>446</v>
      </c>
      <c r="AY117" s="7">
        <v>453</v>
      </c>
      <c r="AZ117" s="7">
        <v>400</v>
      </c>
      <c r="BA117" s="7">
        <v>184</v>
      </c>
      <c r="BB117" s="7">
        <v>300</v>
      </c>
      <c r="BC117" s="15">
        <v>0</v>
      </c>
      <c r="BD117" s="21">
        <f t="shared" si="28"/>
        <v>5.5807794173287932E-3</v>
      </c>
      <c r="BE117" s="21">
        <f t="shared" si="28"/>
        <v>6.2940122211089314E-3</v>
      </c>
      <c r="BF117" s="21">
        <f t="shared" si="28"/>
        <v>5.7505553792446843E-3</v>
      </c>
      <c r="BG117" s="21">
        <f t="shared" si="28"/>
        <v>5.2054865828583324E-3</v>
      </c>
      <c r="BH117" s="21">
        <f t="shared" si="28"/>
        <v>1.9856900812622084E-3</v>
      </c>
      <c r="BI117" s="21">
        <f t="shared" si="28"/>
        <v>3.0453761039488376E-3</v>
      </c>
      <c r="BJ117" s="23">
        <f t="shared" si="14"/>
        <v>3.4121842560231263E-3</v>
      </c>
    </row>
    <row r="118" spans="1:62" x14ac:dyDescent="0.25">
      <c r="A118" s="12"/>
      <c r="B118" s="2"/>
      <c r="C118" s="2" t="s">
        <v>9</v>
      </c>
      <c r="D118" s="4">
        <v>0</v>
      </c>
      <c r="E118" s="4">
        <v>0</v>
      </c>
      <c r="F118" s="4">
        <v>0</v>
      </c>
      <c r="G118" s="4">
        <v>0</v>
      </c>
      <c r="H118" s="3">
        <v>7293</v>
      </c>
      <c r="I118" s="3">
        <v>5590</v>
      </c>
      <c r="J118" s="3">
        <v>7705</v>
      </c>
      <c r="K118" s="3">
        <v>7699</v>
      </c>
      <c r="L118" s="3">
        <v>7552</v>
      </c>
      <c r="M118" s="3">
        <v>7206</v>
      </c>
      <c r="N118" s="3">
        <v>8250</v>
      </c>
      <c r="O118" s="3">
        <v>8242</v>
      </c>
      <c r="P118" s="3">
        <v>6395</v>
      </c>
      <c r="Q118" s="3">
        <v>8649</v>
      </c>
      <c r="R118" s="3">
        <v>7176</v>
      </c>
      <c r="S118" s="3">
        <v>7087</v>
      </c>
      <c r="T118" s="3">
        <v>6778</v>
      </c>
      <c r="U118" s="3">
        <v>7358</v>
      </c>
      <c r="V118" s="3">
        <v>7552</v>
      </c>
      <c r="W118" s="3">
        <v>8063</v>
      </c>
      <c r="X118" s="3">
        <v>8337</v>
      </c>
      <c r="Y118" s="3">
        <v>9745</v>
      </c>
      <c r="Z118" s="3">
        <v>8740</v>
      </c>
      <c r="AA118" s="3">
        <v>8960</v>
      </c>
      <c r="AB118" s="3">
        <v>8615</v>
      </c>
      <c r="AC118" s="3">
        <v>9529</v>
      </c>
      <c r="AD118" s="3">
        <v>10054</v>
      </c>
      <c r="AE118" s="3">
        <v>10910</v>
      </c>
      <c r="AF118" s="3">
        <v>10469</v>
      </c>
      <c r="AG118" s="3">
        <v>9121</v>
      </c>
      <c r="AH118" s="3">
        <v>9713</v>
      </c>
      <c r="AI118" s="3">
        <v>8756</v>
      </c>
      <c r="AJ118" s="3">
        <v>10150</v>
      </c>
      <c r="AK118" s="3">
        <v>14335</v>
      </c>
      <c r="AL118" s="3">
        <v>15761</v>
      </c>
      <c r="AM118" s="3">
        <v>14073</v>
      </c>
      <c r="AN118" s="3">
        <v>14309</v>
      </c>
      <c r="AO118" s="3">
        <v>15472</v>
      </c>
      <c r="AP118" s="3">
        <v>19929</v>
      </c>
      <c r="AQ118" s="3">
        <v>22894</v>
      </c>
      <c r="AR118" s="3">
        <v>26697</v>
      </c>
      <c r="AS118" s="3">
        <v>28310</v>
      </c>
      <c r="AT118" s="3">
        <v>35290</v>
      </c>
      <c r="AU118" s="3">
        <v>34375</v>
      </c>
      <c r="AV118" s="3">
        <v>40212</v>
      </c>
      <c r="AW118" s="3">
        <v>44440</v>
      </c>
      <c r="AX118" s="3">
        <v>46120</v>
      </c>
      <c r="AY118" s="3">
        <v>49818</v>
      </c>
      <c r="AZ118" s="3">
        <v>51435</v>
      </c>
      <c r="BA118" s="3">
        <v>59430</v>
      </c>
      <c r="BB118" s="3">
        <v>68450</v>
      </c>
      <c r="BC118" s="13">
        <v>0</v>
      </c>
      <c r="BD118" s="20">
        <f t="shared" si="28"/>
        <v>0.20561128178554244</v>
      </c>
      <c r="BE118" s="20">
        <f t="shared" si="28"/>
        <v>0.2044543745788559</v>
      </c>
      <c r="BF118" s="20">
        <f t="shared" si="28"/>
        <v>0.21608515363395042</v>
      </c>
      <c r="BG118" s="20">
        <f t="shared" si="28"/>
        <v>0.23238319847110966</v>
      </c>
      <c r="BH118" s="20">
        <f t="shared" si="28"/>
        <v>0.24974365870467802</v>
      </c>
      <c r="BI118" s="20">
        <f t="shared" si="28"/>
        <v>0.26762116259793878</v>
      </c>
      <c r="BJ118" s="23">
        <f t="shared" si="14"/>
        <v>0.24991600659124213</v>
      </c>
    </row>
    <row r="119" spans="1:62" s="5" customFormat="1" x14ac:dyDescent="0.25">
      <c r="A119" s="14"/>
      <c r="B119" s="6" t="s">
        <v>12</v>
      </c>
      <c r="C119" s="6" t="s">
        <v>6</v>
      </c>
      <c r="D119" s="8">
        <v>41811</v>
      </c>
      <c r="E119" s="8">
        <v>37548</v>
      </c>
      <c r="F119" s="8">
        <v>44090</v>
      </c>
      <c r="G119" s="8">
        <v>51636</v>
      </c>
      <c r="H119" s="8">
        <v>58100</v>
      </c>
      <c r="I119" s="8">
        <v>61405</v>
      </c>
      <c r="J119" s="8">
        <v>66773</v>
      </c>
      <c r="K119" s="8">
        <v>65580</v>
      </c>
      <c r="L119" s="8">
        <v>66170</v>
      </c>
      <c r="M119" s="8">
        <v>66546</v>
      </c>
      <c r="N119" s="8">
        <v>76993</v>
      </c>
      <c r="O119" s="8">
        <v>80643</v>
      </c>
      <c r="P119" s="8">
        <v>79348</v>
      </c>
      <c r="Q119" s="8">
        <v>85215</v>
      </c>
      <c r="R119" s="8">
        <v>86733</v>
      </c>
      <c r="S119" s="8">
        <v>87892</v>
      </c>
      <c r="T119" s="8">
        <v>88063</v>
      </c>
      <c r="U119" s="8">
        <v>89996</v>
      </c>
      <c r="V119" s="8">
        <v>95850</v>
      </c>
      <c r="W119" s="8">
        <v>100625</v>
      </c>
      <c r="X119" s="8">
        <v>97934</v>
      </c>
      <c r="Y119" s="8">
        <v>100768</v>
      </c>
      <c r="Z119" s="8">
        <v>113117</v>
      </c>
      <c r="AA119" s="8">
        <v>118206</v>
      </c>
      <c r="AB119" s="8">
        <v>124779</v>
      </c>
      <c r="AC119" s="8">
        <v>117999</v>
      </c>
      <c r="AD119" s="8">
        <v>120557</v>
      </c>
      <c r="AE119" s="8">
        <v>121716</v>
      </c>
      <c r="AF119" s="8">
        <v>118377</v>
      </c>
      <c r="AG119" s="8">
        <v>126091</v>
      </c>
      <c r="AH119" s="8">
        <v>132532</v>
      </c>
      <c r="AI119" s="8">
        <v>128667</v>
      </c>
      <c r="AJ119" s="8">
        <v>130354</v>
      </c>
      <c r="AK119" s="8">
        <v>124390</v>
      </c>
      <c r="AL119" s="8">
        <v>123151</v>
      </c>
      <c r="AM119" s="8">
        <v>129650</v>
      </c>
      <c r="AN119" s="8">
        <v>136570</v>
      </c>
      <c r="AO119" s="8">
        <v>140490</v>
      </c>
      <c r="AP119" s="8">
        <v>139100</v>
      </c>
      <c r="AQ119" s="8">
        <v>138936</v>
      </c>
      <c r="AR119" s="8">
        <v>131536</v>
      </c>
      <c r="AS119" s="8">
        <v>124306</v>
      </c>
      <c r="AT119" s="8">
        <v>122180</v>
      </c>
      <c r="AU119" s="8">
        <v>112462</v>
      </c>
      <c r="AV119" s="8">
        <v>125363</v>
      </c>
      <c r="AW119" s="8">
        <v>126414</v>
      </c>
      <c r="AX119" s="8">
        <v>127200</v>
      </c>
      <c r="AY119" s="8">
        <v>130224</v>
      </c>
      <c r="AZ119" s="8">
        <v>134330</v>
      </c>
      <c r="BA119" s="8">
        <v>136570</v>
      </c>
      <c r="BB119" s="8">
        <v>139300</v>
      </c>
      <c r="BC119" s="15">
        <v>0</v>
      </c>
      <c r="BD119" s="21">
        <f t="shared" si="28"/>
        <v>0.3019894697613974</v>
      </c>
      <c r="BE119" s="21">
        <f t="shared" si="28"/>
        <v>0.30264961169483784</v>
      </c>
      <c r="BF119" s="21">
        <f t="shared" si="28"/>
        <v>0.30033002539189074</v>
      </c>
      <c r="BG119" s="21">
        <f t="shared" si="28"/>
        <v>0.29979623764983676</v>
      </c>
      <c r="BH119" s="21">
        <f t="shared" si="28"/>
        <v>0.31013754873930688</v>
      </c>
      <c r="BI119" s="21">
        <f t="shared" si="28"/>
        <v>0.30908780268083191</v>
      </c>
      <c r="BJ119" s="23">
        <f t="shared" si="14"/>
        <v>0.30634052968999187</v>
      </c>
    </row>
    <row r="120" spans="1:62" x14ac:dyDescent="0.25">
      <c r="A120" s="12"/>
      <c r="B120" s="2"/>
      <c r="C120" s="2" t="s">
        <v>7</v>
      </c>
      <c r="D120" s="4">
        <v>0</v>
      </c>
      <c r="E120" s="4">
        <v>0</v>
      </c>
      <c r="F120" s="4">
        <v>0</v>
      </c>
      <c r="G120" s="4">
        <v>0</v>
      </c>
      <c r="H120" s="4">
        <v>0</v>
      </c>
      <c r="I120" s="4">
        <v>0</v>
      </c>
      <c r="J120" s="4">
        <v>0</v>
      </c>
      <c r="K120" s="4">
        <v>0</v>
      </c>
      <c r="L120" s="4">
        <v>0</v>
      </c>
      <c r="M120" s="4">
        <v>5</v>
      </c>
      <c r="N120" s="4">
        <v>8</v>
      </c>
      <c r="O120" s="4">
        <v>19</v>
      </c>
      <c r="P120" s="4">
        <v>0</v>
      </c>
      <c r="Q120" s="4">
        <v>102</v>
      </c>
      <c r="R120" s="4">
        <v>30</v>
      </c>
      <c r="S120" s="4">
        <v>114</v>
      </c>
      <c r="T120" s="4">
        <v>0</v>
      </c>
      <c r="U120" s="4">
        <v>0</v>
      </c>
      <c r="V120" s="4">
        <v>71</v>
      </c>
      <c r="W120" s="4">
        <v>18</v>
      </c>
      <c r="X120" s="4">
        <v>162</v>
      </c>
      <c r="Y120" s="4">
        <v>263</v>
      </c>
      <c r="Z120" s="4">
        <v>61</v>
      </c>
      <c r="AA120" s="4">
        <v>131</v>
      </c>
      <c r="AB120" s="4">
        <v>201</v>
      </c>
      <c r="AC120" s="4">
        <v>352</v>
      </c>
      <c r="AD120" s="4">
        <v>429</v>
      </c>
      <c r="AE120" s="4">
        <v>421</v>
      </c>
      <c r="AF120" s="3">
        <v>1043</v>
      </c>
      <c r="AG120" s="4">
        <v>57</v>
      </c>
      <c r="AH120" s="4">
        <v>68</v>
      </c>
      <c r="AI120" s="4">
        <v>93</v>
      </c>
      <c r="AJ120" s="4">
        <v>212</v>
      </c>
      <c r="AK120" s="4">
        <v>968</v>
      </c>
      <c r="AL120" s="3">
        <v>1998</v>
      </c>
      <c r="AM120" s="4">
        <v>852</v>
      </c>
      <c r="AN120" s="4">
        <v>322</v>
      </c>
      <c r="AO120" s="4">
        <v>261</v>
      </c>
      <c r="AP120" s="4">
        <v>178</v>
      </c>
      <c r="AQ120" s="4">
        <v>278</v>
      </c>
      <c r="AR120" s="4">
        <v>270</v>
      </c>
      <c r="AS120" s="4">
        <v>304</v>
      </c>
      <c r="AT120" s="4">
        <v>258</v>
      </c>
      <c r="AU120" s="3">
        <v>1122</v>
      </c>
      <c r="AV120" s="4">
        <v>609</v>
      </c>
      <c r="AW120" s="4">
        <v>654</v>
      </c>
      <c r="AX120" s="4">
        <v>472</v>
      </c>
      <c r="AY120" s="4">
        <v>295</v>
      </c>
      <c r="AZ120" s="4">
        <v>337</v>
      </c>
      <c r="BA120" s="4">
        <v>366</v>
      </c>
      <c r="BB120" s="4">
        <v>400</v>
      </c>
      <c r="BC120" s="13">
        <v>0</v>
      </c>
      <c r="BD120" s="20">
        <f t="shared" si="28"/>
        <v>2.4679245283018868E-2</v>
      </c>
      <c r="BE120" s="20">
        <f t="shared" si="28"/>
        <v>1.6722171047969955E-2</v>
      </c>
      <c r="BF120" s="20">
        <f t="shared" si="28"/>
        <v>1.0021401637395115E-2</v>
      </c>
      <c r="BG120" s="20">
        <f t="shared" si="28"/>
        <v>1.241298022026594E-2</v>
      </c>
      <c r="BH120" s="20">
        <f t="shared" si="28"/>
        <v>1.3036509349955476E-2</v>
      </c>
      <c r="BI120" s="20">
        <f t="shared" si="28"/>
        <v>1.3683634373289545E-2</v>
      </c>
      <c r="BJ120" s="23">
        <f t="shared" si="14"/>
        <v>1.3044374647836988E-2</v>
      </c>
    </row>
    <row r="121" spans="1:62" s="5" customFormat="1" x14ac:dyDescent="0.25">
      <c r="A121" s="14"/>
      <c r="B121" s="6"/>
      <c r="C121" s="6" t="s">
        <v>8</v>
      </c>
      <c r="D121" s="7">
        <v>428</v>
      </c>
      <c r="E121" s="7">
        <v>458</v>
      </c>
      <c r="F121" s="7">
        <v>684</v>
      </c>
      <c r="G121" s="7">
        <v>762</v>
      </c>
      <c r="H121" s="7">
        <v>985</v>
      </c>
      <c r="I121" s="8">
        <v>1487</v>
      </c>
      <c r="J121" s="8">
        <v>1577</v>
      </c>
      <c r="K121" s="8">
        <v>1299</v>
      </c>
      <c r="L121" s="8">
        <v>1179</v>
      </c>
      <c r="M121" s="8">
        <v>1280</v>
      </c>
      <c r="N121" s="8">
        <v>1292</v>
      </c>
      <c r="O121" s="8">
        <v>1426</v>
      </c>
      <c r="P121" s="8">
        <v>2631</v>
      </c>
      <c r="Q121" s="8">
        <v>2060</v>
      </c>
      <c r="R121" s="8">
        <v>1630</v>
      </c>
      <c r="S121" s="7">
        <v>876</v>
      </c>
      <c r="T121" s="8">
        <v>1033</v>
      </c>
      <c r="U121" s="8">
        <v>1435</v>
      </c>
      <c r="V121" s="8">
        <v>1053</v>
      </c>
      <c r="W121" s="8">
        <v>1116</v>
      </c>
      <c r="X121" s="7">
        <v>509</v>
      </c>
      <c r="Y121" s="7">
        <v>446</v>
      </c>
      <c r="Z121" s="7">
        <v>328</v>
      </c>
      <c r="AA121" s="8">
        <v>1125</v>
      </c>
      <c r="AB121" s="8">
        <v>1019</v>
      </c>
      <c r="AC121" s="7">
        <v>957</v>
      </c>
      <c r="AD121" s="8">
        <v>1301</v>
      </c>
      <c r="AE121" s="7">
        <v>698</v>
      </c>
      <c r="AF121" s="7">
        <v>315</v>
      </c>
      <c r="AG121" s="7">
        <v>326</v>
      </c>
      <c r="AH121" s="7">
        <v>689</v>
      </c>
      <c r="AI121" s="7">
        <v>933</v>
      </c>
      <c r="AJ121" s="8">
        <v>1431</v>
      </c>
      <c r="AK121" s="8">
        <v>1518</v>
      </c>
      <c r="AL121" s="7">
        <v>32</v>
      </c>
      <c r="AM121" s="7">
        <v>265</v>
      </c>
      <c r="AN121" s="7">
        <v>938</v>
      </c>
      <c r="AO121" s="8">
        <v>3734</v>
      </c>
      <c r="AP121" s="8">
        <v>2708</v>
      </c>
      <c r="AQ121" s="8">
        <v>2951</v>
      </c>
      <c r="AR121" s="8">
        <v>1847</v>
      </c>
      <c r="AS121" s="8">
        <v>1963</v>
      </c>
      <c r="AT121" s="8">
        <v>2583</v>
      </c>
      <c r="AU121" s="7">
        <v>880</v>
      </c>
      <c r="AV121" s="7">
        <v>656</v>
      </c>
      <c r="AW121" s="8">
        <v>1216</v>
      </c>
      <c r="AX121" s="8">
        <v>1340</v>
      </c>
      <c r="AY121" s="7">
        <v>969</v>
      </c>
      <c r="AZ121" s="7">
        <v>783</v>
      </c>
      <c r="BA121" s="7">
        <v>619</v>
      </c>
      <c r="BB121" s="7">
        <v>600</v>
      </c>
      <c r="BC121" s="15">
        <v>0</v>
      </c>
      <c r="BD121" s="21">
        <f t="shared" si="28"/>
        <v>4.0964829537798141E-2</v>
      </c>
      <c r="BE121" s="21">
        <f t="shared" si="28"/>
        <v>4.2681955725433984E-2</v>
      </c>
      <c r="BF121" s="21">
        <f t="shared" si="28"/>
        <v>3.1020904696353682E-2</v>
      </c>
      <c r="BG121" s="21">
        <f t="shared" si="28"/>
        <v>2.7082180409518538E-2</v>
      </c>
      <c r="BH121" s="21">
        <f t="shared" si="28"/>
        <v>2.0087619665747201E-2</v>
      </c>
      <c r="BI121" s="21">
        <f t="shared" si="28"/>
        <v>1.9737491364847527E-2</v>
      </c>
      <c r="BJ121" s="23">
        <f t="shared" si="14"/>
        <v>2.2302430480037758E-2</v>
      </c>
    </row>
    <row r="122" spans="1:62" x14ac:dyDescent="0.25">
      <c r="A122" s="12"/>
      <c r="B122" s="2"/>
      <c r="C122" s="2" t="s">
        <v>9</v>
      </c>
      <c r="D122" s="3">
        <v>46383</v>
      </c>
      <c r="E122" s="3">
        <v>38590</v>
      </c>
      <c r="F122" s="3">
        <v>39406</v>
      </c>
      <c r="G122" s="3">
        <v>48874</v>
      </c>
      <c r="H122" s="3">
        <v>59115</v>
      </c>
      <c r="I122" s="3">
        <v>59418</v>
      </c>
      <c r="J122" s="3">
        <v>63196</v>
      </c>
      <c r="K122" s="3">
        <v>64781</v>
      </c>
      <c r="L122" s="3">
        <v>64491</v>
      </c>
      <c r="M122" s="3">
        <v>65771</v>
      </c>
      <c r="N122" s="3">
        <v>72209</v>
      </c>
      <c r="O122" s="3">
        <v>77236</v>
      </c>
      <c r="P122" s="3">
        <v>76717</v>
      </c>
      <c r="Q122" s="3">
        <v>80257</v>
      </c>
      <c r="R122" s="3">
        <v>83633</v>
      </c>
      <c r="S122" s="3">
        <v>85130</v>
      </c>
      <c r="T122" s="3">
        <v>86530</v>
      </c>
      <c r="U122" s="3">
        <v>87561</v>
      </c>
      <c r="V122" s="3">
        <v>89868</v>
      </c>
      <c r="W122" s="3">
        <v>96527</v>
      </c>
      <c r="X122" s="3">
        <v>98587</v>
      </c>
      <c r="Y122" s="3">
        <v>101085</v>
      </c>
      <c r="Z122" s="3">
        <v>103350</v>
      </c>
      <c r="AA122" s="3">
        <v>105212</v>
      </c>
      <c r="AB122" s="3">
        <v>110461</v>
      </c>
      <c r="AC122" s="3">
        <v>111894</v>
      </c>
      <c r="AD122" s="3">
        <v>112685</v>
      </c>
      <c r="AE122" s="3">
        <v>115939</v>
      </c>
      <c r="AF122" s="3">
        <v>118605</v>
      </c>
      <c r="AG122" s="3">
        <v>120822</v>
      </c>
      <c r="AH122" s="3">
        <v>123911</v>
      </c>
      <c r="AI122" s="3">
        <v>126827</v>
      </c>
      <c r="AJ122" s="3">
        <v>128135</v>
      </c>
      <c r="AK122" s="3">
        <v>129340</v>
      </c>
      <c r="AL122" s="3">
        <v>130117</v>
      </c>
      <c r="AM122" s="3">
        <v>131237</v>
      </c>
      <c r="AN122" s="3">
        <v>131954</v>
      </c>
      <c r="AO122" s="3">
        <v>132700</v>
      </c>
      <c r="AP122" s="3">
        <v>134100</v>
      </c>
      <c r="AQ122" s="3">
        <v>134200</v>
      </c>
      <c r="AR122" s="3">
        <v>134300</v>
      </c>
      <c r="AS122" s="3">
        <v>136500</v>
      </c>
      <c r="AT122" s="3">
        <v>135700</v>
      </c>
      <c r="AU122" s="3">
        <v>132100</v>
      </c>
      <c r="AV122" s="3">
        <v>130300</v>
      </c>
      <c r="AW122" s="3">
        <v>128000</v>
      </c>
      <c r="AX122" s="3">
        <v>127200</v>
      </c>
      <c r="AY122" s="3">
        <v>127450</v>
      </c>
      <c r="AZ122" s="3">
        <v>133000</v>
      </c>
      <c r="BA122" s="3">
        <v>134320</v>
      </c>
      <c r="BB122" s="3">
        <v>136000</v>
      </c>
      <c r="BC122" s="13">
        <v>0</v>
      </c>
      <c r="BD122" s="20">
        <f t="shared" si="28"/>
        <v>0.30997764770555997</v>
      </c>
      <c r="BE122" s="20">
        <f t="shared" si="28"/>
        <v>0.30388674007410821</v>
      </c>
      <c r="BF122" s="20">
        <f t="shared" si="28"/>
        <v>0.29898399397574815</v>
      </c>
      <c r="BG122" s="20">
        <f t="shared" si="28"/>
        <v>0.30566983061754499</v>
      </c>
      <c r="BH122" s="20">
        <f t="shared" si="28"/>
        <v>0.30857801864057505</v>
      </c>
      <c r="BI122" s="20">
        <f t="shared" si="28"/>
        <v>0.30477419817494039</v>
      </c>
      <c r="BJ122" s="23">
        <f t="shared" si="14"/>
        <v>0.30634068247768681</v>
      </c>
    </row>
    <row r="123" spans="1:62" s="5" customFormat="1" x14ac:dyDescent="0.25">
      <c r="A123" s="14"/>
      <c r="B123" s="6" t="s">
        <v>13</v>
      </c>
      <c r="C123" s="6" t="s">
        <v>6</v>
      </c>
      <c r="D123" s="8">
        <v>4563</v>
      </c>
      <c r="E123" s="8">
        <v>5750</v>
      </c>
      <c r="F123" s="8">
        <v>6100</v>
      </c>
      <c r="G123" s="8">
        <v>6850</v>
      </c>
      <c r="H123" s="8">
        <v>6700</v>
      </c>
      <c r="I123" s="8">
        <v>7100</v>
      </c>
      <c r="J123" s="8">
        <v>7954</v>
      </c>
      <c r="K123" s="8">
        <v>8236</v>
      </c>
      <c r="L123" s="8">
        <v>7166</v>
      </c>
      <c r="M123" s="8">
        <v>7160</v>
      </c>
      <c r="N123" s="8">
        <v>8200</v>
      </c>
      <c r="O123" s="8">
        <v>8784</v>
      </c>
      <c r="P123" s="8">
        <v>8050</v>
      </c>
      <c r="Q123" s="8">
        <v>10650</v>
      </c>
      <c r="R123" s="8">
        <v>11350</v>
      </c>
      <c r="S123" s="8">
        <v>10750</v>
      </c>
      <c r="T123" s="8">
        <v>8700</v>
      </c>
      <c r="U123" s="8">
        <v>7700</v>
      </c>
      <c r="V123" s="8">
        <v>8060</v>
      </c>
      <c r="W123" s="8">
        <v>7625</v>
      </c>
      <c r="X123" s="8">
        <v>6775</v>
      </c>
      <c r="Y123" s="8">
        <v>6650</v>
      </c>
      <c r="Z123" s="8">
        <v>6970</v>
      </c>
      <c r="AA123" s="8">
        <v>8355</v>
      </c>
      <c r="AB123" s="8">
        <v>7715</v>
      </c>
      <c r="AC123" s="8">
        <v>5609</v>
      </c>
      <c r="AD123" s="8">
        <v>5384</v>
      </c>
      <c r="AE123" s="8">
        <v>5428</v>
      </c>
      <c r="AF123" s="8">
        <v>5594</v>
      </c>
      <c r="AG123" s="8">
        <v>4435</v>
      </c>
      <c r="AH123" s="8">
        <v>5675</v>
      </c>
      <c r="AI123" s="8">
        <v>4932</v>
      </c>
      <c r="AJ123" s="8">
        <v>4740</v>
      </c>
      <c r="AK123" s="8">
        <v>5511</v>
      </c>
      <c r="AL123" s="8">
        <v>6300</v>
      </c>
      <c r="AM123" s="8">
        <v>4755</v>
      </c>
      <c r="AN123" s="8">
        <v>5676</v>
      </c>
      <c r="AO123" s="8">
        <v>3640</v>
      </c>
      <c r="AP123" s="8">
        <v>4087</v>
      </c>
      <c r="AQ123" s="8">
        <v>3242</v>
      </c>
      <c r="AR123" s="8">
        <v>2582</v>
      </c>
      <c r="AS123" s="8">
        <v>2697</v>
      </c>
      <c r="AT123" s="8">
        <v>3327</v>
      </c>
      <c r="AU123" s="8">
        <v>2865</v>
      </c>
      <c r="AV123" s="8">
        <v>2328</v>
      </c>
      <c r="AW123" s="8">
        <v>2546</v>
      </c>
      <c r="AX123" s="8">
        <v>2183</v>
      </c>
      <c r="AY123" s="8">
        <v>1920</v>
      </c>
      <c r="AZ123" s="8">
        <v>1837</v>
      </c>
      <c r="BA123" s="8">
        <v>1677</v>
      </c>
      <c r="BB123" s="8">
        <v>1800</v>
      </c>
      <c r="BC123" s="15">
        <v>0</v>
      </c>
      <c r="BD123" s="21">
        <f t="shared" si="28"/>
        <v>4.2693765301673542E-2</v>
      </c>
      <c r="BE123" s="21">
        <f t="shared" si="28"/>
        <v>3.78664353859497E-2</v>
      </c>
      <c r="BF123" s="21">
        <f t="shared" si="28"/>
        <v>2.9131074663551259E-2</v>
      </c>
      <c r="BG123" s="21">
        <f t="shared" si="28"/>
        <v>2.8328655583999014E-2</v>
      </c>
      <c r="BH123" s="21">
        <f t="shared" si="28"/>
        <v>2.8300453954807028E-2</v>
      </c>
      <c r="BI123" s="21">
        <f t="shared" si="28"/>
        <v>2.7595511130189491E-2</v>
      </c>
      <c r="BJ123" s="23">
        <f t="shared" si="14"/>
        <v>2.8074873556331842E-2</v>
      </c>
    </row>
    <row r="124" spans="1:62" x14ac:dyDescent="0.25">
      <c r="A124" s="12"/>
      <c r="B124" s="2"/>
      <c r="C124" s="2" t="s">
        <v>7</v>
      </c>
      <c r="D124" s="4">
        <v>0</v>
      </c>
      <c r="E124" s="4">
        <v>0</v>
      </c>
      <c r="F124" s="4">
        <v>0</v>
      </c>
      <c r="G124" s="4">
        <v>0</v>
      </c>
      <c r="H124" s="4">
        <v>0</v>
      </c>
      <c r="I124" s="4">
        <v>0</v>
      </c>
      <c r="J124" s="4">
        <v>0</v>
      </c>
      <c r="K124" s="4">
        <v>0</v>
      </c>
      <c r="L124" s="4">
        <v>0</v>
      </c>
      <c r="M124" s="4">
        <v>0</v>
      </c>
      <c r="N124" s="4">
        <v>0</v>
      </c>
      <c r="O124" s="4">
        <v>0</v>
      </c>
      <c r="P124" s="4">
        <v>0</v>
      </c>
      <c r="Q124" s="4">
        <v>0</v>
      </c>
      <c r="R124" s="4">
        <v>0</v>
      </c>
      <c r="S124" s="4">
        <v>0</v>
      </c>
      <c r="T124" s="4">
        <v>0</v>
      </c>
      <c r="U124" s="4">
        <v>0</v>
      </c>
      <c r="V124" s="4">
        <v>27</v>
      </c>
      <c r="W124" s="4">
        <v>0</v>
      </c>
      <c r="X124" s="4">
        <v>0</v>
      </c>
      <c r="Y124" s="4">
        <v>23</v>
      </c>
      <c r="Z124" s="4">
        <v>0</v>
      </c>
      <c r="AA124" s="4">
        <v>0</v>
      </c>
      <c r="AB124" s="4">
        <v>0</v>
      </c>
      <c r="AC124" s="4">
        <v>0</v>
      </c>
      <c r="AD124" s="4">
        <v>0</v>
      </c>
      <c r="AE124" s="4">
        <v>0</v>
      </c>
      <c r="AF124" s="4">
        <v>0</v>
      </c>
      <c r="AG124" s="4">
        <v>0</v>
      </c>
      <c r="AH124" s="4">
        <v>0</v>
      </c>
      <c r="AI124" s="4">
        <v>60</v>
      </c>
      <c r="AJ124" s="4">
        <v>0</v>
      </c>
      <c r="AK124" s="4">
        <v>0</v>
      </c>
      <c r="AL124" s="4">
        <v>18</v>
      </c>
      <c r="AM124" s="4">
        <v>0</v>
      </c>
      <c r="AN124" s="4">
        <v>0</v>
      </c>
      <c r="AO124" s="4">
        <v>0</v>
      </c>
      <c r="AP124" s="4">
        <v>0</v>
      </c>
      <c r="AQ124" s="4">
        <v>0</v>
      </c>
      <c r="AR124" s="4">
        <v>22</v>
      </c>
      <c r="AS124" s="4">
        <v>3</v>
      </c>
      <c r="AT124" s="4">
        <v>2</v>
      </c>
      <c r="AU124" s="4">
        <v>3</v>
      </c>
      <c r="AV124" s="4">
        <v>9</v>
      </c>
      <c r="AW124" s="4">
        <v>9</v>
      </c>
      <c r="AX124" s="4">
        <v>4</v>
      </c>
      <c r="AY124" s="4">
        <v>12</v>
      </c>
      <c r="AZ124" s="4">
        <v>14</v>
      </c>
      <c r="BA124" s="4">
        <v>83</v>
      </c>
      <c r="BB124" s="4">
        <v>25</v>
      </c>
      <c r="BC124" s="13">
        <v>0</v>
      </c>
      <c r="BD124" s="20">
        <f t="shared" si="28"/>
        <v>1.6869728209934396E-3</v>
      </c>
      <c r="BE124" s="20">
        <f t="shared" si="28"/>
        <v>8.2661706964248815E-4</v>
      </c>
      <c r="BF124" s="20">
        <f t="shared" si="28"/>
        <v>1.2397974997417089E-3</v>
      </c>
      <c r="BG124" s="20">
        <f t="shared" si="28"/>
        <v>2.2905759162303663E-3</v>
      </c>
      <c r="BH124" s="20">
        <f t="shared" si="28"/>
        <v>1.3524523382760306E-2</v>
      </c>
      <c r="BI124" s="20">
        <f t="shared" si="28"/>
        <v>3.8308305240576158E-3</v>
      </c>
      <c r="BJ124" s="23">
        <f t="shared" si="14"/>
        <v>6.5486432743494293E-3</v>
      </c>
    </row>
    <row r="125" spans="1:62" s="5" customFormat="1" x14ac:dyDescent="0.25">
      <c r="A125" s="14"/>
      <c r="B125" s="6"/>
      <c r="C125" s="6" t="s">
        <v>8</v>
      </c>
      <c r="D125" s="7">
        <v>0</v>
      </c>
      <c r="E125" s="7">
        <v>0</v>
      </c>
      <c r="F125" s="7">
        <v>0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75</v>
      </c>
      <c r="P125" s="7">
        <v>75</v>
      </c>
      <c r="Q125" s="7">
        <v>100</v>
      </c>
      <c r="R125" s="7">
        <v>100</v>
      </c>
      <c r="S125" s="7">
        <v>125</v>
      </c>
      <c r="T125" s="7">
        <v>100</v>
      </c>
      <c r="U125" s="7">
        <v>50</v>
      </c>
      <c r="V125" s="7">
        <v>50</v>
      </c>
      <c r="W125" s="7">
        <v>25</v>
      </c>
      <c r="X125" s="7">
        <v>75</v>
      </c>
      <c r="Y125" s="7">
        <v>100</v>
      </c>
      <c r="Z125" s="7">
        <v>50</v>
      </c>
      <c r="AA125" s="7">
        <v>50</v>
      </c>
      <c r="AB125" s="7">
        <v>500</v>
      </c>
      <c r="AC125" s="7">
        <v>715</v>
      </c>
      <c r="AD125" s="7">
        <v>379</v>
      </c>
      <c r="AE125" s="7">
        <v>74</v>
      </c>
      <c r="AF125" s="8">
        <v>1147</v>
      </c>
      <c r="AG125" s="7">
        <v>266</v>
      </c>
      <c r="AH125" s="7">
        <v>326</v>
      </c>
      <c r="AI125" s="7">
        <v>462</v>
      </c>
      <c r="AJ125" s="7">
        <v>391</v>
      </c>
      <c r="AK125" s="7">
        <v>245</v>
      </c>
      <c r="AL125" s="7">
        <v>188</v>
      </c>
      <c r="AM125" s="7">
        <v>20</v>
      </c>
      <c r="AN125" s="7">
        <v>97</v>
      </c>
      <c r="AO125" s="7">
        <v>30</v>
      </c>
      <c r="AP125" s="7">
        <v>17</v>
      </c>
      <c r="AQ125" s="7">
        <v>18</v>
      </c>
      <c r="AR125" s="7">
        <v>19</v>
      </c>
      <c r="AS125" s="7">
        <v>19</v>
      </c>
      <c r="AT125" s="7">
        <v>88</v>
      </c>
      <c r="AU125" s="7">
        <v>168</v>
      </c>
      <c r="AV125" s="7">
        <v>28</v>
      </c>
      <c r="AW125" s="7">
        <v>26</v>
      </c>
      <c r="AX125" s="7">
        <v>144</v>
      </c>
      <c r="AY125" s="7">
        <v>223</v>
      </c>
      <c r="AZ125" s="7">
        <v>32</v>
      </c>
      <c r="BA125" s="7">
        <v>41</v>
      </c>
      <c r="BB125" s="7">
        <v>50</v>
      </c>
      <c r="BC125" s="15">
        <v>0</v>
      </c>
      <c r="BD125" s="21">
        <f t="shared" si="28"/>
        <v>4.834510970621049E-3</v>
      </c>
      <c r="BE125" s="21">
        <f t="shared" si="28"/>
        <v>2.6359143327841845E-2</v>
      </c>
      <c r="BF125" s="21">
        <f t="shared" si="28"/>
        <v>2.2918807810894143E-2</v>
      </c>
      <c r="BG125" s="21">
        <f t="shared" si="28"/>
        <v>5.3475935828877002E-3</v>
      </c>
      <c r="BH125" s="21">
        <f t="shared" si="28"/>
        <v>6.1672683513838752E-3</v>
      </c>
      <c r="BI125" s="21">
        <f t="shared" si="28"/>
        <v>7.6698880196349132E-3</v>
      </c>
      <c r="BJ125" s="23">
        <f t="shared" si="14"/>
        <v>6.3949166513021629E-3</v>
      </c>
    </row>
    <row r="126" spans="1:62" x14ac:dyDescent="0.25">
      <c r="A126" s="12"/>
      <c r="B126" s="2"/>
      <c r="C126" s="2" t="s">
        <v>9</v>
      </c>
      <c r="D126" s="3">
        <v>5275</v>
      </c>
      <c r="E126" s="3">
        <v>4465</v>
      </c>
      <c r="F126" s="3">
        <v>5916</v>
      </c>
      <c r="G126" s="3">
        <v>7135</v>
      </c>
      <c r="H126" s="3">
        <v>6949</v>
      </c>
      <c r="I126" s="3">
        <v>7444</v>
      </c>
      <c r="J126" s="3">
        <v>7660</v>
      </c>
      <c r="K126" s="3">
        <v>7892</v>
      </c>
      <c r="L126" s="3">
        <v>7195</v>
      </c>
      <c r="M126" s="3">
        <v>7116</v>
      </c>
      <c r="N126" s="3">
        <v>7635</v>
      </c>
      <c r="O126" s="3">
        <v>8144</v>
      </c>
      <c r="P126" s="3">
        <v>7690</v>
      </c>
      <c r="Q126" s="3">
        <v>10075</v>
      </c>
      <c r="R126" s="3">
        <v>10675</v>
      </c>
      <c r="S126" s="3">
        <v>10850</v>
      </c>
      <c r="T126" s="3">
        <v>9000</v>
      </c>
      <c r="U126" s="3">
        <v>7900</v>
      </c>
      <c r="V126" s="3">
        <v>7837</v>
      </c>
      <c r="W126" s="3">
        <v>7800</v>
      </c>
      <c r="X126" s="3">
        <v>7000</v>
      </c>
      <c r="Y126" s="3">
        <v>6823</v>
      </c>
      <c r="Z126" s="3">
        <v>6820</v>
      </c>
      <c r="AA126" s="3">
        <v>8305</v>
      </c>
      <c r="AB126" s="3">
        <v>7465</v>
      </c>
      <c r="AC126" s="3">
        <v>5844</v>
      </c>
      <c r="AD126" s="3">
        <v>5430</v>
      </c>
      <c r="AE126" s="3">
        <v>5289</v>
      </c>
      <c r="AF126" s="3">
        <v>4787</v>
      </c>
      <c r="AG126" s="3">
        <v>4169</v>
      </c>
      <c r="AH126" s="3">
        <v>4999</v>
      </c>
      <c r="AI126" s="3">
        <v>4805</v>
      </c>
      <c r="AJ126" s="3">
        <v>4574</v>
      </c>
      <c r="AK126" s="3">
        <v>5416</v>
      </c>
      <c r="AL126" s="3">
        <v>6355</v>
      </c>
      <c r="AM126" s="3">
        <v>4935</v>
      </c>
      <c r="AN126" s="3">
        <v>5379</v>
      </c>
      <c r="AO126" s="3">
        <v>3650</v>
      </c>
      <c r="AP126" s="3">
        <v>4134</v>
      </c>
      <c r="AQ126" s="3">
        <v>3319</v>
      </c>
      <c r="AR126" s="3">
        <v>2561</v>
      </c>
      <c r="AS126" s="3">
        <v>2700</v>
      </c>
      <c r="AT126" s="3">
        <v>2725</v>
      </c>
      <c r="AU126" s="3">
        <v>2650</v>
      </c>
      <c r="AV126" s="3">
        <v>2300</v>
      </c>
      <c r="AW126" s="3">
        <v>2300</v>
      </c>
      <c r="AX126" s="3">
        <v>2050</v>
      </c>
      <c r="AY126" s="3">
        <v>2000</v>
      </c>
      <c r="AZ126" s="3">
        <v>2000</v>
      </c>
      <c r="BA126" s="3">
        <v>1900</v>
      </c>
      <c r="BB126" s="3">
        <v>1800</v>
      </c>
      <c r="BC126" s="13">
        <v>0</v>
      </c>
      <c r="BD126" s="20">
        <f t="shared" si="28"/>
        <v>3.8790413708194894E-2</v>
      </c>
      <c r="BE126" s="20">
        <f t="shared" si="28"/>
        <v>3.5472037652270208E-2</v>
      </c>
      <c r="BF126" s="20">
        <f t="shared" si="28"/>
        <v>3.1021218513463209E-2</v>
      </c>
      <c r="BG126" s="20">
        <f t="shared" si="28"/>
        <v>3.1012560086835169E-2</v>
      </c>
      <c r="BH126" s="20">
        <f t="shared" si="28"/>
        <v>3.1109801224743754E-2</v>
      </c>
      <c r="BI126" s="20">
        <f t="shared" si="28"/>
        <v>2.7802233446086837E-2</v>
      </c>
      <c r="BJ126" s="23">
        <f t="shared" si="14"/>
        <v>2.9974864919221921E-2</v>
      </c>
    </row>
    <row r="127" spans="1:62" s="5" customFormat="1" x14ac:dyDescent="0.25">
      <c r="A127" s="12"/>
      <c r="B127" s="2" t="s">
        <v>14</v>
      </c>
      <c r="C127" s="2" t="s">
        <v>42</v>
      </c>
      <c r="D127" s="4">
        <v>770</v>
      </c>
      <c r="E127" s="4">
        <v>635</v>
      </c>
      <c r="F127" s="3">
        <v>1280</v>
      </c>
      <c r="G127" s="3">
        <v>1200</v>
      </c>
      <c r="H127" s="3">
        <v>1496</v>
      </c>
      <c r="I127" s="3">
        <v>1688</v>
      </c>
      <c r="J127" s="3">
        <v>1631</v>
      </c>
      <c r="K127" s="3">
        <v>1814</v>
      </c>
      <c r="L127" s="3">
        <v>1634</v>
      </c>
      <c r="M127" s="3">
        <v>1996</v>
      </c>
      <c r="N127" s="3">
        <v>2096</v>
      </c>
      <c r="O127" s="3">
        <v>2042</v>
      </c>
      <c r="P127" s="3">
        <v>2150</v>
      </c>
      <c r="Q127" s="3">
        <v>2365</v>
      </c>
      <c r="R127" s="3">
        <v>2257</v>
      </c>
      <c r="S127" s="3">
        <v>2311</v>
      </c>
      <c r="T127" s="3">
        <v>1870</v>
      </c>
      <c r="U127" s="3">
        <v>2140</v>
      </c>
      <c r="V127" s="3">
        <v>2530</v>
      </c>
      <c r="W127" s="3">
        <v>2507</v>
      </c>
      <c r="X127" s="3">
        <v>3220</v>
      </c>
      <c r="Y127" s="3">
        <v>3650</v>
      </c>
      <c r="Z127" s="3">
        <v>4132</v>
      </c>
      <c r="AA127" s="3">
        <v>3825</v>
      </c>
      <c r="AB127" s="3">
        <v>4627</v>
      </c>
      <c r="AC127" s="3">
        <v>5535</v>
      </c>
      <c r="AD127" s="3">
        <v>5774</v>
      </c>
      <c r="AE127" s="3">
        <v>4706</v>
      </c>
      <c r="AF127" s="3">
        <v>5312</v>
      </c>
      <c r="AG127" s="3">
        <v>5618</v>
      </c>
      <c r="AH127" s="3">
        <v>6765</v>
      </c>
      <c r="AI127" s="3">
        <v>8492</v>
      </c>
      <c r="AJ127" s="3">
        <v>8300</v>
      </c>
      <c r="AK127" s="3">
        <v>6505</v>
      </c>
      <c r="AL127" s="3">
        <v>6299</v>
      </c>
      <c r="AM127" s="3">
        <v>6686</v>
      </c>
      <c r="AN127" s="3">
        <v>7789</v>
      </c>
      <c r="AO127" s="3">
        <v>8631</v>
      </c>
      <c r="AP127" s="3">
        <v>8969</v>
      </c>
      <c r="AQ127" s="3">
        <v>6947</v>
      </c>
      <c r="AR127" s="3">
        <v>6849</v>
      </c>
      <c r="AS127" s="3">
        <v>8305</v>
      </c>
      <c r="AT127" s="3">
        <v>11380</v>
      </c>
      <c r="AU127" s="3">
        <v>10734</v>
      </c>
      <c r="AV127" s="3">
        <v>9826</v>
      </c>
      <c r="AW127" s="3">
        <v>9446</v>
      </c>
      <c r="AX127" s="3">
        <v>12855</v>
      </c>
      <c r="AY127" s="3">
        <v>15898</v>
      </c>
      <c r="AZ127" s="3">
        <v>13317</v>
      </c>
      <c r="BA127" s="3">
        <v>11500</v>
      </c>
      <c r="BB127" s="24">
        <v>12670</v>
      </c>
      <c r="BC127" s="21">
        <f t="shared" ref="BC127:BH127" si="29">AW127/AX$83</f>
        <v>1.1811929473552583</v>
      </c>
      <c r="BD127" s="21">
        <f t="shared" si="29"/>
        <v>1.8982575310100414</v>
      </c>
      <c r="BE127" s="21">
        <f t="shared" si="29"/>
        <v>2.4828986412619085</v>
      </c>
      <c r="BF127" s="21">
        <f t="shared" si="29"/>
        <v>1.8687903452147068</v>
      </c>
      <c r="BG127" s="21">
        <f t="shared" si="29"/>
        <v>1.7692307692307692</v>
      </c>
      <c r="BH127" s="21" t="e">
        <f t="shared" si="29"/>
        <v>#DIV/0!</v>
      </c>
      <c r="BI127"/>
      <c r="BJ127" s="23" t="e">
        <f>AVERAGE(BF127,BG127,BH127)</f>
        <v>#DIV/0!</v>
      </c>
    </row>
    <row r="128" spans="1:62" x14ac:dyDescent="0.25">
      <c r="A128" s="12"/>
      <c r="B128" s="6"/>
      <c r="C128" s="6" t="s">
        <v>45</v>
      </c>
      <c r="D128" s="7">
        <v>900</v>
      </c>
      <c r="E128" s="7">
        <v>700</v>
      </c>
      <c r="F128" s="7">
        <v>0</v>
      </c>
      <c r="G128" s="7">
        <v>310</v>
      </c>
      <c r="H128" s="7">
        <v>350</v>
      </c>
      <c r="I128" s="7">
        <v>500</v>
      </c>
      <c r="J128" s="7">
        <v>450</v>
      </c>
      <c r="K128" s="7">
        <v>480</v>
      </c>
      <c r="L128" s="7">
        <v>450</v>
      </c>
      <c r="M128" s="7">
        <v>430</v>
      </c>
      <c r="N128" s="7">
        <v>350</v>
      </c>
      <c r="O128" s="7">
        <v>600</v>
      </c>
      <c r="P128" s="7">
        <v>750</v>
      </c>
      <c r="Q128" s="7">
        <v>610</v>
      </c>
      <c r="R128" s="7">
        <v>410</v>
      </c>
      <c r="S128" s="7">
        <v>600</v>
      </c>
      <c r="T128" s="8">
        <v>1500</v>
      </c>
      <c r="U128" s="8">
        <v>1400</v>
      </c>
      <c r="V128" s="8">
        <v>1300</v>
      </c>
      <c r="W128" s="8">
        <v>1173</v>
      </c>
      <c r="X128" s="8">
        <v>1100</v>
      </c>
      <c r="Y128" s="8">
        <v>2150</v>
      </c>
      <c r="Z128" s="8">
        <v>2480</v>
      </c>
      <c r="AA128" s="8">
        <v>1150</v>
      </c>
      <c r="AB128" s="8">
        <v>1890</v>
      </c>
      <c r="AC128" s="8">
        <v>1216</v>
      </c>
      <c r="AD128" s="8">
        <v>1507</v>
      </c>
      <c r="AE128" s="8">
        <v>3700</v>
      </c>
      <c r="AF128" s="8">
        <v>2462</v>
      </c>
      <c r="AG128" s="8">
        <v>1132</v>
      </c>
      <c r="AH128" s="8">
        <v>1055</v>
      </c>
      <c r="AI128" s="8">
        <v>1230</v>
      </c>
      <c r="AJ128" s="7">
        <v>506</v>
      </c>
      <c r="AK128" s="8">
        <v>1469</v>
      </c>
      <c r="AL128" s="8">
        <v>4110</v>
      </c>
      <c r="AM128" s="8">
        <v>1775</v>
      </c>
      <c r="AN128" s="8">
        <v>1014</v>
      </c>
      <c r="AO128" s="7">
        <v>420</v>
      </c>
      <c r="AP128" s="7">
        <v>517</v>
      </c>
      <c r="AQ128" s="7">
        <v>687</v>
      </c>
      <c r="AR128" s="8">
        <v>1083</v>
      </c>
      <c r="AS128" s="8">
        <v>1375</v>
      </c>
      <c r="AT128" s="7">
        <v>842</v>
      </c>
      <c r="AU128" s="8">
        <v>1235</v>
      </c>
      <c r="AV128" s="8">
        <v>1360</v>
      </c>
      <c r="AW128" s="8">
        <v>1234</v>
      </c>
      <c r="AX128" s="8">
        <v>1465</v>
      </c>
      <c r="AY128" s="7">
        <v>972</v>
      </c>
      <c r="AZ128" s="8">
        <v>1077</v>
      </c>
      <c r="BA128" s="8">
        <v>1500</v>
      </c>
      <c r="BB128" s="25">
        <v>1800</v>
      </c>
      <c r="BC128" s="21">
        <f t="shared" ref="BC128:BH128" si="30">AW128/AX$63</f>
        <v>2.3961165048543691</v>
      </c>
      <c r="BD128" s="21">
        <f t="shared" si="30"/>
        <v>8.9329268292682933</v>
      </c>
      <c r="BE128" s="21">
        <f t="shared" si="30"/>
        <v>19.440000000000001</v>
      </c>
      <c r="BF128" s="21">
        <f t="shared" si="30"/>
        <v>7.1324503311258276</v>
      </c>
      <c r="BG128" s="21">
        <f t="shared" si="30"/>
        <v>2.3076923076923075</v>
      </c>
      <c r="BH128" s="21" t="e">
        <f t="shared" si="30"/>
        <v>#DIV/0!</v>
      </c>
      <c r="BI128" s="5"/>
      <c r="BJ128" s="23" t="e">
        <f>AVERAGE(BF128,BG128,BH128)</f>
        <v>#DIV/0!</v>
      </c>
    </row>
    <row r="129" spans="1:62" s="5" customFormat="1" x14ac:dyDescent="0.25">
      <c r="A129" s="12"/>
      <c r="B129" s="2"/>
      <c r="C129" s="2" t="s">
        <v>44</v>
      </c>
      <c r="D129" s="4">
        <v>75</v>
      </c>
      <c r="E129" s="4">
        <v>230</v>
      </c>
      <c r="F129" s="4">
        <v>250</v>
      </c>
      <c r="G129" s="4">
        <v>370</v>
      </c>
      <c r="H129" s="4">
        <v>350</v>
      </c>
      <c r="I129" s="4">
        <v>420</v>
      </c>
      <c r="J129" s="4">
        <v>350</v>
      </c>
      <c r="K129" s="4">
        <v>280</v>
      </c>
      <c r="L129" s="4">
        <v>150</v>
      </c>
      <c r="M129" s="4">
        <v>100</v>
      </c>
      <c r="N129" s="4">
        <v>100</v>
      </c>
      <c r="O129" s="4">
        <v>110</v>
      </c>
      <c r="P129" s="4">
        <v>150</v>
      </c>
      <c r="Q129" s="4">
        <v>80</v>
      </c>
      <c r="R129" s="4">
        <v>80</v>
      </c>
      <c r="S129" s="4">
        <v>50</v>
      </c>
      <c r="T129" s="4">
        <v>173</v>
      </c>
      <c r="U129" s="4">
        <v>120</v>
      </c>
      <c r="V129" s="4">
        <v>115</v>
      </c>
      <c r="W129" s="4">
        <v>235</v>
      </c>
      <c r="X129" s="4">
        <v>100</v>
      </c>
      <c r="Y129" s="4">
        <v>173</v>
      </c>
      <c r="Z129" s="4">
        <v>72</v>
      </c>
      <c r="AA129" s="4">
        <v>54</v>
      </c>
      <c r="AB129" s="4">
        <v>116</v>
      </c>
      <c r="AC129" s="4">
        <v>271</v>
      </c>
      <c r="AD129" s="4">
        <v>459</v>
      </c>
      <c r="AE129" s="4">
        <v>310</v>
      </c>
      <c r="AF129" s="4">
        <v>275</v>
      </c>
      <c r="AG129" s="4">
        <v>624</v>
      </c>
      <c r="AH129" s="4">
        <v>320</v>
      </c>
      <c r="AI129" s="3">
        <v>1420</v>
      </c>
      <c r="AJ129" s="3">
        <v>1500</v>
      </c>
      <c r="AK129" s="3">
        <v>1114</v>
      </c>
      <c r="AL129" s="4">
        <v>414</v>
      </c>
      <c r="AM129" s="4">
        <v>952</v>
      </c>
      <c r="AN129" s="4">
        <v>435</v>
      </c>
      <c r="AO129" s="4">
        <v>308</v>
      </c>
      <c r="AP129" s="4">
        <v>453</v>
      </c>
      <c r="AQ129" s="4">
        <v>433</v>
      </c>
      <c r="AR129" s="4">
        <v>129</v>
      </c>
      <c r="AS129" s="4">
        <v>460</v>
      </c>
      <c r="AT129" s="4">
        <v>120</v>
      </c>
      <c r="AU129" s="4">
        <v>67</v>
      </c>
      <c r="AV129" s="4">
        <v>352</v>
      </c>
      <c r="AW129" s="4">
        <v>234</v>
      </c>
      <c r="AX129" s="4">
        <v>122</v>
      </c>
      <c r="AY129" s="4">
        <v>56</v>
      </c>
      <c r="AZ129" s="4">
        <v>75</v>
      </c>
      <c r="BA129" s="4">
        <v>94</v>
      </c>
      <c r="BB129" s="13">
        <v>55</v>
      </c>
      <c r="BC129" s="21">
        <f t="shared" ref="BC129:BH129" si="31">AW129/AX$42</f>
        <v>2</v>
      </c>
      <c r="BD129" s="21">
        <f t="shared" si="31"/>
        <v>9.384615384615385</v>
      </c>
      <c r="BE129" s="21">
        <f t="shared" si="31"/>
        <v>1.2727272727272727</v>
      </c>
      <c r="BF129" s="21">
        <f t="shared" si="31"/>
        <v>0.528169014084507</v>
      </c>
      <c r="BG129" s="21">
        <f t="shared" si="31"/>
        <v>0.15460526315789475</v>
      </c>
      <c r="BH129" s="21" t="e">
        <f t="shared" si="31"/>
        <v>#DIV/0!</v>
      </c>
      <c r="BJ129" s="23" t="e">
        <f>AVERAGE(BF129,BG129,BH129)</f>
        <v>#DIV/0!</v>
      </c>
    </row>
    <row r="130" spans="1:62" ht="30" x14ac:dyDescent="0.25">
      <c r="A130" s="12"/>
      <c r="B130" s="6"/>
      <c r="C130" s="6" t="s">
        <v>43</v>
      </c>
      <c r="D130" s="8">
        <v>1185</v>
      </c>
      <c r="E130" s="8">
        <v>1225</v>
      </c>
      <c r="F130" s="8">
        <v>1250</v>
      </c>
      <c r="G130" s="8">
        <v>1160</v>
      </c>
      <c r="H130" s="8">
        <v>1406</v>
      </c>
      <c r="I130" s="8">
        <v>1678</v>
      </c>
      <c r="J130" s="8">
        <v>1761</v>
      </c>
      <c r="K130" s="8">
        <v>1934</v>
      </c>
      <c r="L130" s="8">
        <v>1964</v>
      </c>
      <c r="M130" s="8">
        <v>2226</v>
      </c>
      <c r="N130" s="8">
        <v>2406</v>
      </c>
      <c r="O130" s="8">
        <v>2422</v>
      </c>
      <c r="P130" s="8">
        <v>2690</v>
      </c>
      <c r="Q130" s="8">
        <v>2925</v>
      </c>
      <c r="R130" s="8">
        <v>2442</v>
      </c>
      <c r="S130" s="8">
        <v>2730</v>
      </c>
      <c r="T130" s="8">
        <v>3100</v>
      </c>
      <c r="U130" s="8">
        <v>3400</v>
      </c>
      <c r="V130" s="8">
        <v>3500</v>
      </c>
      <c r="W130" s="8">
        <v>3700</v>
      </c>
      <c r="X130" s="8">
        <v>4300</v>
      </c>
      <c r="Y130" s="8">
        <v>5000</v>
      </c>
      <c r="Z130" s="8">
        <v>5400</v>
      </c>
      <c r="AA130" s="8">
        <v>5600</v>
      </c>
      <c r="AB130" s="8">
        <v>6045</v>
      </c>
      <c r="AC130" s="8">
        <v>6600</v>
      </c>
      <c r="AD130" s="8">
        <v>7200</v>
      </c>
      <c r="AE130" s="8">
        <v>7200</v>
      </c>
      <c r="AF130" s="8">
        <v>7400</v>
      </c>
      <c r="AG130" s="8">
        <v>7450</v>
      </c>
      <c r="AH130" s="8">
        <v>7500</v>
      </c>
      <c r="AI130" s="8">
        <v>7650</v>
      </c>
      <c r="AJ130" s="8">
        <v>7800</v>
      </c>
      <c r="AK130" s="8">
        <v>7200</v>
      </c>
      <c r="AL130" s="8">
        <v>7948</v>
      </c>
      <c r="AM130" s="8">
        <v>8040</v>
      </c>
      <c r="AN130" s="8">
        <v>8268</v>
      </c>
      <c r="AO130" s="8">
        <v>9012</v>
      </c>
      <c r="AP130" s="8">
        <v>8422</v>
      </c>
      <c r="AQ130" s="8">
        <v>8476</v>
      </c>
      <c r="AR130" s="8">
        <v>8650</v>
      </c>
      <c r="AS130" s="8">
        <v>9355</v>
      </c>
      <c r="AT130" s="8">
        <v>10950</v>
      </c>
      <c r="AU130" s="8">
        <v>11600</v>
      </c>
      <c r="AV130" s="8">
        <v>11400</v>
      </c>
      <c r="AW130" s="8">
        <v>11500</v>
      </c>
      <c r="AX130" s="8">
        <v>13500</v>
      </c>
      <c r="AY130" s="8">
        <v>14250</v>
      </c>
      <c r="AZ130" s="8">
        <v>14500</v>
      </c>
      <c r="BA130" s="8">
        <v>14790</v>
      </c>
      <c r="BB130" s="25">
        <v>15100</v>
      </c>
      <c r="BC130" s="20">
        <f t="shared" ref="BC130:BH130" si="32">AW130/AW$25</f>
        <v>6.8656716417910451</v>
      </c>
      <c r="BD130" s="20">
        <f t="shared" si="32"/>
        <v>7.8947368421052628</v>
      </c>
      <c r="BE130" s="20">
        <f t="shared" si="32"/>
        <v>7.9387186629526463</v>
      </c>
      <c r="BF130" s="20">
        <f t="shared" si="32"/>
        <v>8.3815028901734099</v>
      </c>
      <c r="BG130" s="20">
        <f t="shared" si="32"/>
        <v>8.5491329479768794</v>
      </c>
      <c r="BH130" s="20">
        <f t="shared" si="32"/>
        <v>8.579545454545455</v>
      </c>
      <c r="BJ130" s="23">
        <f>AVERAGE(BF130,BG130,BH130)</f>
        <v>8.5033937642319142</v>
      </c>
    </row>
    <row r="131" spans="1:62" x14ac:dyDescent="0.25">
      <c r="A131" s="12"/>
      <c r="B131" s="2" t="s">
        <v>15</v>
      </c>
      <c r="C131" s="2" t="s">
        <v>6</v>
      </c>
      <c r="D131" s="3">
        <v>20960</v>
      </c>
      <c r="E131" s="3">
        <v>14250</v>
      </c>
      <c r="F131" s="3">
        <v>16665</v>
      </c>
      <c r="G131" s="3">
        <v>18475</v>
      </c>
      <c r="H131" s="3">
        <v>20840</v>
      </c>
      <c r="I131" s="3">
        <v>25220</v>
      </c>
      <c r="J131" s="3">
        <v>25280</v>
      </c>
      <c r="K131" s="3">
        <v>28485</v>
      </c>
      <c r="L131" s="3">
        <v>27455</v>
      </c>
      <c r="M131" s="3">
        <v>27285</v>
      </c>
      <c r="N131" s="3">
        <v>29185</v>
      </c>
      <c r="O131" s="3">
        <v>32575</v>
      </c>
      <c r="P131" s="3">
        <v>35985</v>
      </c>
      <c r="Q131" s="3">
        <v>35225</v>
      </c>
      <c r="R131" s="3">
        <v>40865</v>
      </c>
      <c r="S131" s="3">
        <v>45310</v>
      </c>
      <c r="T131" s="3">
        <v>50385</v>
      </c>
      <c r="U131" s="3">
        <v>41075</v>
      </c>
      <c r="V131" s="3">
        <v>53840</v>
      </c>
      <c r="W131" s="3">
        <v>62730</v>
      </c>
      <c r="X131" s="3">
        <v>55210</v>
      </c>
      <c r="Y131" s="3">
        <v>59640</v>
      </c>
      <c r="Z131" s="3">
        <v>68470</v>
      </c>
      <c r="AA131" s="3">
        <v>81390</v>
      </c>
      <c r="AB131" s="3">
        <v>87815</v>
      </c>
      <c r="AC131" s="3">
        <v>85810</v>
      </c>
      <c r="AD131" s="3">
        <v>90040</v>
      </c>
      <c r="AE131" s="3">
        <v>87764</v>
      </c>
      <c r="AF131" s="3">
        <v>85432</v>
      </c>
      <c r="AG131" s="3">
        <v>90807</v>
      </c>
      <c r="AH131" s="3">
        <v>98229</v>
      </c>
      <c r="AI131" s="3">
        <v>96000</v>
      </c>
      <c r="AJ131" s="3">
        <v>101590</v>
      </c>
      <c r="AK131" s="3">
        <v>106390</v>
      </c>
      <c r="AL131" s="3">
        <v>99300</v>
      </c>
      <c r="AM131" s="3">
        <v>102215</v>
      </c>
      <c r="AN131" s="3">
        <v>110570</v>
      </c>
      <c r="AO131" s="3">
        <v>123289</v>
      </c>
      <c r="AP131" s="3">
        <v>109726</v>
      </c>
      <c r="AQ131" s="3">
        <v>113880</v>
      </c>
      <c r="AR131" s="3">
        <v>99640</v>
      </c>
      <c r="AS131" s="3">
        <v>93873</v>
      </c>
      <c r="AT131" s="3">
        <v>90290</v>
      </c>
      <c r="AU131" s="3">
        <v>86490</v>
      </c>
      <c r="AV131" s="3">
        <v>91952</v>
      </c>
      <c r="AW131" s="3">
        <v>97445</v>
      </c>
      <c r="AX131" s="3">
        <v>108466</v>
      </c>
      <c r="AY131" s="3">
        <v>109298</v>
      </c>
      <c r="AZ131" s="3">
        <v>112464</v>
      </c>
      <c r="BA131" s="3">
        <v>115120</v>
      </c>
      <c r="BB131" s="3">
        <v>114500</v>
      </c>
      <c r="BC131" s="13">
        <v>0</v>
      </c>
      <c r="BD131" s="20">
        <f t="shared" ref="BD131:BI134" si="33">AW131/AW571</f>
        <v>0.15738868358486666</v>
      </c>
      <c r="BE131" s="20">
        <f t="shared" si="33"/>
        <v>0.18191271155029828</v>
      </c>
      <c r="BF131" s="20">
        <f t="shared" si="33"/>
        <v>0.178563785033369</v>
      </c>
      <c r="BG131" s="20">
        <f t="shared" si="33"/>
        <v>0.16485729782025535</v>
      </c>
      <c r="BH131" s="20">
        <f t="shared" si="33"/>
        <v>0.16835159628374674</v>
      </c>
      <c r="BI131" s="20">
        <f t="shared" si="33"/>
        <v>0.17692113952665484</v>
      </c>
      <c r="BJ131" s="23">
        <f t="shared" si="14"/>
        <v>0.1700433445435523</v>
      </c>
    </row>
    <row r="132" spans="1:62" s="5" customFormat="1" x14ac:dyDescent="0.25">
      <c r="A132" s="14"/>
      <c r="B132" s="6"/>
      <c r="C132" s="6" t="s">
        <v>7</v>
      </c>
      <c r="D132" s="8">
        <v>1949</v>
      </c>
      <c r="E132" s="8">
        <v>4893</v>
      </c>
      <c r="F132" s="8">
        <v>4892</v>
      </c>
      <c r="G132" s="8">
        <v>5208</v>
      </c>
      <c r="H132" s="8">
        <v>5032</v>
      </c>
      <c r="I132" s="8">
        <v>6282</v>
      </c>
      <c r="J132" s="8">
        <v>5025</v>
      </c>
      <c r="K132" s="8">
        <v>4156</v>
      </c>
      <c r="L132" s="8">
        <v>3537</v>
      </c>
      <c r="M132" s="8">
        <v>5125</v>
      </c>
      <c r="N132" s="8">
        <v>3661</v>
      </c>
      <c r="O132" s="8">
        <v>2968</v>
      </c>
      <c r="P132" s="8">
        <v>5290</v>
      </c>
      <c r="Q132" s="8">
        <v>5645</v>
      </c>
      <c r="R132" s="8">
        <v>5746</v>
      </c>
      <c r="S132" s="8">
        <v>2200</v>
      </c>
      <c r="T132" s="8">
        <v>3158</v>
      </c>
      <c r="U132" s="8">
        <v>8600</v>
      </c>
      <c r="V132" s="8">
        <v>8047</v>
      </c>
      <c r="W132" s="8">
        <v>8865</v>
      </c>
      <c r="X132" s="8">
        <v>13789</v>
      </c>
      <c r="Y132" s="8">
        <v>13200</v>
      </c>
      <c r="Z132" s="8">
        <v>13000</v>
      </c>
      <c r="AA132" s="8">
        <v>9600</v>
      </c>
      <c r="AB132" s="8">
        <v>7400</v>
      </c>
      <c r="AC132" s="8">
        <v>6600</v>
      </c>
      <c r="AD132" s="8">
        <v>8817</v>
      </c>
      <c r="AE132" s="8">
        <v>15327</v>
      </c>
      <c r="AF132" s="8">
        <v>15384</v>
      </c>
      <c r="AG132" s="8">
        <v>12800</v>
      </c>
      <c r="AH132" s="8">
        <v>9409</v>
      </c>
      <c r="AI132" s="8">
        <v>15863</v>
      </c>
      <c r="AJ132" s="8">
        <v>6728</v>
      </c>
      <c r="AK132" s="8">
        <v>4320</v>
      </c>
      <c r="AL132" s="8">
        <v>10256</v>
      </c>
      <c r="AM132" s="8">
        <v>12531</v>
      </c>
      <c r="AN132" s="8">
        <v>2705</v>
      </c>
      <c r="AO132" s="8">
        <v>1916</v>
      </c>
      <c r="AP132" s="7">
        <v>829</v>
      </c>
      <c r="AQ132" s="8">
        <v>1010</v>
      </c>
      <c r="AR132" s="7">
        <v>195</v>
      </c>
      <c r="AS132" s="8">
        <v>1092</v>
      </c>
      <c r="AT132" s="7">
        <v>418</v>
      </c>
      <c r="AU132" s="8">
        <v>3749</v>
      </c>
      <c r="AV132" s="8">
        <v>6747</v>
      </c>
      <c r="AW132" s="8">
        <v>1018</v>
      </c>
      <c r="AX132" s="7">
        <v>388</v>
      </c>
      <c r="AY132" s="7">
        <v>49</v>
      </c>
      <c r="AZ132" s="7">
        <v>481</v>
      </c>
      <c r="BA132" s="8">
        <v>1394</v>
      </c>
      <c r="BB132" s="8">
        <v>1000</v>
      </c>
      <c r="BC132" s="15">
        <v>0</v>
      </c>
      <c r="BD132" s="21">
        <f t="shared" si="33"/>
        <v>9.1237441408175517E-3</v>
      </c>
      <c r="BE132" s="21">
        <f t="shared" si="33"/>
        <v>3.403269945968704E-3</v>
      </c>
      <c r="BF132" s="21">
        <f t="shared" si="33"/>
        <v>4.3056104740565003E-4</v>
      </c>
      <c r="BG132" s="21">
        <f t="shared" si="33"/>
        <v>3.5126667786435704E-3</v>
      </c>
      <c r="BH132" s="21">
        <f t="shared" si="33"/>
        <v>1.0445468509984639E-2</v>
      </c>
      <c r="BI132" s="21">
        <f t="shared" si="33"/>
        <v>8.1516865839542201E-3</v>
      </c>
      <c r="BJ132" s="23">
        <f t="shared" si="14"/>
        <v>7.3699406241941436E-3</v>
      </c>
    </row>
    <row r="133" spans="1:62" x14ac:dyDescent="0.25">
      <c r="A133" s="12"/>
      <c r="B133" s="2"/>
      <c r="C133" s="2" t="s">
        <v>8</v>
      </c>
      <c r="D133" s="4">
        <v>2</v>
      </c>
      <c r="E133" s="4">
        <v>122</v>
      </c>
      <c r="F133" s="4">
        <v>89</v>
      </c>
      <c r="G133" s="4">
        <v>113</v>
      </c>
      <c r="H133" s="4">
        <v>115</v>
      </c>
      <c r="I133" s="4">
        <v>4</v>
      </c>
      <c r="J133" s="4">
        <v>30</v>
      </c>
      <c r="K133" s="4">
        <v>13</v>
      </c>
      <c r="L133" s="4">
        <v>1</v>
      </c>
      <c r="M133" s="4">
        <v>1</v>
      </c>
      <c r="N133" s="4">
        <v>3</v>
      </c>
      <c r="O133" s="4">
        <v>5</v>
      </c>
      <c r="P133" s="4">
        <v>5</v>
      </c>
      <c r="Q133" s="4">
        <v>5</v>
      </c>
      <c r="R133" s="4">
        <v>5</v>
      </c>
      <c r="S133" s="4">
        <v>0</v>
      </c>
      <c r="T133" s="4">
        <v>0</v>
      </c>
      <c r="U133" s="4">
        <v>0</v>
      </c>
      <c r="V133" s="4">
        <v>0</v>
      </c>
      <c r="W133" s="4">
        <v>0</v>
      </c>
      <c r="X133" s="4">
        <v>0</v>
      </c>
      <c r="Y133" s="4">
        <v>0</v>
      </c>
      <c r="Z133" s="4">
        <v>0</v>
      </c>
      <c r="AA133" s="4">
        <v>0</v>
      </c>
      <c r="AB133" s="4">
        <v>0</v>
      </c>
      <c r="AC133" s="4">
        <v>0</v>
      </c>
      <c r="AD133" s="4">
        <v>7</v>
      </c>
      <c r="AE133" s="4">
        <v>7</v>
      </c>
      <c r="AF133" s="4">
        <v>8</v>
      </c>
      <c r="AG133" s="4">
        <v>8</v>
      </c>
      <c r="AH133" s="4">
        <v>8</v>
      </c>
      <c r="AI133" s="4">
        <v>10</v>
      </c>
      <c r="AJ133" s="4">
        <v>184</v>
      </c>
      <c r="AK133" s="4">
        <v>631</v>
      </c>
      <c r="AL133" s="4">
        <v>411</v>
      </c>
      <c r="AM133" s="4">
        <v>496</v>
      </c>
      <c r="AN133" s="4">
        <v>969</v>
      </c>
      <c r="AO133" s="3">
        <v>1162</v>
      </c>
      <c r="AP133" s="4">
        <v>542</v>
      </c>
      <c r="AQ133" s="4">
        <v>542</v>
      </c>
      <c r="AR133" s="4">
        <v>623</v>
      </c>
      <c r="AS133" s="3">
        <v>1512</v>
      </c>
      <c r="AT133" s="3">
        <v>1718</v>
      </c>
      <c r="AU133" s="3">
        <v>2824</v>
      </c>
      <c r="AV133" s="3">
        <v>1171</v>
      </c>
      <c r="AW133" s="3">
        <v>1397</v>
      </c>
      <c r="AX133" s="3">
        <v>2783</v>
      </c>
      <c r="AY133" s="3">
        <v>2835</v>
      </c>
      <c r="AZ133" s="4">
        <v>723</v>
      </c>
      <c r="BA133" s="4">
        <v>892</v>
      </c>
      <c r="BB133" s="3">
        <v>1000</v>
      </c>
      <c r="BC133" s="13">
        <v>0</v>
      </c>
      <c r="BD133" s="20">
        <f t="shared" si="33"/>
        <v>1.1941701927597555E-2</v>
      </c>
      <c r="BE133" s="20">
        <f t="shared" si="33"/>
        <v>2.4887100380058126E-2</v>
      </c>
      <c r="BF133" s="20">
        <f t="shared" si="33"/>
        <v>2.4172507290121246E-2</v>
      </c>
      <c r="BG133" s="20">
        <f t="shared" si="33"/>
        <v>5.0327161353195043E-3</v>
      </c>
      <c r="BH133" s="20">
        <f t="shared" si="33"/>
        <v>6.5684346948844266E-3</v>
      </c>
      <c r="BI133" s="20">
        <f t="shared" si="33"/>
        <v>8.0543183227687522E-3</v>
      </c>
      <c r="BJ133" s="23">
        <f t="shared" si="14"/>
        <v>6.5518230509908947E-3</v>
      </c>
    </row>
    <row r="134" spans="1:62" s="5" customFormat="1" x14ac:dyDescent="0.25">
      <c r="A134" s="14"/>
      <c r="B134" s="6"/>
      <c r="C134" s="6" t="s">
        <v>9</v>
      </c>
      <c r="D134" s="8">
        <v>23907</v>
      </c>
      <c r="E134" s="8">
        <v>20521</v>
      </c>
      <c r="F134" s="8">
        <v>19268</v>
      </c>
      <c r="G134" s="8">
        <v>23070</v>
      </c>
      <c r="H134" s="8">
        <v>26257</v>
      </c>
      <c r="I134" s="8">
        <v>30998</v>
      </c>
      <c r="J134" s="8">
        <v>30275</v>
      </c>
      <c r="K134" s="8">
        <v>29628</v>
      </c>
      <c r="L134" s="8">
        <v>30991</v>
      </c>
      <c r="M134" s="8">
        <v>32909</v>
      </c>
      <c r="N134" s="8">
        <v>32343</v>
      </c>
      <c r="O134" s="8">
        <v>33538</v>
      </c>
      <c r="P134" s="8">
        <v>37270</v>
      </c>
      <c r="Q134" s="8">
        <v>41365</v>
      </c>
      <c r="R134" s="8">
        <v>41606</v>
      </c>
      <c r="S134" s="8">
        <v>43510</v>
      </c>
      <c r="T134" s="8">
        <v>48543</v>
      </c>
      <c r="U134" s="8">
        <v>51675</v>
      </c>
      <c r="V134" s="8">
        <v>52887</v>
      </c>
      <c r="W134" s="8">
        <v>66595</v>
      </c>
      <c r="X134" s="8">
        <v>75999</v>
      </c>
      <c r="Y134" s="8">
        <v>78840</v>
      </c>
      <c r="Z134" s="8">
        <v>79470</v>
      </c>
      <c r="AA134" s="8">
        <v>82990</v>
      </c>
      <c r="AB134" s="8">
        <v>89105</v>
      </c>
      <c r="AC134" s="8">
        <v>95155</v>
      </c>
      <c r="AD134" s="8">
        <v>97265</v>
      </c>
      <c r="AE134" s="8">
        <v>99040</v>
      </c>
      <c r="AF134" s="8">
        <v>101826</v>
      </c>
      <c r="AG134" s="8">
        <v>102367</v>
      </c>
      <c r="AH134" s="8">
        <v>102598</v>
      </c>
      <c r="AI134" s="8">
        <v>105429</v>
      </c>
      <c r="AJ134" s="8">
        <v>104281</v>
      </c>
      <c r="AK134" s="8">
        <v>105343</v>
      </c>
      <c r="AL134" s="8">
        <v>105355</v>
      </c>
      <c r="AM134" s="8">
        <v>106499</v>
      </c>
      <c r="AN134" s="8">
        <v>107615</v>
      </c>
      <c r="AO134" s="8">
        <v>109056</v>
      </c>
      <c r="AP134" s="8">
        <v>108250</v>
      </c>
      <c r="AQ134" s="8">
        <v>109340</v>
      </c>
      <c r="AR134" s="8">
        <v>110278</v>
      </c>
      <c r="AS134" s="8">
        <v>108742</v>
      </c>
      <c r="AT134" s="8">
        <v>105200</v>
      </c>
      <c r="AU134" s="8">
        <v>104500</v>
      </c>
      <c r="AV134" s="8">
        <v>102000</v>
      </c>
      <c r="AW134" s="8">
        <v>101500</v>
      </c>
      <c r="AX134" s="8">
        <v>102000</v>
      </c>
      <c r="AY134" s="8">
        <v>106000</v>
      </c>
      <c r="AZ134" s="8">
        <v>105500</v>
      </c>
      <c r="BA134" s="8">
        <v>107000</v>
      </c>
      <c r="BB134" s="8">
        <v>109500</v>
      </c>
      <c r="BC134" s="15">
        <v>0</v>
      </c>
      <c r="BD134" s="21">
        <f t="shared" si="33"/>
        <v>0.16458756626068399</v>
      </c>
      <c r="BE134" s="21">
        <f t="shared" si="33"/>
        <v>0.16497059641722681</v>
      </c>
      <c r="BF134" s="21">
        <f t="shared" si="33"/>
        <v>0.17284111661883642</v>
      </c>
      <c r="BG134" s="21">
        <f t="shared" si="33"/>
        <v>0.16620585895345449</v>
      </c>
      <c r="BH134" s="21">
        <f t="shared" si="33"/>
        <v>0.16456247145148714</v>
      </c>
      <c r="BI134" s="21">
        <f t="shared" si="33"/>
        <v>0.1657147526991074</v>
      </c>
      <c r="BJ134" s="23">
        <f t="shared" si="14"/>
        <v>0.16549436103468304</v>
      </c>
    </row>
    <row r="135" spans="1:62" x14ac:dyDescent="0.25">
      <c r="A135" s="12" t="s">
        <v>20</v>
      </c>
      <c r="B135" s="2" t="s">
        <v>5</v>
      </c>
      <c r="C135" s="2" t="s">
        <v>6</v>
      </c>
      <c r="D135" s="3">
        <v>1691</v>
      </c>
      <c r="E135" s="3">
        <v>1617</v>
      </c>
      <c r="F135" s="3">
        <v>2004</v>
      </c>
      <c r="G135" s="3">
        <v>1867</v>
      </c>
      <c r="H135" s="3">
        <v>1934</v>
      </c>
      <c r="I135" s="3">
        <v>2141</v>
      </c>
      <c r="J135" s="3">
        <v>2376</v>
      </c>
      <c r="K135" s="3">
        <v>2167</v>
      </c>
      <c r="L135" s="3">
        <v>2300</v>
      </c>
      <c r="M135" s="3">
        <v>2368</v>
      </c>
      <c r="N135" s="3">
        <v>2397</v>
      </c>
      <c r="O135" s="3">
        <v>2342</v>
      </c>
      <c r="P135" s="3">
        <v>2417</v>
      </c>
      <c r="Q135" s="3">
        <v>2500</v>
      </c>
      <c r="R135" s="3">
        <v>2641</v>
      </c>
      <c r="S135" s="3">
        <v>2781</v>
      </c>
      <c r="T135" s="3">
        <v>2710</v>
      </c>
      <c r="U135" s="3">
        <v>2724</v>
      </c>
      <c r="V135" s="3">
        <v>3117</v>
      </c>
      <c r="W135" s="3">
        <v>2938</v>
      </c>
      <c r="X135" s="3">
        <v>3231</v>
      </c>
      <c r="Y135" s="3">
        <v>3232</v>
      </c>
      <c r="Z135" s="3">
        <v>3347</v>
      </c>
      <c r="AA135" s="3">
        <v>3509</v>
      </c>
      <c r="AB135" s="3">
        <v>3698</v>
      </c>
      <c r="AC135" s="3">
        <v>3699</v>
      </c>
      <c r="AD135" s="3">
        <v>3900</v>
      </c>
      <c r="AE135" s="3">
        <v>4087</v>
      </c>
      <c r="AF135" s="3">
        <v>4287</v>
      </c>
      <c r="AG135" s="3">
        <v>4524</v>
      </c>
      <c r="AH135" s="3">
        <v>4598</v>
      </c>
      <c r="AI135" s="3">
        <v>4431</v>
      </c>
      <c r="AJ135" s="3">
        <v>4500</v>
      </c>
      <c r="AK135" s="3">
        <v>4980</v>
      </c>
      <c r="AL135" s="3">
        <v>5650</v>
      </c>
      <c r="AM135" s="3">
        <v>5353</v>
      </c>
      <c r="AN135" s="3">
        <v>5825</v>
      </c>
      <c r="AO135" s="3">
        <v>6010</v>
      </c>
      <c r="AP135" s="3">
        <v>5605</v>
      </c>
      <c r="AQ135" s="3">
        <v>5678</v>
      </c>
      <c r="AR135" s="3">
        <v>5636</v>
      </c>
      <c r="AS135" s="3">
        <v>6160</v>
      </c>
      <c r="AT135" s="3">
        <v>6000</v>
      </c>
      <c r="AU135" s="3">
        <v>5740</v>
      </c>
      <c r="AV135" s="3">
        <v>5840</v>
      </c>
      <c r="AW135" s="3">
        <v>5932</v>
      </c>
      <c r="AX135" s="3">
        <v>6149</v>
      </c>
      <c r="AY135" s="3">
        <v>6174</v>
      </c>
      <c r="AZ135" s="3">
        <v>6645</v>
      </c>
      <c r="BA135" s="3">
        <v>6280</v>
      </c>
      <c r="BB135" s="3">
        <v>6500</v>
      </c>
      <c r="BC135" s="13">
        <v>0</v>
      </c>
      <c r="BD135" s="20">
        <f t="shared" ref="BD135:BI144" si="34">AW135/AW547</f>
        <v>8.4808523170797952E-3</v>
      </c>
      <c r="BE135" s="20">
        <f t="shared" si="34"/>
        <v>8.6172223927261614E-3</v>
      </c>
      <c r="BF135" s="20">
        <f t="shared" si="34"/>
        <v>7.7711989849862549E-3</v>
      </c>
      <c r="BG135" s="20">
        <f t="shared" si="34"/>
        <v>8.318478162899462E-3</v>
      </c>
      <c r="BH135" s="20">
        <f t="shared" si="34"/>
        <v>7.729925273286092E-3</v>
      </c>
      <c r="BI135" s="20">
        <f t="shared" si="34"/>
        <v>7.9760375290971984E-3</v>
      </c>
      <c r="BJ135" s="23">
        <f t="shared" si="14"/>
        <v>8.0081469884275835E-3</v>
      </c>
    </row>
    <row r="136" spans="1:62" s="5" customFormat="1" x14ac:dyDescent="0.25">
      <c r="A136" s="14"/>
      <c r="B136" s="6"/>
      <c r="C136" s="6" t="s">
        <v>7</v>
      </c>
      <c r="D136" s="7">
        <v>55</v>
      </c>
      <c r="E136" s="7">
        <v>416</v>
      </c>
      <c r="F136" s="7">
        <v>183</v>
      </c>
      <c r="G136" s="7">
        <v>436</v>
      </c>
      <c r="H136" s="7">
        <v>220</v>
      </c>
      <c r="I136" s="7">
        <v>237</v>
      </c>
      <c r="J136" s="7">
        <v>112</v>
      </c>
      <c r="K136" s="7">
        <v>269</v>
      </c>
      <c r="L136" s="7">
        <v>15</v>
      </c>
      <c r="M136" s="7">
        <v>64</v>
      </c>
      <c r="N136" s="7">
        <v>76</v>
      </c>
      <c r="O136" s="7">
        <v>48</v>
      </c>
      <c r="P136" s="7">
        <v>130</v>
      </c>
      <c r="Q136" s="7">
        <v>450</v>
      </c>
      <c r="R136" s="7">
        <v>465</v>
      </c>
      <c r="S136" s="7">
        <v>511</v>
      </c>
      <c r="T136" s="7">
        <v>644</v>
      </c>
      <c r="U136" s="7">
        <v>533</v>
      </c>
      <c r="V136" s="7">
        <v>806</v>
      </c>
      <c r="W136" s="7">
        <v>465</v>
      </c>
      <c r="X136" s="7">
        <v>984</v>
      </c>
      <c r="Y136" s="8">
        <v>1344</v>
      </c>
      <c r="Z136" s="8">
        <v>1215</v>
      </c>
      <c r="AA136" s="8">
        <v>1563</v>
      </c>
      <c r="AB136" s="8">
        <v>1722</v>
      </c>
      <c r="AC136" s="8">
        <v>1881</v>
      </c>
      <c r="AD136" s="8">
        <v>2035</v>
      </c>
      <c r="AE136" s="8">
        <v>1399</v>
      </c>
      <c r="AF136" s="8">
        <v>1255</v>
      </c>
      <c r="AG136" s="8">
        <v>1254</v>
      </c>
      <c r="AH136" s="8">
        <v>1943</v>
      </c>
      <c r="AI136" s="8">
        <v>1442</v>
      </c>
      <c r="AJ136" s="8">
        <v>1797</v>
      </c>
      <c r="AK136" s="8">
        <v>2095</v>
      </c>
      <c r="AL136" s="8">
        <v>2648</v>
      </c>
      <c r="AM136" s="8">
        <v>2257</v>
      </c>
      <c r="AN136" s="8">
        <v>3201</v>
      </c>
      <c r="AO136" s="8">
        <v>3245</v>
      </c>
      <c r="AP136" s="8">
        <v>3687</v>
      </c>
      <c r="AQ136" s="8">
        <v>4600</v>
      </c>
      <c r="AR136" s="8">
        <v>5268</v>
      </c>
      <c r="AS136" s="8">
        <v>4905</v>
      </c>
      <c r="AT136" s="8">
        <v>4848</v>
      </c>
      <c r="AU136" s="8">
        <v>3743</v>
      </c>
      <c r="AV136" s="8">
        <v>5398</v>
      </c>
      <c r="AW136" s="8">
        <v>4397</v>
      </c>
      <c r="AX136" s="8">
        <v>4826</v>
      </c>
      <c r="AY136" s="8">
        <v>4151</v>
      </c>
      <c r="AZ136" s="8">
        <v>5031</v>
      </c>
      <c r="BA136" s="8">
        <v>5832</v>
      </c>
      <c r="BB136" s="8">
        <v>5400</v>
      </c>
      <c r="BC136" s="15">
        <v>0</v>
      </c>
      <c r="BD136" s="21">
        <f t="shared" si="34"/>
        <v>5.4530347000024806E-2</v>
      </c>
      <c r="BE136" s="21">
        <f t="shared" si="34"/>
        <v>5.3282398922428073E-2</v>
      </c>
      <c r="BF136" s="21">
        <f t="shared" si="34"/>
        <v>4.2134859973405603E-2</v>
      </c>
      <c r="BG136" s="21">
        <f t="shared" si="34"/>
        <v>6.091757782701878E-2</v>
      </c>
      <c r="BH136" s="21">
        <f t="shared" si="34"/>
        <v>6.4913960063222101E-2</v>
      </c>
      <c r="BI136" s="21">
        <f t="shared" si="34"/>
        <v>5.8885750738798079E-2</v>
      </c>
      <c r="BJ136" s="23">
        <f t="shared" ref="BJ136:BJ201" si="35">AVERAGE(BH136,BI136,BG136)</f>
        <v>6.1572429543012987E-2</v>
      </c>
    </row>
    <row r="137" spans="1:62" x14ac:dyDescent="0.25">
      <c r="A137" s="12"/>
      <c r="B137" s="2"/>
      <c r="C137" s="2" t="s">
        <v>8</v>
      </c>
      <c r="D137" s="4">
        <v>1</v>
      </c>
      <c r="E137" s="4">
        <v>1</v>
      </c>
      <c r="F137" s="4">
        <v>2</v>
      </c>
      <c r="G137" s="4">
        <v>2</v>
      </c>
      <c r="H137" s="4">
        <v>0</v>
      </c>
      <c r="I137" s="4">
        <v>0</v>
      </c>
      <c r="J137" s="4">
        <v>2</v>
      </c>
      <c r="K137" s="4">
        <v>1</v>
      </c>
      <c r="L137" s="4">
        <v>0</v>
      </c>
      <c r="M137" s="4">
        <v>0</v>
      </c>
      <c r="N137" s="4">
        <v>0</v>
      </c>
      <c r="O137" s="4">
        <v>0</v>
      </c>
      <c r="P137" s="4">
        <v>0</v>
      </c>
      <c r="Q137" s="4">
        <v>0</v>
      </c>
      <c r="R137" s="4">
        <v>0</v>
      </c>
      <c r="S137" s="4">
        <v>0</v>
      </c>
      <c r="T137" s="4">
        <v>0</v>
      </c>
      <c r="U137" s="4">
        <v>0</v>
      </c>
      <c r="V137" s="4">
        <v>0</v>
      </c>
      <c r="W137" s="4">
        <v>0</v>
      </c>
      <c r="X137" s="4">
        <v>0</v>
      </c>
      <c r="Y137" s="4">
        <v>0</v>
      </c>
      <c r="Z137" s="4">
        <v>0</v>
      </c>
      <c r="AA137" s="4">
        <v>0</v>
      </c>
      <c r="AB137" s="4">
        <v>0</v>
      </c>
      <c r="AC137" s="4">
        <v>0</v>
      </c>
      <c r="AD137" s="4">
        <v>0</v>
      </c>
      <c r="AE137" s="4">
        <v>0</v>
      </c>
      <c r="AF137" s="4">
        <v>0</v>
      </c>
      <c r="AG137" s="4">
        <v>0</v>
      </c>
      <c r="AH137" s="4">
        <v>0</v>
      </c>
      <c r="AI137" s="4">
        <v>0</v>
      </c>
      <c r="AJ137" s="4">
        <v>0</v>
      </c>
      <c r="AK137" s="4">
        <v>0</v>
      </c>
      <c r="AL137" s="4">
        <v>0</v>
      </c>
      <c r="AM137" s="4">
        <v>0</v>
      </c>
      <c r="AN137" s="4">
        <v>0</v>
      </c>
      <c r="AO137" s="4">
        <v>0</v>
      </c>
      <c r="AP137" s="4">
        <v>0</v>
      </c>
      <c r="AQ137" s="4">
        <v>0</v>
      </c>
      <c r="AR137" s="4">
        <v>0</v>
      </c>
      <c r="AS137" s="4">
        <v>0</v>
      </c>
      <c r="AT137" s="4">
        <v>0</v>
      </c>
      <c r="AU137" s="4">
        <v>0</v>
      </c>
      <c r="AV137" s="4">
        <v>0</v>
      </c>
      <c r="AW137" s="4">
        <v>4</v>
      </c>
      <c r="AX137" s="4">
        <v>4</v>
      </c>
      <c r="AY137" s="4">
        <v>11</v>
      </c>
      <c r="AZ137" s="4">
        <v>7</v>
      </c>
      <c r="BA137" s="4">
        <v>17</v>
      </c>
      <c r="BB137" s="4">
        <v>10</v>
      </c>
      <c r="BC137" s="13">
        <v>0</v>
      </c>
      <c r="BD137" s="20">
        <f t="shared" si="34"/>
        <v>4.933885928557332E-5</v>
      </c>
      <c r="BE137" s="20">
        <f t="shared" si="34"/>
        <v>4.2527403595691977E-5</v>
      </c>
      <c r="BF137" s="20">
        <f t="shared" si="34"/>
        <v>1.1152567118176656E-4</v>
      </c>
      <c r="BG137" s="20">
        <f t="shared" si="34"/>
        <v>8.2872601134170737E-5</v>
      </c>
      <c r="BH137" s="20">
        <f t="shared" si="34"/>
        <v>1.7528845261540683E-4</v>
      </c>
      <c r="BI137" s="20">
        <f t="shared" si="34"/>
        <v>1.1013579743824135E-4</v>
      </c>
      <c r="BJ137" s="23">
        <f t="shared" si="35"/>
        <v>1.2276561706260633E-4</v>
      </c>
    </row>
    <row r="138" spans="1:62" s="5" customFormat="1" x14ac:dyDescent="0.25">
      <c r="A138" s="14"/>
      <c r="B138" s="6"/>
      <c r="C138" s="6" t="s">
        <v>9</v>
      </c>
      <c r="D138" s="8">
        <v>1745</v>
      </c>
      <c r="E138" s="8">
        <v>2032</v>
      </c>
      <c r="F138" s="8">
        <v>2185</v>
      </c>
      <c r="G138" s="8">
        <v>2301</v>
      </c>
      <c r="H138" s="8">
        <v>2154</v>
      </c>
      <c r="I138" s="8">
        <v>2378</v>
      </c>
      <c r="J138" s="8">
        <v>2486</v>
      </c>
      <c r="K138" s="8">
        <v>2435</v>
      </c>
      <c r="L138" s="8">
        <v>2315</v>
      </c>
      <c r="M138" s="8">
        <v>2432</v>
      </c>
      <c r="N138" s="8">
        <v>2473</v>
      </c>
      <c r="O138" s="8">
        <v>2390</v>
      </c>
      <c r="P138" s="8">
        <v>2547</v>
      </c>
      <c r="Q138" s="8">
        <v>1450</v>
      </c>
      <c r="R138" s="8">
        <v>2929</v>
      </c>
      <c r="S138" s="8">
        <v>3248</v>
      </c>
      <c r="T138" s="8">
        <v>3480</v>
      </c>
      <c r="U138" s="8">
        <v>3335</v>
      </c>
      <c r="V138" s="8">
        <v>3659</v>
      </c>
      <c r="W138" s="8">
        <v>3732</v>
      </c>
      <c r="X138" s="8">
        <v>4100</v>
      </c>
      <c r="Y138" s="8">
        <v>4400</v>
      </c>
      <c r="Z138" s="8">
        <v>5100</v>
      </c>
      <c r="AA138" s="8">
        <v>5400</v>
      </c>
      <c r="AB138" s="8">
        <v>6247</v>
      </c>
      <c r="AC138" s="8">
        <v>5580</v>
      </c>
      <c r="AD138" s="8">
        <v>5985</v>
      </c>
      <c r="AE138" s="8">
        <v>5486</v>
      </c>
      <c r="AF138" s="8">
        <v>5542</v>
      </c>
      <c r="AG138" s="8">
        <v>5778</v>
      </c>
      <c r="AH138" s="8">
        <v>6541</v>
      </c>
      <c r="AI138" s="8">
        <v>5873</v>
      </c>
      <c r="AJ138" s="8">
        <v>6297</v>
      </c>
      <c r="AK138" s="8">
        <v>6875</v>
      </c>
      <c r="AL138" s="8">
        <v>7998</v>
      </c>
      <c r="AM138" s="8">
        <v>7810</v>
      </c>
      <c r="AN138" s="8">
        <v>9026</v>
      </c>
      <c r="AO138" s="8">
        <v>9255</v>
      </c>
      <c r="AP138" s="8">
        <v>9292</v>
      </c>
      <c r="AQ138" s="8">
        <v>10200</v>
      </c>
      <c r="AR138" s="8">
        <v>10900</v>
      </c>
      <c r="AS138" s="8">
        <v>11200</v>
      </c>
      <c r="AT138" s="8">
        <v>10900</v>
      </c>
      <c r="AU138" s="8">
        <v>9200</v>
      </c>
      <c r="AV138" s="8">
        <v>11300</v>
      </c>
      <c r="AW138" s="8">
        <v>10100</v>
      </c>
      <c r="AX138" s="8">
        <v>10700</v>
      </c>
      <c r="AY138" s="8">
        <v>10400</v>
      </c>
      <c r="AZ138" s="8">
        <v>11100</v>
      </c>
      <c r="BA138" s="8">
        <v>12000</v>
      </c>
      <c r="BB138" s="8">
        <v>12100</v>
      </c>
      <c r="BC138" s="15">
        <v>0</v>
      </c>
      <c r="BD138" s="21">
        <f t="shared" si="34"/>
        <v>1.4306496140787254E-2</v>
      </c>
      <c r="BE138" s="21">
        <f t="shared" si="34"/>
        <v>1.4764485754341035E-2</v>
      </c>
      <c r="BF138" s="21">
        <f t="shared" si="34"/>
        <v>1.3467228664478243E-2</v>
      </c>
      <c r="BG138" s="21">
        <f t="shared" si="34"/>
        <v>1.4228124258951862E-2</v>
      </c>
      <c r="BH138" s="21">
        <f t="shared" si="34"/>
        <v>1.4841327655700986E-2</v>
      </c>
      <c r="BI138" s="21">
        <f t="shared" si="34"/>
        <v>1.4418098646009464E-2</v>
      </c>
      <c r="BJ138" s="23">
        <f t="shared" si="35"/>
        <v>1.4495850186887435E-2</v>
      </c>
    </row>
    <row r="139" spans="1:62" x14ac:dyDescent="0.25">
      <c r="A139" s="12"/>
      <c r="B139" s="2" t="s">
        <v>10</v>
      </c>
      <c r="C139" s="2" t="s">
        <v>6</v>
      </c>
      <c r="D139" s="3">
        <v>2196</v>
      </c>
      <c r="E139" s="3">
        <v>1542</v>
      </c>
      <c r="F139" s="3">
        <v>2100</v>
      </c>
      <c r="G139" s="3">
        <v>2029</v>
      </c>
      <c r="H139" s="3">
        <v>2315</v>
      </c>
      <c r="I139" s="3">
        <v>2392</v>
      </c>
      <c r="J139" s="3">
        <v>2089</v>
      </c>
      <c r="K139" s="3">
        <v>2006</v>
      </c>
      <c r="L139" s="3">
        <v>2005</v>
      </c>
      <c r="M139" s="3">
        <v>2487</v>
      </c>
      <c r="N139" s="3">
        <v>2336</v>
      </c>
      <c r="O139" s="3">
        <v>2341</v>
      </c>
      <c r="P139" s="3">
        <v>2359</v>
      </c>
      <c r="Q139" s="3">
        <v>2249</v>
      </c>
      <c r="R139" s="3">
        <v>2010</v>
      </c>
      <c r="S139" s="3">
        <v>1755</v>
      </c>
      <c r="T139" s="3">
        <v>1820</v>
      </c>
      <c r="U139" s="3">
        <v>1831</v>
      </c>
      <c r="V139" s="3">
        <v>2013</v>
      </c>
      <c r="W139" s="3">
        <v>2221</v>
      </c>
      <c r="X139" s="3">
        <v>2428</v>
      </c>
      <c r="Y139" s="3">
        <v>2292</v>
      </c>
      <c r="Z139" s="3">
        <v>2117</v>
      </c>
      <c r="AA139" s="3">
        <v>1934</v>
      </c>
      <c r="AB139" s="3">
        <v>1840</v>
      </c>
      <c r="AC139" s="3">
        <v>1999</v>
      </c>
      <c r="AD139" s="3">
        <v>1850</v>
      </c>
      <c r="AE139" s="3">
        <v>1614</v>
      </c>
      <c r="AF139" s="3">
        <v>1405</v>
      </c>
      <c r="AG139" s="3">
        <v>1324</v>
      </c>
      <c r="AH139" s="3">
        <v>1378</v>
      </c>
      <c r="AI139" s="3">
        <v>1338</v>
      </c>
      <c r="AJ139" s="3">
        <v>1620</v>
      </c>
      <c r="AK139" s="3">
        <v>1909</v>
      </c>
      <c r="AL139" s="3">
        <v>1170</v>
      </c>
      <c r="AM139" s="3">
        <v>1088</v>
      </c>
      <c r="AN139" s="3">
        <v>1568</v>
      </c>
      <c r="AO139" s="3">
        <v>1532</v>
      </c>
      <c r="AP139" s="3">
        <v>1055</v>
      </c>
      <c r="AQ139" s="3">
        <v>1068</v>
      </c>
      <c r="AR139" s="4">
        <v>965</v>
      </c>
      <c r="AS139" s="3">
        <v>1454</v>
      </c>
      <c r="AT139" s="3">
        <v>1331</v>
      </c>
      <c r="AU139" s="4">
        <v>920</v>
      </c>
      <c r="AV139" s="3">
        <v>1356</v>
      </c>
      <c r="AW139" s="4">
        <v>938</v>
      </c>
      <c r="AX139" s="4">
        <v>975</v>
      </c>
      <c r="AY139" s="4">
        <v>970</v>
      </c>
      <c r="AZ139" s="4">
        <v>483</v>
      </c>
      <c r="BA139" s="4">
        <v>432</v>
      </c>
      <c r="BB139" s="4">
        <v>600</v>
      </c>
      <c r="BC139" s="13">
        <v>0</v>
      </c>
      <c r="BD139" s="20">
        <f t="shared" si="34"/>
        <v>8.0561352881056061E-3</v>
      </c>
      <c r="BE139" s="20">
        <f t="shared" si="34"/>
        <v>8.0041375233967094E-3</v>
      </c>
      <c r="BF139" s="20">
        <f t="shared" si="34"/>
        <v>8.1047433637191583E-3</v>
      </c>
      <c r="BG139" s="20">
        <f t="shared" si="34"/>
        <v>4.5097197064480586E-3</v>
      </c>
      <c r="BH139" s="20">
        <f t="shared" si="34"/>
        <v>4.2627091885064734E-3</v>
      </c>
      <c r="BI139" s="20">
        <f t="shared" si="34"/>
        <v>5.2386648389547118E-3</v>
      </c>
      <c r="BJ139" s="23">
        <f t="shared" si="35"/>
        <v>4.6703645779697482E-3</v>
      </c>
    </row>
    <row r="140" spans="1:62" s="5" customFormat="1" x14ac:dyDescent="0.25">
      <c r="A140" s="14"/>
      <c r="B140" s="6"/>
      <c r="C140" s="6" t="s">
        <v>7</v>
      </c>
      <c r="D140" s="7">
        <v>0</v>
      </c>
      <c r="E140" s="7">
        <v>0</v>
      </c>
      <c r="F140" s="7">
        <v>0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7">
        <v>0</v>
      </c>
      <c r="R140" s="7">
        <v>0</v>
      </c>
      <c r="S140" s="7">
        <v>18</v>
      </c>
      <c r="T140" s="7">
        <v>110</v>
      </c>
      <c r="U140" s="7">
        <v>72</v>
      </c>
      <c r="V140" s="7">
        <v>134</v>
      </c>
      <c r="W140" s="7">
        <v>0</v>
      </c>
      <c r="X140" s="7">
        <v>0</v>
      </c>
      <c r="Y140" s="7">
        <v>0</v>
      </c>
      <c r="Z140" s="7">
        <v>0</v>
      </c>
      <c r="AA140" s="7">
        <v>0</v>
      </c>
      <c r="AB140" s="7">
        <v>158</v>
      </c>
      <c r="AC140" s="7">
        <v>170</v>
      </c>
      <c r="AD140" s="7">
        <v>176</v>
      </c>
      <c r="AE140" s="7">
        <v>184</v>
      </c>
      <c r="AF140" s="7">
        <v>117</v>
      </c>
      <c r="AG140" s="7">
        <v>242</v>
      </c>
      <c r="AH140" s="7">
        <v>244</v>
      </c>
      <c r="AI140" s="7">
        <v>340</v>
      </c>
      <c r="AJ140" s="7">
        <v>170</v>
      </c>
      <c r="AK140" s="7">
        <v>60</v>
      </c>
      <c r="AL140" s="7">
        <v>207</v>
      </c>
      <c r="AM140" s="7">
        <v>92</v>
      </c>
      <c r="AN140" s="7">
        <v>21</v>
      </c>
      <c r="AO140" s="7">
        <v>18</v>
      </c>
      <c r="AP140" s="7">
        <v>10</v>
      </c>
      <c r="AQ140" s="7">
        <v>130</v>
      </c>
      <c r="AR140" s="7">
        <v>130</v>
      </c>
      <c r="AS140" s="7">
        <v>130</v>
      </c>
      <c r="AT140" s="7">
        <v>150</v>
      </c>
      <c r="AU140" s="7">
        <v>375</v>
      </c>
      <c r="AV140" s="7">
        <v>400</v>
      </c>
      <c r="AW140" s="7">
        <v>525</v>
      </c>
      <c r="AX140" s="7">
        <v>500</v>
      </c>
      <c r="AY140" s="7">
        <v>390</v>
      </c>
      <c r="AZ140" s="7">
        <v>425</v>
      </c>
      <c r="BA140" s="7">
        <v>550</v>
      </c>
      <c r="BB140" s="7">
        <v>450</v>
      </c>
      <c r="BC140" s="15">
        <v>0</v>
      </c>
      <c r="BD140" s="21">
        <f t="shared" si="34"/>
        <v>1.1726340711621363E-2</v>
      </c>
      <c r="BE140" s="21">
        <f t="shared" si="34"/>
        <v>1.3147860843040838E-2</v>
      </c>
      <c r="BF140" s="21">
        <f t="shared" si="34"/>
        <v>1.0010523884083267E-2</v>
      </c>
      <c r="BG140" s="21">
        <f t="shared" si="34"/>
        <v>1.4099459244268985E-2</v>
      </c>
      <c r="BH140" s="21">
        <f t="shared" si="34"/>
        <v>1.5208494635549165E-2</v>
      </c>
      <c r="BI140" s="21">
        <f t="shared" si="34"/>
        <v>1.1802349979018044E-2</v>
      </c>
      <c r="BJ140" s="23">
        <f t="shared" si="35"/>
        <v>1.3703434619612065E-2</v>
      </c>
    </row>
    <row r="141" spans="1:62" x14ac:dyDescent="0.25">
      <c r="A141" s="12"/>
      <c r="B141" s="2"/>
      <c r="C141" s="2" t="s">
        <v>8</v>
      </c>
      <c r="D141" s="3">
        <v>1582</v>
      </c>
      <c r="E141" s="3">
        <v>1121</v>
      </c>
      <c r="F141" s="3">
        <v>1361</v>
      </c>
      <c r="G141" s="3">
        <v>1372</v>
      </c>
      <c r="H141" s="3">
        <v>1558</v>
      </c>
      <c r="I141" s="3">
        <v>1575</v>
      </c>
      <c r="J141" s="3">
        <v>1428</v>
      </c>
      <c r="K141" s="3">
        <v>1171</v>
      </c>
      <c r="L141" s="3">
        <v>1087</v>
      </c>
      <c r="M141" s="3">
        <v>1463</v>
      </c>
      <c r="N141" s="3">
        <v>1397</v>
      </c>
      <c r="O141" s="3">
        <v>1366</v>
      </c>
      <c r="P141" s="3">
        <v>1387</v>
      </c>
      <c r="Q141" s="3">
        <v>1199</v>
      </c>
      <c r="R141" s="4">
        <v>878</v>
      </c>
      <c r="S141" s="4">
        <v>775</v>
      </c>
      <c r="T141" s="4">
        <v>606</v>
      </c>
      <c r="U141" s="4">
        <v>686</v>
      </c>
      <c r="V141" s="4">
        <v>690</v>
      </c>
      <c r="W141" s="4">
        <v>876</v>
      </c>
      <c r="X141" s="4">
        <v>749</v>
      </c>
      <c r="Y141" s="4">
        <v>898</v>
      </c>
      <c r="Z141" s="4">
        <v>920</v>
      </c>
      <c r="AA141" s="4">
        <v>780</v>
      </c>
      <c r="AB141" s="4">
        <v>560</v>
      </c>
      <c r="AC141" s="4">
        <v>837</v>
      </c>
      <c r="AD141" s="4">
        <v>586</v>
      </c>
      <c r="AE141" s="4">
        <v>436</v>
      </c>
      <c r="AF141" s="4">
        <v>294</v>
      </c>
      <c r="AG141" s="4">
        <v>211</v>
      </c>
      <c r="AH141" s="4">
        <v>90</v>
      </c>
      <c r="AI141" s="4">
        <v>90</v>
      </c>
      <c r="AJ141" s="4">
        <v>85</v>
      </c>
      <c r="AK141" s="4">
        <v>525</v>
      </c>
      <c r="AL141" s="4">
        <v>307</v>
      </c>
      <c r="AM141" s="4">
        <v>87</v>
      </c>
      <c r="AN141" s="4">
        <v>211</v>
      </c>
      <c r="AO141" s="4">
        <v>322</v>
      </c>
      <c r="AP141" s="4">
        <v>450</v>
      </c>
      <c r="AQ141" s="4">
        <v>455</v>
      </c>
      <c r="AR141" s="4">
        <v>300</v>
      </c>
      <c r="AS141" s="4">
        <v>490</v>
      </c>
      <c r="AT141" s="4">
        <v>825</v>
      </c>
      <c r="AU141" s="4">
        <v>325</v>
      </c>
      <c r="AV141" s="4">
        <v>660</v>
      </c>
      <c r="AW141" s="4">
        <v>435</v>
      </c>
      <c r="AX141" s="4">
        <v>370</v>
      </c>
      <c r="AY141" s="4">
        <v>619</v>
      </c>
      <c r="AZ141" s="4">
        <v>100</v>
      </c>
      <c r="BA141" s="4">
        <v>350</v>
      </c>
      <c r="BB141" s="4">
        <v>275</v>
      </c>
      <c r="BC141" s="13">
        <v>0</v>
      </c>
      <c r="BD141" s="20">
        <f t="shared" si="34"/>
        <v>9.6981317162348948E-3</v>
      </c>
      <c r="BE141" s="20">
        <f t="shared" si="34"/>
        <v>9.8729853773081439E-3</v>
      </c>
      <c r="BF141" s="20">
        <f t="shared" si="34"/>
        <v>1.5869760287142674E-2</v>
      </c>
      <c r="BG141" s="20">
        <f t="shared" si="34"/>
        <v>3.3261267254282387E-3</v>
      </c>
      <c r="BH141" s="20">
        <f t="shared" si="34"/>
        <v>9.8369870713884196E-3</v>
      </c>
      <c r="BI141" s="20">
        <f t="shared" si="34"/>
        <v>7.2121688958825076E-3</v>
      </c>
      <c r="BJ141" s="23">
        <f t="shared" si="35"/>
        <v>6.7917608975663875E-3</v>
      </c>
    </row>
    <row r="142" spans="1:62" s="5" customFormat="1" x14ac:dyDescent="0.25">
      <c r="A142" s="14"/>
      <c r="B142" s="6"/>
      <c r="C142" s="6" t="s">
        <v>9</v>
      </c>
      <c r="D142" s="7">
        <v>574</v>
      </c>
      <c r="E142" s="7">
        <v>645</v>
      </c>
      <c r="F142" s="7">
        <v>639</v>
      </c>
      <c r="G142" s="7">
        <v>647</v>
      </c>
      <c r="H142" s="7">
        <v>717</v>
      </c>
      <c r="I142" s="7">
        <v>788</v>
      </c>
      <c r="J142" s="7">
        <v>835</v>
      </c>
      <c r="K142" s="7">
        <v>850</v>
      </c>
      <c r="L142" s="7">
        <v>848</v>
      </c>
      <c r="M142" s="7">
        <v>885</v>
      </c>
      <c r="N142" s="7">
        <v>969</v>
      </c>
      <c r="O142" s="7">
        <v>985</v>
      </c>
      <c r="P142" s="7">
        <v>997</v>
      </c>
      <c r="Q142" s="8">
        <v>1035</v>
      </c>
      <c r="R142" s="8">
        <v>1022</v>
      </c>
      <c r="S142" s="8">
        <v>1090</v>
      </c>
      <c r="T142" s="8">
        <v>1170</v>
      </c>
      <c r="U142" s="8">
        <v>1305</v>
      </c>
      <c r="V142" s="8">
        <v>1350</v>
      </c>
      <c r="W142" s="8">
        <v>1300</v>
      </c>
      <c r="X142" s="8">
        <v>1662</v>
      </c>
      <c r="Y142" s="8">
        <v>1395</v>
      </c>
      <c r="Z142" s="8">
        <v>1245</v>
      </c>
      <c r="AA142" s="8">
        <v>1255</v>
      </c>
      <c r="AB142" s="8">
        <v>1553</v>
      </c>
      <c r="AC142" s="8">
        <v>1440</v>
      </c>
      <c r="AD142" s="8">
        <v>1427</v>
      </c>
      <c r="AE142" s="8">
        <v>1403</v>
      </c>
      <c r="AF142" s="8">
        <v>1317</v>
      </c>
      <c r="AG142" s="8">
        <v>1427</v>
      </c>
      <c r="AH142" s="8">
        <v>1532</v>
      </c>
      <c r="AI142" s="8">
        <v>1486</v>
      </c>
      <c r="AJ142" s="8">
        <v>1664</v>
      </c>
      <c r="AK142" s="8">
        <v>1366</v>
      </c>
      <c r="AL142" s="8">
        <v>1165</v>
      </c>
      <c r="AM142" s="8">
        <v>1033</v>
      </c>
      <c r="AN142" s="7">
        <v>942</v>
      </c>
      <c r="AO142" s="8">
        <v>1056</v>
      </c>
      <c r="AP142" s="7">
        <v>973</v>
      </c>
      <c r="AQ142" s="7">
        <v>823</v>
      </c>
      <c r="AR142" s="7">
        <v>773</v>
      </c>
      <c r="AS142" s="7">
        <v>798</v>
      </c>
      <c r="AT142" s="7">
        <v>913</v>
      </c>
      <c r="AU142" s="7">
        <v>913</v>
      </c>
      <c r="AV142" s="7">
        <v>963</v>
      </c>
      <c r="AW142" s="8">
        <v>1013</v>
      </c>
      <c r="AX142" s="8">
        <v>1013</v>
      </c>
      <c r="AY142" s="7">
        <v>963</v>
      </c>
      <c r="AZ142" s="7">
        <v>938</v>
      </c>
      <c r="BA142" s="7">
        <v>863</v>
      </c>
      <c r="BB142" s="7">
        <v>813</v>
      </c>
      <c r="BC142" s="15">
        <v>0</v>
      </c>
      <c r="BD142" s="21">
        <f t="shared" si="34"/>
        <v>8.8057859142196496E-3</v>
      </c>
      <c r="BE142" s="21">
        <f t="shared" si="34"/>
        <v>8.3042316331382298E-3</v>
      </c>
      <c r="BF142" s="21">
        <f t="shared" si="34"/>
        <v>7.9471838250464201E-3</v>
      </c>
      <c r="BG142" s="21">
        <f t="shared" si="34"/>
        <v>8.7344377089327782E-3</v>
      </c>
      <c r="BH142" s="21">
        <f t="shared" si="34"/>
        <v>7.2857130796700744E-3</v>
      </c>
      <c r="BI142" s="21">
        <f t="shared" si="34"/>
        <v>6.9503218691492905E-3</v>
      </c>
      <c r="BJ142" s="23">
        <f t="shared" si="35"/>
        <v>7.6568242192507144E-3</v>
      </c>
    </row>
    <row r="143" spans="1:62" x14ac:dyDescent="0.25">
      <c r="A143" s="12"/>
      <c r="B143" s="2" t="s">
        <v>11</v>
      </c>
      <c r="C143" s="2" t="s">
        <v>6</v>
      </c>
      <c r="D143" s="4">
        <v>0</v>
      </c>
      <c r="E143" s="4">
        <v>0</v>
      </c>
      <c r="F143" s="4">
        <v>0</v>
      </c>
      <c r="G143" s="4">
        <v>0</v>
      </c>
      <c r="H143" s="4">
        <v>0</v>
      </c>
      <c r="I143" s="4">
        <v>0</v>
      </c>
      <c r="J143" s="4">
        <v>0</v>
      </c>
      <c r="K143" s="4">
        <v>0</v>
      </c>
      <c r="L143" s="4">
        <v>1</v>
      </c>
      <c r="M143" s="4">
        <v>1</v>
      </c>
      <c r="N143" s="4">
        <v>1</v>
      </c>
      <c r="O143" s="4">
        <v>1</v>
      </c>
      <c r="P143" s="4">
        <v>1</v>
      </c>
      <c r="Q143" s="4">
        <v>2</v>
      </c>
      <c r="R143" s="4">
        <v>2</v>
      </c>
      <c r="S143" s="4">
        <v>5</v>
      </c>
      <c r="T143" s="4">
        <v>11</v>
      </c>
      <c r="U143" s="4">
        <v>27</v>
      </c>
      <c r="V143" s="4">
        <v>79</v>
      </c>
      <c r="W143" s="4">
        <v>106</v>
      </c>
      <c r="X143" s="4">
        <v>92</v>
      </c>
      <c r="Y143" s="4">
        <v>130</v>
      </c>
      <c r="Z143" s="4">
        <v>166</v>
      </c>
      <c r="AA143" s="4">
        <v>162</v>
      </c>
      <c r="AB143" s="4">
        <v>143</v>
      </c>
      <c r="AC143" s="4">
        <v>133</v>
      </c>
      <c r="AD143" s="4">
        <v>140</v>
      </c>
      <c r="AE143" s="4">
        <v>140</v>
      </c>
      <c r="AF143" s="4">
        <v>130</v>
      </c>
      <c r="AG143" s="4">
        <v>91</v>
      </c>
      <c r="AH143" s="4">
        <v>106</v>
      </c>
      <c r="AI143" s="4">
        <v>120</v>
      </c>
      <c r="AJ143" s="4">
        <v>59</v>
      </c>
      <c r="AK143" s="4">
        <v>50</v>
      </c>
      <c r="AL143" s="4">
        <v>67</v>
      </c>
      <c r="AM143" s="4">
        <v>64</v>
      </c>
      <c r="AN143" s="4">
        <v>39</v>
      </c>
      <c r="AO143" s="4">
        <v>35</v>
      </c>
      <c r="AP143" s="4">
        <v>47</v>
      </c>
      <c r="AQ143" s="4">
        <v>19</v>
      </c>
      <c r="AR143" s="4">
        <v>16</v>
      </c>
      <c r="AS143" s="4">
        <v>10</v>
      </c>
      <c r="AT143" s="4">
        <v>8</v>
      </c>
      <c r="AU143" s="4">
        <v>18</v>
      </c>
      <c r="AV143" s="4">
        <v>34</v>
      </c>
      <c r="AW143" s="4">
        <v>36</v>
      </c>
      <c r="AX143" s="4">
        <v>32</v>
      </c>
      <c r="AY143" s="4">
        <v>32</v>
      </c>
      <c r="AZ143" s="4">
        <v>32</v>
      </c>
      <c r="BA143" s="4">
        <v>32</v>
      </c>
      <c r="BB143" s="4">
        <v>32</v>
      </c>
      <c r="BC143" s="13">
        <v>0</v>
      </c>
      <c r="BD143" s="20">
        <f t="shared" si="34"/>
        <v>1.6314322615729727E-4</v>
      </c>
      <c r="BE143" s="20">
        <f t="shared" si="34"/>
        <v>1.3545948279876225E-4</v>
      </c>
      <c r="BF143" s="20">
        <f t="shared" si="34"/>
        <v>1.4519056261343014E-4</v>
      </c>
      <c r="BG143" s="20">
        <f t="shared" si="34"/>
        <v>1.5097757982939533E-4</v>
      </c>
      <c r="BH143" s="20">
        <f t="shared" si="34"/>
        <v>1.2297192397260799E-4</v>
      </c>
      <c r="BI143" s="20">
        <f t="shared" si="34"/>
        <v>1.2261851846175067E-4</v>
      </c>
      <c r="BJ143" s="23">
        <f t="shared" si="35"/>
        <v>1.3218934075458466E-4</v>
      </c>
    </row>
    <row r="144" spans="1:62" s="5" customFormat="1" x14ac:dyDescent="0.25">
      <c r="A144" s="14"/>
      <c r="B144" s="6"/>
      <c r="C144" s="6" t="s">
        <v>7</v>
      </c>
      <c r="D144" s="7">
        <v>0</v>
      </c>
      <c r="E144" s="7">
        <v>0</v>
      </c>
      <c r="F144" s="7">
        <v>0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7">
        <v>0</v>
      </c>
      <c r="R144" s="7">
        <v>0</v>
      </c>
      <c r="S144" s="7">
        <v>35</v>
      </c>
      <c r="T144" s="7">
        <v>21</v>
      </c>
      <c r="U144" s="7">
        <v>41</v>
      </c>
      <c r="V144" s="7">
        <v>38</v>
      </c>
      <c r="W144" s="7">
        <v>18</v>
      </c>
      <c r="X144" s="7">
        <v>18</v>
      </c>
      <c r="Y144" s="7">
        <v>53</v>
      </c>
      <c r="Z144" s="7">
        <v>60</v>
      </c>
      <c r="AA144" s="7">
        <v>60</v>
      </c>
      <c r="AB144" s="7">
        <v>28</v>
      </c>
      <c r="AC144" s="7">
        <v>51</v>
      </c>
      <c r="AD144" s="7">
        <v>115</v>
      </c>
      <c r="AE144" s="7">
        <v>65</v>
      </c>
      <c r="AF144" s="7">
        <v>76</v>
      </c>
      <c r="AG144" s="7">
        <v>67</v>
      </c>
      <c r="AH144" s="7">
        <v>28</v>
      </c>
      <c r="AI144" s="7">
        <v>0</v>
      </c>
      <c r="AJ144" s="7">
        <v>60</v>
      </c>
      <c r="AK144" s="7">
        <v>70</v>
      </c>
      <c r="AL144" s="7">
        <v>95</v>
      </c>
      <c r="AM144" s="7">
        <v>88</v>
      </c>
      <c r="AN144" s="7">
        <v>115</v>
      </c>
      <c r="AO144" s="7">
        <v>160</v>
      </c>
      <c r="AP144" s="7">
        <v>145</v>
      </c>
      <c r="AQ144" s="7">
        <v>230</v>
      </c>
      <c r="AR144" s="7">
        <v>277</v>
      </c>
      <c r="AS144" s="7">
        <v>446</v>
      </c>
      <c r="AT144" s="7">
        <v>270</v>
      </c>
      <c r="AU144" s="7">
        <v>243</v>
      </c>
      <c r="AV144" s="7">
        <v>762</v>
      </c>
      <c r="AW144" s="7">
        <v>776</v>
      </c>
      <c r="AX144" s="8">
        <v>1328</v>
      </c>
      <c r="AY144" s="8">
        <v>1061</v>
      </c>
      <c r="AZ144" s="8">
        <v>1575</v>
      </c>
      <c r="BA144" s="8">
        <v>1638</v>
      </c>
      <c r="BB144" s="8">
        <v>1750</v>
      </c>
      <c r="BC144" s="15">
        <v>0</v>
      </c>
      <c r="BD144" s="21">
        <f t="shared" si="34"/>
        <v>1.2100609708556191E-2</v>
      </c>
      <c r="BE144" s="21">
        <f t="shared" si="34"/>
        <v>1.9228820062841174E-2</v>
      </c>
      <c r="BF144" s="21">
        <f t="shared" si="34"/>
        <v>1.3583234115553507E-2</v>
      </c>
      <c r="BG144" s="21">
        <f t="shared" si="34"/>
        <v>2.0355148883374689E-2</v>
      </c>
      <c r="BH144" s="21">
        <f t="shared" si="34"/>
        <v>1.8889465490399583E-2</v>
      </c>
      <c r="BI144" s="21">
        <f t="shared" si="34"/>
        <v>1.8349585823634267E-2</v>
      </c>
      <c r="BJ144" s="23">
        <f t="shared" si="35"/>
        <v>1.9198066732469512E-2</v>
      </c>
    </row>
    <row r="145" spans="1:62" x14ac:dyDescent="0.25">
      <c r="A145" s="12"/>
      <c r="B145" s="2"/>
      <c r="C145" s="2" t="s">
        <v>9</v>
      </c>
      <c r="D145" s="4">
        <v>0</v>
      </c>
      <c r="E145" s="4">
        <v>0</v>
      </c>
      <c r="F145" s="4">
        <v>0</v>
      </c>
      <c r="G145" s="4">
        <v>0</v>
      </c>
      <c r="H145" s="4">
        <v>0</v>
      </c>
      <c r="I145" s="4">
        <v>0</v>
      </c>
      <c r="J145" s="4">
        <v>0</v>
      </c>
      <c r="K145" s="4">
        <v>0</v>
      </c>
      <c r="L145" s="4">
        <v>1</v>
      </c>
      <c r="M145" s="4">
        <v>1</v>
      </c>
      <c r="N145" s="4">
        <v>1</v>
      </c>
      <c r="O145" s="4">
        <v>1</v>
      </c>
      <c r="P145" s="4">
        <v>1</v>
      </c>
      <c r="Q145" s="4">
        <v>2</v>
      </c>
      <c r="R145" s="4">
        <v>2</v>
      </c>
      <c r="S145" s="4">
        <v>40</v>
      </c>
      <c r="T145" s="4">
        <v>32</v>
      </c>
      <c r="U145" s="4">
        <v>68</v>
      </c>
      <c r="V145" s="4">
        <v>117</v>
      </c>
      <c r="W145" s="4">
        <v>124</v>
      </c>
      <c r="X145" s="4">
        <v>110</v>
      </c>
      <c r="Y145" s="4">
        <v>183</v>
      </c>
      <c r="Z145" s="4">
        <v>226</v>
      </c>
      <c r="AA145" s="4">
        <v>222</v>
      </c>
      <c r="AB145" s="4">
        <v>171</v>
      </c>
      <c r="AC145" s="4">
        <v>184</v>
      </c>
      <c r="AD145" s="4">
        <v>255</v>
      </c>
      <c r="AE145" s="4">
        <v>205</v>
      </c>
      <c r="AF145" s="4">
        <v>206</v>
      </c>
      <c r="AG145" s="4">
        <v>158</v>
      </c>
      <c r="AH145" s="4">
        <v>134</v>
      </c>
      <c r="AI145" s="4">
        <v>120</v>
      </c>
      <c r="AJ145" s="4">
        <v>119</v>
      </c>
      <c r="AK145" s="4">
        <v>120</v>
      </c>
      <c r="AL145" s="4">
        <v>162</v>
      </c>
      <c r="AM145" s="4">
        <v>152</v>
      </c>
      <c r="AN145" s="4">
        <v>154</v>
      </c>
      <c r="AO145" s="4">
        <v>195</v>
      </c>
      <c r="AP145" s="4">
        <v>192</v>
      </c>
      <c r="AQ145" s="4">
        <v>249</v>
      </c>
      <c r="AR145" s="4">
        <v>293</v>
      </c>
      <c r="AS145" s="4">
        <v>456</v>
      </c>
      <c r="AT145" s="4">
        <v>278</v>
      </c>
      <c r="AU145" s="4">
        <v>261</v>
      </c>
      <c r="AV145" s="4">
        <v>756</v>
      </c>
      <c r="AW145" s="4">
        <v>832</v>
      </c>
      <c r="AX145" s="3">
        <v>1285</v>
      </c>
      <c r="AY145" s="3">
        <v>1165</v>
      </c>
      <c r="AZ145" s="3">
        <v>1586</v>
      </c>
      <c r="BA145" s="3">
        <v>1673</v>
      </c>
      <c r="BB145" s="3">
        <v>1783</v>
      </c>
      <c r="BC145" s="13">
        <v>0</v>
      </c>
      <c r="BD145" s="20">
        <f t="shared" ref="BD145:BI153" si="36">AW145/AW558</f>
        <v>3.8494281378391383E-3</v>
      </c>
      <c r="BE145" s="20">
        <f t="shared" si="36"/>
        <v>5.6965279994325635E-3</v>
      </c>
      <c r="BF145" s="20">
        <f t="shared" si="36"/>
        <v>5.0531776463035895E-3</v>
      </c>
      <c r="BG145" s="20">
        <f t="shared" si="36"/>
        <v>7.1655439443021277E-3</v>
      </c>
      <c r="BH145" s="20">
        <f t="shared" si="36"/>
        <v>7.0304751979290989E-3</v>
      </c>
      <c r="BI145" s="20">
        <f t="shared" si="36"/>
        <v>6.971052343493424E-3</v>
      </c>
      <c r="BJ145" s="23">
        <f t="shared" si="35"/>
        <v>7.0556904952415499E-3</v>
      </c>
    </row>
    <row r="146" spans="1:62" s="5" customFormat="1" x14ac:dyDescent="0.25">
      <c r="A146" s="14"/>
      <c r="B146" s="6" t="s">
        <v>12</v>
      </c>
      <c r="C146" s="6" t="s">
        <v>6</v>
      </c>
      <c r="D146" s="7">
        <v>996</v>
      </c>
      <c r="E146" s="7">
        <v>765</v>
      </c>
      <c r="F146" s="8">
        <v>1365</v>
      </c>
      <c r="G146" s="8">
        <v>1487</v>
      </c>
      <c r="H146" s="8">
        <v>1364</v>
      </c>
      <c r="I146" s="8">
        <v>1199</v>
      </c>
      <c r="J146" s="8">
        <v>1125</v>
      </c>
      <c r="K146" s="8">
        <v>1527</v>
      </c>
      <c r="L146" s="8">
        <v>1733</v>
      </c>
      <c r="M146" s="8">
        <v>1713</v>
      </c>
      <c r="N146" s="8">
        <v>1745</v>
      </c>
      <c r="O146" s="8">
        <v>1796</v>
      </c>
      <c r="P146" s="8">
        <v>1680</v>
      </c>
      <c r="Q146" s="8">
        <v>1524</v>
      </c>
      <c r="R146" s="8">
        <v>1502</v>
      </c>
      <c r="S146" s="8">
        <v>1624</v>
      </c>
      <c r="T146" s="8">
        <v>1541</v>
      </c>
      <c r="U146" s="8">
        <v>1522</v>
      </c>
      <c r="V146" s="8">
        <v>1575</v>
      </c>
      <c r="W146" s="8">
        <v>1682</v>
      </c>
      <c r="X146" s="8">
        <v>1597</v>
      </c>
      <c r="Y146" s="8">
        <v>1498</v>
      </c>
      <c r="Z146" s="8">
        <v>1633</v>
      </c>
      <c r="AA146" s="8">
        <v>1636</v>
      </c>
      <c r="AB146" s="8">
        <v>1561</v>
      </c>
      <c r="AC146" s="8">
        <v>1549</v>
      </c>
      <c r="AD146" s="8">
        <v>1830</v>
      </c>
      <c r="AE146" s="8">
        <v>1562</v>
      </c>
      <c r="AF146" s="8">
        <v>1427</v>
      </c>
      <c r="AG146" s="8">
        <v>1427</v>
      </c>
      <c r="AH146" s="8">
        <v>2122</v>
      </c>
      <c r="AI146" s="8">
        <v>2313</v>
      </c>
      <c r="AJ146" s="8">
        <v>2427</v>
      </c>
      <c r="AK146" s="8">
        <v>2540</v>
      </c>
      <c r="AL146" s="8">
        <v>2830</v>
      </c>
      <c r="AM146" s="8">
        <v>2600</v>
      </c>
      <c r="AN146" s="8">
        <v>2989</v>
      </c>
      <c r="AO146" s="8">
        <v>3510</v>
      </c>
      <c r="AP146" s="8">
        <v>2645</v>
      </c>
      <c r="AQ146" s="8">
        <v>3787</v>
      </c>
      <c r="AR146" s="8">
        <v>3965</v>
      </c>
      <c r="AS146" s="8">
        <v>3575</v>
      </c>
      <c r="AT146" s="8">
        <v>3705</v>
      </c>
      <c r="AU146" s="8">
        <v>3900</v>
      </c>
      <c r="AV146" s="8">
        <v>4128</v>
      </c>
      <c r="AW146" s="8">
        <v>4135</v>
      </c>
      <c r="AX146" s="8">
        <v>4383</v>
      </c>
      <c r="AY146" s="8">
        <v>4385</v>
      </c>
      <c r="AZ146" s="8">
        <v>4402</v>
      </c>
      <c r="BA146" s="8">
        <v>4300</v>
      </c>
      <c r="BB146" s="8">
        <v>3100</v>
      </c>
      <c r="BC146" s="15">
        <v>0</v>
      </c>
      <c r="BD146" s="21">
        <f t="shared" si="36"/>
        <v>9.878070921443655E-3</v>
      </c>
      <c r="BE146" s="21">
        <f t="shared" si="36"/>
        <v>1.0428563270899954E-2</v>
      </c>
      <c r="BF146" s="21">
        <f t="shared" si="36"/>
        <v>1.0112937410488396E-2</v>
      </c>
      <c r="BG146" s="21">
        <f t="shared" si="36"/>
        <v>9.824335875341185E-3</v>
      </c>
      <c r="BH146" s="21">
        <f t="shared" si="36"/>
        <v>9.7648931652560556E-3</v>
      </c>
      <c r="BI146" s="21">
        <f t="shared" si="36"/>
        <v>6.8784794566444998E-3</v>
      </c>
      <c r="BJ146" s="23">
        <f t="shared" si="35"/>
        <v>8.8225694990805795E-3</v>
      </c>
    </row>
    <row r="147" spans="1:62" x14ac:dyDescent="0.25">
      <c r="A147" s="12"/>
      <c r="B147" s="2"/>
      <c r="C147" s="2" t="s">
        <v>7</v>
      </c>
      <c r="D147" s="4">
        <v>0</v>
      </c>
      <c r="E147" s="4">
        <v>0</v>
      </c>
      <c r="F147" s="4">
        <v>0</v>
      </c>
      <c r="G147" s="4">
        <v>0</v>
      </c>
      <c r="H147" s="4">
        <v>0</v>
      </c>
      <c r="I147" s="4">
        <v>0</v>
      </c>
      <c r="J147" s="4">
        <v>0</v>
      </c>
      <c r="K147" s="4">
        <v>0</v>
      </c>
      <c r="L147" s="4">
        <v>0</v>
      </c>
      <c r="M147" s="4">
        <v>0</v>
      </c>
      <c r="N147" s="4">
        <v>0</v>
      </c>
      <c r="O147" s="4">
        <v>0</v>
      </c>
      <c r="P147" s="4">
        <v>0</v>
      </c>
      <c r="Q147" s="4">
        <v>0</v>
      </c>
      <c r="R147" s="4">
        <v>1</v>
      </c>
      <c r="S147" s="4">
        <v>0</v>
      </c>
      <c r="T147" s="4">
        <v>7</v>
      </c>
      <c r="U147" s="4">
        <v>7</v>
      </c>
      <c r="V147" s="4">
        <v>1</v>
      </c>
      <c r="W147" s="4">
        <v>0</v>
      </c>
      <c r="X147" s="4">
        <v>7</v>
      </c>
      <c r="Y147" s="4">
        <v>0</v>
      </c>
      <c r="Z147" s="4">
        <v>0</v>
      </c>
      <c r="AA147" s="4">
        <v>0</v>
      </c>
      <c r="AB147" s="4">
        <v>3</v>
      </c>
      <c r="AC147" s="4">
        <v>61</v>
      </c>
      <c r="AD147" s="4">
        <v>11</v>
      </c>
      <c r="AE147" s="4">
        <v>15</v>
      </c>
      <c r="AF147" s="4">
        <v>1</v>
      </c>
      <c r="AG147" s="4">
        <v>3</v>
      </c>
      <c r="AH147" s="4">
        <v>0</v>
      </c>
      <c r="AI147" s="4">
        <v>0</v>
      </c>
      <c r="AJ147" s="4">
        <v>0</v>
      </c>
      <c r="AK147" s="4">
        <v>3</v>
      </c>
      <c r="AL147" s="4">
        <v>2</v>
      </c>
      <c r="AM147" s="4">
        <v>1</v>
      </c>
      <c r="AN147" s="4">
        <v>0</v>
      </c>
      <c r="AO147" s="4">
        <v>16</v>
      </c>
      <c r="AP147" s="4">
        <v>46</v>
      </c>
      <c r="AQ147" s="4">
        <v>35</v>
      </c>
      <c r="AR147" s="4">
        <v>11</v>
      </c>
      <c r="AS147" s="4">
        <v>0</v>
      </c>
      <c r="AT147" s="4">
        <v>50</v>
      </c>
      <c r="AU147" s="4">
        <v>0</v>
      </c>
      <c r="AV147" s="4">
        <v>0</v>
      </c>
      <c r="AW147" s="4">
        <v>28</v>
      </c>
      <c r="AX147" s="4">
        <v>100</v>
      </c>
      <c r="AY147" s="4">
        <v>20</v>
      </c>
      <c r="AZ147" s="4">
        <v>20</v>
      </c>
      <c r="BA147" s="4">
        <v>12</v>
      </c>
      <c r="BB147" s="4">
        <v>15</v>
      </c>
      <c r="BC147" s="13">
        <v>0</v>
      </c>
      <c r="BD147" s="20">
        <f t="shared" si="36"/>
        <v>1.0566037735849057E-3</v>
      </c>
      <c r="BE147" s="20">
        <f t="shared" si="36"/>
        <v>3.5428328491461771E-3</v>
      </c>
      <c r="BF147" s="20">
        <f t="shared" si="36"/>
        <v>6.794170601623807E-4</v>
      </c>
      <c r="BG147" s="20">
        <f t="shared" si="36"/>
        <v>7.3667538399204389E-4</v>
      </c>
      <c r="BH147" s="20">
        <f t="shared" si="36"/>
        <v>4.2742653606411401E-4</v>
      </c>
      <c r="BI147" s="20">
        <f t="shared" si="36"/>
        <v>5.1313628899835799E-4</v>
      </c>
      <c r="BJ147" s="23">
        <f t="shared" si="35"/>
        <v>5.5907940301817198E-4</v>
      </c>
    </row>
    <row r="148" spans="1:62" s="5" customFormat="1" x14ac:dyDescent="0.25">
      <c r="A148" s="14"/>
      <c r="B148" s="6"/>
      <c r="C148" s="6" t="s">
        <v>8</v>
      </c>
      <c r="D148" s="7">
        <v>203</v>
      </c>
      <c r="E148" s="7">
        <v>144</v>
      </c>
      <c r="F148" s="7">
        <v>380</v>
      </c>
      <c r="G148" s="7">
        <v>527</v>
      </c>
      <c r="H148" s="7">
        <v>330</v>
      </c>
      <c r="I148" s="7">
        <v>347</v>
      </c>
      <c r="J148" s="7">
        <v>435</v>
      </c>
      <c r="K148" s="7">
        <v>570</v>
      </c>
      <c r="L148" s="7">
        <v>772</v>
      </c>
      <c r="M148" s="7">
        <v>654</v>
      </c>
      <c r="N148" s="7">
        <v>515</v>
      </c>
      <c r="O148" s="7">
        <v>456</v>
      </c>
      <c r="P148" s="7">
        <v>298</v>
      </c>
      <c r="Q148" s="7">
        <v>136</v>
      </c>
      <c r="R148" s="7">
        <v>104</v>
      </c>
      <c r="S148" s="7">
        <v>211</v>
      </c>
      <c r="T148" s="7">
        <v>223</v>
      </c>
      <c r="U148" s="7">
        <v>150</v>
      </c>
      <c r="V148" s="7">
        <v>95</v>
      </c>
      <c r="W148" s="7">
        <v>178</v>
      </c>
      <c r="X148" s="7">
        <v>134</v>
      </c>
      <c r="Y148" s="7">
        <v>22</v>
      </c>
      <c r="Z148" s="7">
        <v>21</v>
      </c>
      <c r="AA148" s="7">
        <v>65</v>
      </c>
      <c r="AB148" s="7">
        <v>16</v>
      </c>
      <c r="AC148" s="7">
        <v>92</v>
      </c>
      <c r="AD148" s="7">
        <v>105</v>
      </c>
      <c r="AE148" s="7">
        <v>108</v>
      </c>
      <c r="AF148" s="7">
        <v>32</v>
      </c>
      <c r="AG148" s="7">
        <v>85</v>
      </c>
      <c r="AH148" s="7">
        <v>159</v>
      </c>
      <c r="AI148" s="7">
        <v>209</v>
      </c>
      <c r="AJ148" s="7">
        <v>135</v>
      </c>
      <c r="AK148" s="7">
        <v>268</v>
      </c>
      <c r="AL148" s="7">
        <v>163</v>
      </c>
      <c r="AM148" s="7">
        <v>338</v>
      </c>
      <c r="AN148" s="7">
        <v>201</v>
      </c>
      <c r="AO148" s="7">
        <v>426</v>
      </c>
      <c r="AP148" s="7">
        <v>320</v>
      </c>
      <c r="AQ148" s="7">
        <v>500</v>
      </c>
      <c r="AR148" s="7">
        <v>705</v>
      </c>
      <c r="AS148" s="7">
        <v>468</v>
      </c>
      <c r="AT148" s="7">
        <v>579</v>
      </c>
      <c r="AU148" s="7">
        <v>826</v>
      </c>
      <c r="AV148" s="8">
        <v>1095</v>
      </c>
      <c r="AW148" s="7">
        <v>979</v>
      </c>
      <c r="AX148" s="8">
        <v>1203</v>
      </c>
      <c r="AY148" s="7">
        <v>750</v>
      </c>
      <c r="AZ148" s="7">
        <v>550</v>
      </c>
      <c r="BA148" s="7">
        <v>700</v>
      </c>
      <c r="BB148" s="7">
        <v>35</v>
      </c>
      <c r="BC148" s="15">
        <v>0</v>
      </c>
      <c r="BD148" s="21">
        <f t="shared" si="36"/>
        <v>3.2980730359789788E-2</v>
      </c>
      <c r="BE148" s="21">
        <f t="shared" si="36"/>
        <v>3.8318203535594841E-2</v>
      </c>
      <c r="BF148" s="21">
        <f t="shared" si="36"/>
        <v>2.400998815507251E-2</v>
      </c>
      <c r="BG148" s="21">
        <f t="shared" si="36"/>
        <v>1.9023242944106254E-2</v>
      </c>
      <c r="BH148" s="21">
        <f t="shared" si="36"/>
        <v>2.2716209638163232E-2</v>
      </c>
      <c r="BI148" s="21">
        <f t="shared" si="36"/>
        <v>1.1513536629494392E-3</v>
      </c>
      <c r="BJ148" s="23">
        <f t="shared" si="35"/>
        <v>1.4296935415072974E-2</v>
      </c>
    </row>
    <row r="149" spans="1:62" x14ac:dyDescent="0.25">
      <c r="A149" s="12"/>
      <c r="B149" s="2"/>
      <c r="C149" s="2" t="s">
        <v>9</v>
      </c>
      <c r="D149" s="4">
        <v>793</v>
      </c>
      <c r="E149" s="4">
        <v>621</v>
      </c>
      <c r="F149" s="4">
        <v>985</v>
      </c>
      <c r="G149" s="4">
        <v>960</v>
      </c>
      <c r="H149" s="3">
        <v>1034</v>
      </c>
      <c r="I149" s="4">
        <v>852</v>
      </c>
      <c r="J149" s="4">
        <v>690</v>
      </c>
      <c r="K149" s="4">
        <v>957</v>
      </c>
      <c r="L149" s="4">
        <v>961</v>
      </c>
      <c r="M149" s="3">
        <v>1059</v>
      </c>
      <c r="N149" s="3">
        <v>1230</v>
      </c>
      <c r="O149" s="3">
        <v>1340</v>
      </c>
      <c r="P149" s="3">
        <v>1382</v>
      </c>
      <c r="Q149" s="3">
        <v>1388</v>
      </c>
      <c r="R149" s="3">
        <v>1399</v>
      </c>
      <c r="S149" s="3">
        <v>1413</v>
      </c>
      <c r="T149" s="3">
        <v>1325</v>
      </c>
      <c r="U149" s="3">
        <v>1379</v>
      </c>
      <c r="V149" s="3">
        <v>1481</v>
      </c>
      <c r="W149" s="3">
        <v>1504</v>
      </c>
      <c r="X149" s="3">
        <v>1470</v>
      </c>
      <c r="Y149" s="3">
        <v>1476</v>
      </c>
      <c r="Z149" s="3">
        <v>1612</v>
      </c>
      <c r="AA149" s="3">
        <v>1571</v>
      </c>
      <c r="AB149" s="3">
        <v>1548</v>
      </c>
      <c r="AC149" s="3">
        <v>1518</v>
      </c>
      <c r="AD149" s="3">
        <v>1736</v>
      </c>
      <c r="AE149" s="3">
        <v>1469</v>
      </c>
      <c r="AF149" s="3">
        <v>1396</v>
      </c>
      <c r="AG149" s="3">
        <v>1345</v>
      </c>
      <c r="AH149" s="3">
        <v>1813</v>
      </c>
      <c r="AI149" s="3">
        <v>2054</v>
      </c>
      <c r="AJ149" s="3">
        <v>2289</v>
      </c>
      <c r="AK149" s="3">
        <v>2375</v>
      </c>
      <c r="AL149" s="3">
        <v>2492</v>
      </c>
      <c r="AM149" s="3">
        <v>2443</v>
      </c>
      <c r="AN149" s="3">
        <v>2619</v>
      </c>
      <c r="AO149" s="3">
        <v>2769</v>
      </c>
      <c r="AP149" s="3">
        <v>2771</v>
      </c>
      <c r="AQ149" s="3">
        <v>2891</v>
      </c>
      <c r="AR149" s="3">
        <v>3015</v>
      </c>
      <c r="AS149" s="3">
        <v>3100</v>
      </c>
      <c r="AT149" s="3">
        <v>3200</v>
      </c>
      <c r="AU149" s="3">
        <v>3225</v>
      </c>
      <c r="AV149" s="3">
        <v>3250</v>
      </c>
      <c r="AW149" s="3">
        <v>3320</v>
      </c>
      <c r="AX149" s="3">
        <v>3276</v>
      </c>
      <c r="AY149" s="3">
        <v>3340</v>
      </c>
      <c r="AZ149" s="3">
        <v>4000</v>
      </c>
      <c r="BA149" s="3">
        <v>3670</v>
      </c>
      <c r="BB149" s="3">
        <v>3400</v>
      </c>
      <c r="BC149" s="13">
        <v>0</v>
      </c>
      <c r="BD149" s="20">
        <f t="shared" si="36"/>
        <v>8.0400452373629618E-3</v>
      </c>
      <c r="BE149" s="20">
        <f t="shared" si="36"/>
        <v>7.8265169849275045E-3</v>
      </c>
      <c r="BF149" s="20">
        <f t="shared" si="36"/>
        <v>7.8352808150568762E-3</v>
      </c>
      <c r="BG149" s="20">
        <f t="shared" si="36"/>
        <v>9.1930776125577433E-3</v>
      </c>
      <c r="BH149" s="20">
        <f t="shared" si="36"/>
        <v>8.4312189429043369E-3</v>
      </c>
      <c r="BI149" s="20">
        <f t="shared" si="36"/>
        <v>7.61935495437351E-3</v>
      </c>
      <c r="BJ149" s="23">
        <f t="shared" si="35"/>
        <v>8.4145505032785298E-3</v>
      </c>
    </row>
    <row r="150" spans="1:62" s="5" customFormat="1" x14ac:dyDescent="0.25">
      <c r="A150" s="14"/>
      <c r="B150" s="6" t="s">
        <v>13</v>
      </c>
      <c r="C150" s="6" t="s">
        <v>6</v>
      </c>
      <c r="D150" s="7">
        <v>631</v>
      </c>
      <c r="E150" s="7">
        <v>631</v>
      </c>
      <c r="F150" s="7">
        <v>659</v>
      </c>
      <c r="G150" s="7">
        <v>729</v>
      </c>
      <c r="H150" s="7">
        <v>740</v>
      </c>
      <c r="I150" s="7">
        <v>806</v>
      </c>
      <c r="J150" s="7">
        <v>859</v>
      </c>
      <c r="K150" s="7">
        <v>881</v>
      </c>
      <c r="L150" s="7">
        <v>906</v>
      </c>
      <c r="M150" s="7">
        <v>813</v>
      </c>
      <c r="N150" s="7">
        <v>874</v>
      </c>
      <c r="O150" s="7">
        <v>854</v>
      </c>
      <c r="P150" s="7">
        <v>831</v>
      </c>
      <c r="Q150" s="7">
        <v>915</v>
      </c>
      <c r="R150" s="7">
        <v>824</v>
      </c>
      <c r="S150" s="7">
        <v>775</v>
      </c>
      <c r="T150" s="7">
        <v>800</v>
      </c>
      <c r="U150" s="7">
        <v>648</v>
      </c>
      <c r="V150" s="7">
        <v>681</v>
      </c>
      <c r="W150" s="7">
        <v>635</v>
      </c>
      <c r="X150" s="7">
        <v>643</v>
      </c>
      <c r="Y150" s="7">
        <v>653</v>
      </c>
      <c r="Z150" s="7">
        <v>596</v>
      </c>
      <c r="AA150" s="7">
        <v>622</v>
      </c>
      <c r="AB150" s="7">
        <v>540</v>
      </c>
      <c r="AC150" s="7">
        <v>551</v>
      </c>
      <c r="AD150" s="7">
        <v>600</v>
      </c>
      <c r="AE150" s="7">
        <v>540</v>
      </c>
      <c r="AF150" s="7">
        <v>578</v>
      </c>
      <c r="AG150" s="7">
        <v>586</v>
      </c>
      <c r="AH150" s="7">
        <v>611</v>
      </c>
      <c r="AI150" s="7">
        <v>620</v>
      </c>
      <c r="AJ150" s="7">
        <v>615</v>
      </c>
      <c r="AK150" s="7">
        <v>745</v>
      </c>
      <c r="AL150" s="7">
        <v>760</v>
      </c>
      <c r="AM150" s="7">
        <v>775</v>
      </c>
      <c r="AN150" s="7">
        <v>766</v>
      </c>
      <c r="AO150" s="7">
        <v>764</v>
      </c>
      <c r="AP150" s="7">
        <v>765</v>
      </c>
      <c r="AQ150" s="7">
        <v>750</v>
      </c>
      <c r="AR150" s="7">
        <v>750</v>
      </c>
      <c r="AS150" s="7">
        <v>750</v>
      </c>
      <c r="AT150" s="7">
        <v>900</v>
      </c>
      <c r="AU150" s="7">
        <v>900</v>
      </c>
      <c r="AV150" s="7">
        <v>900</v>
      </c>
      <c r="AW150" s="7">
        <v>900</v>
      </c>
      <c r="AX150" s="7">
        <v>900</v>
      </c>
      <c r="AY150" s="7">
        <v>900</v>
      </c>
      <c r="AZ150" s="7">
        <v>900</v>
      </c>
      <c r="BA150" s="7">
        <v>900</v>
      </c>
      <c r="BB150" s="7">
        <v>900</v>
      </c>
      <c r="BC150" s="15">
        <v>0</v>
      </c>
      <c r="BD150" s="21">
        <f t="shared" si="36"/>
        <v>1.5092061575611229E-2</v>
      </c>
      <c r="BE150" s="21">
        <f t="shared" si="36"/>
        <v>1.5611448395490026E-2</v>
      </c>
      <c r="BF150" s="21">
        <f t="shared" si="36"/>
        <v>1.3655191248539653E-2</v>
      </c>
      <c r="BG150" s="21">
        <f t="shared" si="36"/>
        <v>1.3879036486444807E-2</v>
      </c>
      <c r="BH150" s="21">
        <f t="shared" si="36"/>
        <v>1.518807904551361E-2</v>
      </c>
      <c r="BI150" s="21">
        <f t="shared" si="36"/>
        <v>1.3797755565094745E-2</v>
      </c>
      <c r="BJ150" s="23">
        <f t="shared" si="35"/>
        <v>1.4288290365684388E-2</v>
      </c>
    </row>
    <row r="151" spans="1:62" x14ac:dyDescent="0.25">
      <c r="A151" s="12"/>
      <c r="B151" s="2"/>
      <c r="C151" s="2" t="s">
        <v>7</v>
      </c>
      <c r="D151" s="4">
        <v>1</v>
      </c>
      <c r="E151" s="4">
        <v>10</v>
      </c>
      <c r="F151" s="4">
        <v>7</v>
      </c>
      <c r="G151" s="4">
        <v>14</v>
      </c>
      <c r="H151" s="4">
        <v>6</v>
      </c>
      <c r="I151" s="4">
        <v>14</v>
      </c>
      <c r="J151" s="4">
        <v>2</v>
      </c>
      <c r="K151" s="4">
        <v>0</v>
      </c>
      <c r="L151" s="4">
        <v>0</v>
      </c>
      <c r="M151" s="4">
        <v>0</v>
      </c>
      <c r="N151" s="4">
        <v>0</v>
      </c>
      <c r="O151" s="4">
        <v>0</v>
      </c>
      <c r="P151" s="4">
        <v>0</v>
      </c>
      <c r="Q151" s="4">
        <v>0</v>
      </c>
      <c r="R151" s="4">
        <v>0</v>
      </c>
      <c r="S151" s="4">
        <v>0</v>
      </c>
      <c r="T151" s="4">
        <v>0</v>
      </c>
      <c r="U151" s="4">
        <v>0</v>
      </c>
      <c r="V151" s="4">
        <v>0</v>
      </c>
      <c r="W151" s="4">
        <v>0</v>
      </c>
      <c r="X151" s="4">
        <v>0</v>
      </c>
      <c r="Y151" s="4">
        <v>0</v>
      </c>
      <c r="Z151" s="4">
        <v>0</v>
      </c>
      <c r="AA151" s="4">
        <v>6</v>
      </c>
      <c r="AB151" s="4">
        <v>0</v>
      </c>
      <c r="AC151" s="4">
        <v>0</v>
      </c>
      <c r="AD151" s="4">
        <v>0</v>
      </c>
      <c r="AE151" s="4">
        <v>0</v>
      </c>
      <c r="AF151" s="4">
        <v>0</v>
      </c>
      <c r="AG151" s="4">
        <v>0</v>
      </c>
      <c r="AH151" s="4">
        <v>100</v>
      </c>
      <c r="AI151" s="4">
        <v>0</v>
      </c>
      <c r="AJ151" s="4">
        <v>11</v>
      </c>
      <c r="AK151" s="4">
        <v>0</v>
      </c>
      <c r="AL151" s="4">
        <v>0</v>
      </c>
      <c r="AM151" s="4">
        <v>18</v>
      </c>
      <c r="AN151" s="4">
        <v>1</v>
      </c>
      <c r="AO151" s="4">
        <v>0</v>
      </c>
      <c r="AP151" s="4">
        <v>0</v>
      </c>
      <c r="AQ151" s="4">
        <v>0</v>
      </c>
      <c r="AR151" s="4">
        <v>0</v>
      </c>
      <c r="AS151" s="4">
        <v>0</v>
      </c>
      <c r="AT151" s="4">
        <v>0</v>
      </c>
      <c r="AU151" s="4">
        <v>0</v>
      </c>
      <c r="AV151" s="4">
        <v>0</v>
      </c>
      <c r="AW151" s="4">
        <v>0</v>
      </c>
      <c r="AX151" s="4">
        <v>0</v>
      </c>
      <c r="AY151" s="4">
        <v>2</v>
      </c>
      <c r="AZ151" s="4">
        <v>41</v>
      </c>
      <c r="BA151" s="4">
        <v>22</v>
      </c>
      <c r="BB151" s="4">
        <v>5</v>
      </c>
      <c r="BC151" s="13">
        <v>0</v>
      </c>
      <c r="BD151" s="20">
        <f t="shared" si="36"/>
        <v>0</v>
      </c>
      <c r="BE151" s="20">
        <f t="shared" si="36"/>
        <v>0</v>
      </c>
      <c r="BF151" s="20">
        <f t="shared" si="36"/>
        <v>2.0663291662361815E-4</v>
      </c>
      <c r="BG151" s="20">
        <f t="shared" si="36"/>
        <v>6.7081151832460734E-3</v>
      </c>
      <c r="BH151" s="20">
        <f t="shared" si="36"/>
        <v>3.5848134267557437E-3</v>
      </c>
      <c r="BI151" s="20">
        <f t="shared" si="36"/>
        <v>7.6616610481152316E-4</v>
      </c>
      <c r="BJ151" s="23">
        <f t="shared" si="35"/>
        <v>3.6863649049377802E-3</v>
      </c>
    </row>
    <row r="152" spans="1:62" s="5" customFormat="1" x14ac:dyDescent="0.25">
      <c r="A152" s="14"/>
      <c r="B152" s="6"/>
      <c r="C152" s="6" t="s">
        <v>8</v>
      </c>
      <c r="D152" s="7">
        <v>1</v>
      </c>
      <c r="E152" s="7">
        <v>0</v>
      </c>
      <c r="F152" s="7">
        <v>0</v>
      </c>
      <c r="G152" s="7">
        <v>1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1</v>
      </c>
      <c r="N152" s="7">
        <v>0</v>
      </c>
      <c r="O152" s="7">
        <v>0</v>
      </c>
      <c r="P152" s="7">
        <v>0</v>
      </c>
      <c r="Q152" s="7">
        <v>0</v>
      </c>
      <c r="R152" s="7">
        <v>0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0</v>
      </c>
      <c r="AA152" s="7">
        <v>0</v>
      </c>
      <c r="AB152" s="7">
        <v>0</v>
      </c>
      <c r="AC152" s="7">
        <v>0</v>
      </c>
      <c r="AD152" s="7">
        <v>0</v>
      </c>
      <c r="AE152" s="7">
        <v>0</v>
      </c>
      <c r="AF152" s="7">
        <v>0</v>
      </c>
      <c r="AG152" s="7">
        <v>0</v>
      </c>
      <c r="AH152" s="7">
        <v>0</v>
      </c>
      <c r="AI152" s="7">
        <v>0</v>
      </c>
      <c r="AJ152" s="7">
        <v>0</v>
      </c>
      <c r="AK152" s="7">
        <v>0</v>
      </c>
      <c r="AL152" s="7">
        <v>0</v>
      </c>
      <c r="AM152" s="7">
        <v>0</v>
      </c>
      <c r="AN152" s="7">
        <v>0</v>
      </c>
      <c r="AO152" s="7">
        <v>0</v>
      </c>
      <c r="AP152" s="7">
        <v>0</v>
      </c>
      <c r="AQ152" s="7">
        <v>0</v>
      </c>
      <c r="AR152" s="7">
        <v>0</v>
      </c>
      <c r="AS152" s="7">
        <v>0</v>
      </c>
      <c r="AT152" s="7">
        <v>0</v>
      </c>
      <c r="AU152" s="7">
        <v>0</v>
      </c>
      <c r="AV152" s="7">
        <v>1</v>
      </c>
      <c r="AW152" s="7">
        <v>0</v>
      </c>
      <c r="AX152" s="7">
        <v>0</v>
      </c>
      <c r="AY152" s="7">
        <v>0</v>
      </c>
      <c r="AZ152" s="7">
        <v>3</v>
      </c>
      <c r="BA152" s="7">
        <v>8</v>
      </c>
      <c r="BB152" s="7">
        <v>5</v>
      </c>
      <c r="BC152" s="15">
        <v>0</v>
      </c>
      <c r="BD152" s="21">
        <f t="shared" si="36"/>
        <v>0</v>
      </c>
      <c r="BE152" s="21">
        <f t="shared" si="36"/>
        <v>0</v>
      </c>
      <c r="BF152" s="21">
        <f t="shared" si="36"/>
        <v>0</v>
      </c>
      <c r="BG152" s="21">
        <f t="shared" si="36"/>
        <v>5.0133689839572198E-4</v>
      </c>
      <c r="BH152" s="21">
        <f t="shared" si="36"/>
        <v>1.2033694344163659E-3</v>
      </c>
      <c r="BI152" s="21">
        <f t="shared" si="36"/>
        <v>7.669888019634913E-4</v>
      </c>
      <c r="BJ152" s="23">
        <f t="shared" si="35"/>
        <v>8.2389837825852638E-4</v>
      </c>
    </row>
    <row r="153" spans="1:62" x14ac:dyDescent="0.25">
      <c r="A153" s="12"/>
      <c r="B153" s="2"/>
      <c r="C153" s="2" t="s">
        <v>9</v>
      </c>
      <c r="D153" s="4">
        <v>631</v>
      </c>
      <c r="E153" s="4">
        <v>641</v>
      </c>
      <c r="F153" s="4">
        <v>666</v>
      </c>
      <c r="G153" s="4">
        <v>742</v>
      </c>
      <c r="H153" s="4">
        <v>746</v>
      </c>
      <c r="I153" s="4">
        <v>820</v>
      </c>
      <c r="J153" s="4">
        <v>861</v>
      </c>
      <c r="K153" s="4">
        <v>881</v>
      </c>
      <c r="L153" s="4">
        <v>906</v>
      </c>
      <c r="M153" s="4">
        <v>812</v>
      </c>
      <c r="N153" s="4">
        <v>828</v>
      </c>
      <c r="O153" s="4">
        <v>800</v>
      </c>
      <c r="P153" s="4">
        <v>800</v>
      </c>
      <c r="Q153" s="4">
        <v>815</v>
      </c>
      <c r="R153" s="4">
        <v>800</v>
      </c>
      <c r="S153" s="4">
        <v>800</v>
      </c>
      <c r="T153" s="4">
        <v>825</v>
      </c>
      <c r="U153" s="4">
        <v>648</v>
      </c>
      <c r="V153" s="4">
        <v>600</v>
      </c>
      <c r="W153" s="4">
        <v>571</v>
      </c>
      <c r="X153" s="4">
        <v>643</v>
      </c>
      <c r="Y153" s="4">
        <v>653</v>
      </c>
      <c r="Z153" s="4">
        <v>596</v>
      </c>
      <c r="AA153" s="4">
        <v>628</v>
      </c>
      <c r="AB153" s="4">
        <v>600</v>
      </c>
      <c r="AC153" s="4">
        <v>721</v>
      </c>
      <c r="AD153" s="4">
        <v>620</v>
      </c>
      <c r="AE153" s="4">
        <v>540</v>
      </c>
      <c r="AF153" s="4">
        <v>578</v>
      </c>
      <c r="AG153" s="4">
        <v>586</v>
      </c>
      <c r="AH153" s="4">
        <v>711</v>
      </c>
      <c r="AI153" s="4">
        <v>620</v>
      </c>
      <c r="AJ153" s="4">
        <v>626</v>
      </c>
      <c r="AK153" s="4">
        <v>800</v>
      </c>
      <c r="AL153" s="4">
        <v>760</v>
      </c>
      <c r="AM153" s="4">
        <v>793</v>
      </c>
      <c r="AN153" s="4">
        <v>767</v>
      </c>
      <c r="AO153" s="4">
        <v>769</v>
      </c>
      <c r="AP153" s="4">
        <v>765</v>
      </c>
      <c r="AQ153" s="4">
        <v>750</v>
      </c>
      <c r="AR153" s="4">
        <v>750</v>
      </c>
      <c r="AS153" s="4">
        <v>750</v>
      </c>
      <c r="AT153" s="4">
        <v>900</v>
      </c>
      <c r="AU153" s="4">
        <v>900</v>
      </c>
      <c r="AV153" s="4">
        <v>900</v>
      </c>
      <c r="AW153" s="4">
        <v>900</v>
      </c>
      <c r="AX153" s="4">
        <v>900</v>
      </c>
      <c r="AY153" s="4">
        <v>900</v>
      </c>
      <c r="AZ153" s="4">
        <v>950</v>
      </c>
      <c r="BA153" s="4">
        <v>900</v>
      </c>
      <c r="BB153" s="4">
        <v>900</v>
      </c>
      <c r="BC153" s="13">
        <v>0</v>
      </c>
      <c r="BD153" s="20">
        <f t="shared" si="36"/>
        <v>1.5178857537989308E-2</v>
      </c>
      <c r="BE153" s="20">
        <f t="shared" si="36"/>
        <v>1.5573089700996677E-2</v>
      </c>
      <c r="BF153" s="20">
        <f t="shared" si="36"/>
        <v>1.3959548331058443E-2</v>
      </c>
      <c r="BG153" s="20">
        <f t="shared" si="36"/>
        <v>1.4730966041246706E-2</v>
      </c>
      <c r="BH153" s="20">
        <f t="shared" si="36"/>
        <v>1.4736221632773357E-2</v>
      </c>
      <c r="BI153" s="20">
        <f t="shared" si="36"/>
        <v>1.3901116723043418E-2</v>
      </c>
      <c r="BJ153" s="23">
        <f t="shared" si="35"/>
        <v>1.4456101465687828E-2</v>
      </c>
    </row>
    <row r="154" spans="1:62" s="5" customFormat="1" x14ac:dyDescent="0.25">
      <c r="A154" s="12"/>
      <c r="B154" s="2" t="s">
        <v>14</v>
      </c>
      <c r="C154" s="2" t="s">
        <v>42</v>
      </c>
      <c r="D154" s="4">
        <v>332</v>
      </c>
      <c r="E154" s="4">
        <v>380</v>
      </c>
      <c r="F154" s="4">
        <v>410</v>
      </c>
      <c r="G154" s="4">
        <v>407</v>
      </c>
      <c r="H154" s="4">
        <v>434</v>
      </c>
      <c r="I154" s="4">
        <v>405</v>
      </c>
      <c r="J154" s="4">
        <v>349</v>
      </c>
      <c r="K154" s="4">
        <v>413</v>
      </c>
      <c r="L154" s="4">
        <v>399</v>
      </c>
      <c r="M154" s="4">
        <v>408</v>
      </c>
      <c r="N154" s="4">
        <v>445</v>
      </c>
      <c r="O154" s="4">
        <v>545</v>
      </c>
      <c r="P154" s="4">
        <v>590</v>
      </c>
      <c r="Q154" s="4">
        <v>649</v>
      </c>
      <c r="R154" s="4">
        <v>548</v>
      </c>
      <c r="S154" s="4">
        <v>630</v>
      </c>
      <c r="T154" s="4">
        <v>649</v>
      </c>
      <c r="U154" s="4">
        <v>622</v>
      </c>
      <c r="V154" s="4">
        <v>654</v>
      </c>
      <c r="W154" s="4">
        <v>649</v>
      </c>
      <c r="X154" s="4">
        <v>646</v>
      </c>
      <c r="Y154" s="4">
        <v>734</v>
      </c>
      <c r="Z154" s="4">
        <v>756</v>
      </c>
      <c r="AA154" s="4">
        <v>752</v>
      </c>
      <c r="AB154" s="4">
        <v>873</v>
      </c>
      <c r="AC154" s="4">
        <v>953</v>
      </c>
      <c r="AD154" s="4">
        <v>989</v>
      </c>
      <c r="AE154" s="4">
        <v>907</v>
      </c>
      <c r="AF154" s="4">
        <v>945</v>
      </c>
      <c r="AG154" s="4">
        <v>957</v>
      </c>
      <c r="AH154" s="4">
        <v>982</v>
      </c>
      <c r="AI154" s="4">
        <v>950</v>
      </c>
      <c r="AJ154" s="3">
        <v>1015</v>
      </c>
      <c r="AK154" s="3">
        <v>1050</v>
      </c>
      <c r="AL154" s="3">
        <v>1088</v>
      </c>
      <c r="AM154" s="3">
        <v>1092</v>
      </c>
      <c r="AN154" s="3">
        <v>1156</v>
      </c>
      <c r="AO154" s="3">
        <v>1170</v>
      </c>
      <c r="AP154" s="3">
        <v>1180</v>
      </c>
      <c r="AQ154" s="3">
        <v>1390</v>
      </c>
      <c r="AR154" s="3">
        <v>1400</v>
      </c>
      <c r="AS154" s="3">
        <v>1408</v>
      </c>
      <c r="AT154" s="3">
        <v>1340</v>
      </c>
      <c r="AU154" s="3">
        <v>1365</v>
      </c>
      <c r="AV154" s="3">
        <v>1510</v>
      </c>
      <c r="AW154" s="3">
        <v>1601</v>
      </c>
      <c r="AX154" s="3">
        <v>1652</v>
      </c>
      <c r="AY154" s="3">
        <v>1511</v>
      </c>
      <c r="AZ154" s="3">
        <v>1612</v>
      </c>
      <c r="BA154" s="3">
        <v>1820</v>
      </c>
      <c r="BB154" s="24">
        <v>1830</v>
      </c>
      <c r="BC154" s="21">
        <f t="shared" ref="BC154:BH154" si="37">AW154/AX$83</f>
        <v>0.20020007502813555</v>
      </c>
      <c r="BD154" s="21">
        <f t="shared" si="37"/>
        <v>0.24394565859421147</v>
      </c>
      <c r="BE154" s="21">
        <f t="shared" si="37"/>
        <v>0.23598313290645009</v>
      </c>
      <c r="BF154" s="21">
        <f t="shared" si="37"/>
        <v>0.22621386472074095</v>
      </c>
      <c r="BG154" s="21">
        <f t="shared" si="37"/>
        <v>0.28000000000000003</v>
      </c>
      <c r="BH154" s="21" t="e">
        <f t="shared" si="37"/>
        <v>#DIV/0!</v>
      </c>
      <c r="BJ154" s="23" t="e">
        <f>AVERAGE(BF154,BG154,BH154)</f>
        <v>#DIV/0!</v>
      </c>
    </row>
    <row r="155" spans="1:62" x14ac:dyDescent="0.25">
      <c r="A155" s="12"/>
      <c r="B155" s="6"/>
      <c r="C155" s="6" t="s">
        <v>45</v>
      </c>
      <c r="D155" s="7">
        <v>19</v>
      </c>
      <c r="E155" s="7">
        <v>116</v>
      </c>
      <c r="F155" s="7">
        <v>0</v>
      </c>
      <c r="G155" s="7">
        <v>90</v>
      </c>
      <c r="H155" s="7">
        <v>44</v>
      </c>
      <c r="I155" s="7">
        <v>140</v>
      </c>
      <c r="J155" s="7">
        <v>187</v>
      </c>
      <c r="K155" s="7">
        <v>153</v>
      </c>
      <c r="L155" s="7">
        <v>136</v>
      </c>
      <c r="M155" s="7">
        <v>105</v>
      </c>
      <c r="N155" s="7">
        <v>72</v>
      </c>
      <c r="O155" s="7">
        <v>50</v>
      </c>
      <c r="P155" s="7">
        <v>63</v>
      </c>
      <c r="Q155" s="7">
        <v>90</v>
      </c>
      <c r="R155" s="7">
        <v>253</v>
      </c>
      <c r="S155" s="7">
        <v>222</v>
      </c>
      <c r="T155" s="7">
        <v>210</v>
      </c>
      <c r="U155" s="7">
        <v>310</v>
      </c>
      <c r="V155" s="7">
        <v>392</v>
      </c>
      <c r="W155" s="7">
        <v>522</v>
      </c>
      <c r="X155" s="7">
        <v>693</v>
      </c>
      <c r="Y155" s="7">
        <v>650</v>
      </c>
      <c r="Z155" s="7">
        <v>750</v>
      </c>
      <c r="AA155" s="7">
        <v>780</v>
      </c>
      <c r="AB155" s="7">
        <v>728</v>
      </c>
      <c r="AC155" s="7">
        <v>750</v>
      </c>
      <c r="AD155" s="7">
        <v>606</v>
      </c>
      <c r="AE155" s="7">
        <v>635</v>
      </c>
      <c r="AF155" s="7">
        <v>733</v>
      </c>
      <c r="AG155" s="7">
        <v>595</v>
      </c>
      <c r="AH155" s="7">
        <v>525</v>
      </c>
      <c r="AI155" s="7">
        <v>570</v>
      </c>
      <c r="AJ155" s="7">
        <v>550</v>
      </c>
      <c r="AK155" s="7">
        <v>550</v>
      </c>
      <c r="AL155" s="7">
        <v>584</v>
      </c>
      <c r="AM155" s="7">
        <v>617</v>
      </c>
      <c r="AN155" s="8">
        <v>1305</v>
      </c>
      <c r="AO155" s="7">
        <v>915</v>
      </c>
      <c r="AP155" s="7">
        <v>653</v>
      </c>
      <c r="AQ155" s="7">
        <v>292</v>
      </c>
      <c r="AR155" s="7">
        <v>946</v>
      </c>
      <c r="AS155" s="8">
        <v>1102</v>
      </c>
      <c r="AT155" s="8">
        <v>1100</v>
      </c>
      <c r="AU155" s="7">
        <v>900</v>
      </c>
      <c r="AV155" s="7">
        <v>905</v>
      </c>
      <c r="AW155" s="8">
        <v>1003</v>
      </c>
      <c r="AX155" s="7">
        <v>936</v>
      </c>
      <c r="AY155" s="8">
        <v>1390</v>
      </c>
      <c r="AZ155" s="8">
        <v>1382</v>
      </c>
      <c r="BA155" s="7">
        <v>978</v>
      </c>
      <c r="BB155" s="25">
        <v>1120</v>
      </c>
      <c r="BC155" s="21">
        <f t="shared" ref="BC155:BH155" si="38">AW155/AX$63</f>
        <v>1.9475728155339807</v>
      </c>
      <c r="BD155" s="21">
        <f t="shared" si="38"/>
        <v>5.7073170731707314</v>
      </c>
      <c r="BE155" s="21">
        <f t="shared" si="38"/>
        <v>27.8</v>
      </c>
      <c r="BF155" s="21">
        <f t="shared" si="38"/>
        <v>9.1523178807947012</v>
      </c>
      <c r="BG155" s="21">
        <f t="shared" si="38"/>
        <v>1.5046153846153847</v>
      </c>
      <c r="BH155" s="21" t="e">
        <f t="shared" si="38"/>
        <v>#DIV/0!</v>
      </c>
      <c r="BJ155" s="23" t="e">
        <f>AVERAGE(BF155,BG155,BH155)</f>
        <v>#DIV/0!</v>
      </c>
    </row>
    <row r="156" spans="1:62" s="5" customFormat="1" x14ac:dyDescent="0.25">
      <c r="A156" s="12"/>
      <c r="B156" s="2"/>
      <c r="C156" s="2" t="s">
        <v>44</v>
      </c>
      <c r="D156" s="4">
        <v>73</v>
      </c>
      <c r="E156" s="4">
        <v>52</v>
      </c>
      <c r="F156" s="4">
        <v>30</v>
      </c>
      <c r="G156" s="4">
        <v>25</v>
      </c>
      <c r="H156" s="4">
        <v>16</v>
      </c>
      <c r="I156" s="4">
        <v>6</v>
      </c>
      <c r="J156" s="4">
        <v>11</v>
      </c>
      <c r="K156" s="4">
        <v>32</v>
      </c>
      <c r="L156" s="4">
        <v>66</v>
      </c>
      <c r="M156" s="4">
        <v>58</v>
      </c>
      <c r="N156" s="4">
        <v>70</v>
      </c>
      <c r="O156" s="4">
        <v>23</v>
      </c>
      <c r="P156" s="4">
        <v>32</v>
      </c>
      <c r="Q156" s="4">
        <v>12</v>
      </c>
      <c r="R156" s="4">
        <v>0</v>
      </c>
      <c r="S156" s="4">
        <v>0</v>
      </c>
      <c r="T156" s="4">
        <v>51</v>
      </c>
      <c r="U156" s="4">
        <v>48</v>
      </c>
      <c r="V156" s="4">
        <v>0</v>
      </c>
      <c r="W156" s="4">
        <v>0</v>
      </c>
      <c r="X156" s="4">
        <v>0</v>
      </c>
      <c r="Y156" s="4">
        <v>0</v>
      </c>
      <c r="Z156" s="4">
        <v>0</v>
      </c>
      <c r="AA156" s="4">
        <v>0</v>
      </c>
      <c r="AB156" s="4">
        <v>0</v>
      </c>
      <c r="AC156" s="4">
        <v>0</v>
      </c>
      <c r="AD156" s="4">
        <v>0</v>
      </c>
      <c r="AE156" s="4">
        <v>0</v>
      </c>
      <c r="AF156" s="4">
        <v>0</v>
      </c>
      <c r="AG156" s="4">
        <v>0</v>
      </c>
      <c r="AH156" s="4">
        <v>0</v>
      </c>
      <c r="AI156" s="4">
        <v>0</v>
      </c>
      <c r="AJ156" s="4">
        <v>0</v>
      </c>
      <c r="AK156" s="4">
        <v>0</v>
      </c>
      <c r="AL156" s="4">
        <v>63</v>
      </c>
      <c r="AM156" s="4">
        <v>3</v>
      </c>
      <c r="AN156" s="4">
        <v>206</v>
      </c>
      <c r="AO156" s="4">
        <v>118</v>
      </c>
      <c r="AP156" s="4">
        <v>150</v>
      </c>
      <c r="AQ156" s="4">
        <v>65</v>
      </c>
      <c r="AR156" s="4">
        <v>84</v>
      </c>
      <c r="AS156" s="4">
        <v>52</v>
      </c>
      <c r="AT156" s="4">
        <v>0</v>
      </c>
      <c r="AU156" s="4">
        <v>150</v>
      </c>
      <c r="AV156" s="4">
        <v>0</v>
      </c>
      <c r="AW156" s="4">
        <v>100</v>
      </c>
      <c r="AX156" s="4">
        <v>100</v>
      </c>
      <c r="AY156" s="4">
        <v>50</v>
      </c>
      <c r="AZ156" s="4">
        <v>100</v>
      </c>
      <c r="BA156" s="4">
        <v>0</v>
      </c>
      <c r="BB156" s="13">
        <v>0</v>
      </c>
      <c r="BC156" s="21">
        <f t="shared" ref="BC156:BH156" si="39">AW156/AX$42</f>
        <v>0.85470085470085466</v>
      </c>
      <c r="BD156" s="21">
        <f t="shared" si="39"/>
        <v>7.6923076923076925</v>
      </c>
      <c r="BE156" s="21">
        <f t="shared" si="39"/>
        <v>1.1363636363636365</v>
      </c>
      <c r="BF156" s="21">
        <f t="shared" si="39"/>
        <v>0.70422535211267601</v>
      </c>
      <c r="BG156" s="21">
        <f t="shared" si="39"/>
        <v>0</v>
      </c>
      <c r="BH156" s="21" t="e">
        <f t="shared" si="39"/>
        <v>#DIV/0!</v>
      </c>
      <c r="BI156"/>
      <c r="BJ156" s="23" t="e">
        <f>AVERAGE(BF156,BG156,BH156)</f>
        <v>#DIV/0!</v>
      </c>
    </row>
    <row r="157" spans="1:62" ht="30" x14ac:dyDescent="0.25">
      <c r="A157" s="12"/>
      <c r="B157" s="6"/>
      <c r="C157" s="6" t="s">
        <v>43</v>
      </c>
      <c r="D157" s="7">
        <v>363</v>
      </c>
      <c r="E157" s="7">
        <v>401</v>
      </c>
      <c r="F157" s="7">
        <v>423</v>
      </c>
      <c r="G157" s="7">
        <v>444</v>
      </c>
      <c r="H157" s="7">
        <v>481</v>
      </c>
      <c r="I157" s="7">
        <v>516</v>
      </c>
      <c r="J157" s="7">
        <v>526</v>
      </c>
      <c r="K157" s="7">
        <v>535</v>
      </c>
      <c r="L157" s="7">
        <v>499</v>
      </c>
      <c r="M157" s="7">
        <v>446</v>
      </c>
      <c r="N157" s="7">
        <v>441</v>
      </c>
      <c r="O157" s="7">
        <v>580</v>
      </c>
      <c r="P157" s="7">
        <v>600</v>
      </c>
      <c r="Q157" s="7">
        <v>620</v>
      </c>
      <c r="R157" s="7">
        <v>801</v>
      </c>
      <c r="S157" s="7">
        <v>851</v>
      </c>
      <c r="T157" s="7">
        <v>859</v>
      </c>
      <c r="U157" s="7">
        <v>932</v>
      </c>
      <c r="V157" s="8">
        <v>1046</v>
      </c>
      <c r="W157" s="8">
        <v>1171</v>
      </c>
      <c r="X157" s="8">
        <v>1338</v>
      </c>
      <c r="Y157" s="8">
        <v>1384</v>
      </c>
      <c r="Z157" s="8">
        <v>1505</v>
      </c>
      <c r="AA157" s="8">
        <v>1532</v>
      </c>
      <c r="AB157" s="8">
        <v>1600</v>
      </c>
      <c r="AC157" s="8">
        <v>1643</v>
      </c>
      <c r="AD157" s="8">
        <v>1645</v>
      </c>
      <c r="AE157" s="8">
        <v>1542</v>
      </c>
      <c r="AF157" s="8">
        <v>1678</v>
      </c>
      <c r="AG157" s="8">
        <v>1452</v>
      </c>
      <c r="AH157" s="8">
        <v>1477</v>
      </c>
      <c r="AI157" s="8">
        <v>1520</v>
      </c>
      <c r="AJ157" s="8">
        <v>1565</v>
      </c>
      <c r="AK157" s="8">
        <v>1600</v>
      </c>
      <c r="AL157" s="8">
        <v>1620</v>
      </c>
      <c r="AM157" s="8">
        <v>1647</v>
      </c>
      <c r="AN157" s="8">
        <v>1890</v>
      </c>
      <c r="AO157" s="8">
        <v>1920</v>
      </c>
      <c r="AP157" s="8">
        <v>1950</v>
      </c>
      <c r="AQ157" s="8">
        <v>1940</v>
      </c>
      <c r="AR157" s="8">
        <v>2030</v>
      </c>
      <c r="AS157" s="8">
        <v>2290</v>
      </c>
      <c r="AT157" s="8">
        <v>2250</v>
      </c>
      <c r="AU157" s="8">
        <v>2255</v>
      </c>
      <c r="AV157" s="8">
        <v>2485</v>
      </c>
      <c r="AW157" s="8">
        <v>2441</v>
      </c>
      <c r="AX157" s="8">
        <v>2598</v>
      </c>
      <c r="AY157" s="8">
        <v>2690</v>
      </c>
      <c r="AZ157" s="8">
        <v>2748</v>
      </c>
      <c r="BA157" s="8">
        <v>2629</v>
      </c>
      <c r="BB157" s="25">
        <v>2800</v>
      </c>
      <c r="BC157" s="20">
        <f t="shared" ref="BC157:BH157" si="40">AW157/AW$25</f>
        <v>1.4573134328358208</v>
      </c>
      <c r="BD157" s="20">
        <f t="shared" si="40"/>
        <v>1.5192982456140351</v>
      </c>
      <c r="BE157" s="20">
        <f t="shared" si="40"/>
        <v>1.4986072423398329</v>
      </c>
      <c r="BF157" s="20">
        <f t="shared" si="40"/>
        <v>1.5884393063583815</v>
      </c>
      <c r="BG157" s="20">
        <f t="shared" si="40"/>
        <v>1.5196531791907515</v>
      </c>
      <c r="BH157" s="20">
        <f t="shared" si="40"/>
        <v>1.5909090909090908</v>
      </c>
      <c r="BI157" s="5"/>
      <c r="BJ157" s="23">
        <f>AVERAGE(BF157,BG157,BH157)</f>
        <v>1.566333858819408</v>
      </c>
    </row>
    <row r="158" spans="1:62" x14ac:dyDescent="0.25">
      <c r="A158" s="12"/>
      <c r="B158" s="2" t="s">
        <v>15</v>
      </c>
      <c r="C158" s="2" t="s">
        <v>6</v>
      </c>
      <c r="D158" s="3">
        <v>1499</v>
      </c>
      <c r="E158" s="3">
        <v>1436</v>
      </c>
      <c r="F158" s="3">
        <v>1593</v>
      </c>
      <c r="G158" s="3">
        <v>1493</v>
      </c>
      <c r="H158" s="3">
        <v>1500</v>
      </c>
      <c r="I158" s="3">
        <v>1272</v>
      </c>
      <c r="J158" s="3">
        <v>1465</v>
      </c>
      <c r="K158" s="3">
        <v>1299</v>
      </c>
      <c r="L158" s="3">
        <v>1526</v>
      </c>
      <c r="M158" s="3">
        <v>1277</v>
      </c>
      <c r="N158" s="3">
        <v>1519</v>
      </c>
      <c r="O158" s="3">
        <v>1729</v>
      </c>
      <c r="P158" s="3">
        <v>1616</v>
      </c>
      <c r="Q158" s="3">
        <v>1837</v>
      </c>
      <c r="R158" s="3">
        <v>1883</v>
      </c>
      <c r="S158" s="3">
        <v>2033</v>
      </c>
      <c r="T158" s="3">
        <v>1960</v>
      </c>
      <c r="U158" s="3">
        <v>1697</v>
      </c>
      <c r="V158" s="3">
        <v>1933</v>
      </c>
      <c r="W158" s="3">
        <v>1856</v>
      </c>
      <c r="X158" s="3">
        <v>1796</v>
      </c>
      <c r="Y158" s="3">
        <v>1938</v>
      </c>
      <c r="Z158" s="3">
        <v>2017</v>
      </c>
      <c r="AA158" s="3">
        <v>1996</v>
      </c>
      <c r="AB158" s="3">
        <v>1815</v>
      </c>
      <c r="AC158" s="3">
        <v>1873</v>
      </c>
      <c r="AD158" s="3">
        <v>1929</v>
      </c>
      <c r="AE158" s="3">
        <v>2443</v>
      </c>
      <c r="AF158" s="3">
        <v>2839</v>
      </c>
      <c r="AG158" s="3">
        <v>3183</v>
      </c>
      <c r="AH158" s="3">
        <v>4286</v>
      </c>
      <c r="AI158" s="3">
        <v>4482</v>
      </c>
      <c r="AJ158" s="3">
        <v>4617</v>
      </c>
      <c r="AK158" s="3">
        <v>4780</v>
      </c>
      <c r="AL158" s="3">
        <v>4100</v>
      </c>
      <c r="AM158" s="3">
        <v>5700</v>
      </c>
      <c r="AN158" s="3">
        <v>5735</v>
      </c>
      <c r="AO158" s="3">
        <v>5850</v>
      </c>
      <c r="AP158" s="3">
        <v>6104</v>
      </c>
      <c r="AQ158" s="3">
        <v>6350</v>
      </c>
      <c r="AR158" s="3">
        <v>6350</v>
      </c>
      <c r="AS158" s="3">
        <v>6130</v>
      </c>
      <c r="AT158" s="3">
        <v>6300</v>
      </c>
      <c r="AU158" s="3">
        <v>6443</v>
      </c>
      <c r="AV158" s="3">
        <v>7177</v>
      </c>
      <c r="AW158" s="3">
        <v>8184</v>
      </c>
      <c r="AX158" s="3">
        <v>8274</v>
      </c>
      <c r="AY158" s="3">
        <v>8275</v>
      </c>
      <c r="AZ158" s="3">
        <v>7977</v>
      </c>
      <c r="BA158" s="3">
        <v>8523</v>
      </c>
      <c r="BB158" s="3">
        <v>7200</v>
      </c>
      <c r="BC158" s="13">
        <v>0</v>
      </c>
      <c r="BD158" s="20">
        <f t="shared" ref="BD158:BI161" si="41">AW158/AW571</f>
        <v>1.3218420508579699E-2</v>
      </c>
      <c r="BE158" s="20">
        <f t="shared" si="41"/>
        <v>1.3876659740076779E-2</v>
      </c>
      <c r="BF158" s="20">
        <f t="shared" si="41"/>
        <v>1.3519143270243998E-2</v>
      </c>
      <c r="BG158" s="20">
        <f t="shared" si="41"/>
        <v>1.169322329556282E-2</v>
      </c>
      <c r="BH158" s="20">
        <f t="shared" si="41"/>
        <v>1.2464043216872597E-2</v>
      </c>
      <c r="BI158" s="20">
        <f t="shared" si="41"/>
        <v>1.1125172092505806E-2</v>
      </c>
      <c r="BJ158" s="23">
        <f t="shared" si="35"/>
        <v>1.1760812868313741E-2</v>
      </c>
    </row>
    <row r="159" spans="1:62" s="5" customFormat="1" x14ac:dyDescent="0.25">
      <c r="A159" s="14"/>
      <c r="B159" s="6"/>
      <c r="C159" s="6" t="s">
        <v>7</v>
      </c>
      <c r="D159" s="7">
        <v>996</v>
      </c>
      <c r="E159" s="8">
        <v>1709</v>
      </c>
      <c r="F159" s="8">
        <v>1730</v>
      </c>
      <c r="G159" s="8">
        <v>1933</v>
      </c>
      <c r="H159" s="8">
        <v>1977</v>
      </c>
      <c r="I159" s="8">
        <v>2344</v>
      </c>
      <c r="J159" s="8">
        <v>2498</v>
      </c>
      <c r="K159" s="8">
        <v>2782</v>
      </c>
      <c r="L159" s="8">
        <v>1940</v>
      </c>
      <c r="M159" s="8">
        <v>2220</v>
      </c>
      <c r="N159" s="8">
        <v>2835</v>
      </c>
      <c r="O159" s="8">
        <v>2590</v>
      </c>
      <c r="P159" s="8">
        <v>3040</v>
      </c>
      <c r="Q159" s="8">
        <v>3180</v>
      </c>
      <c r="R159" s="8">
        <v>3490</v>
      </c>
      <c r="S159" s="8">
        <v>3800</v>
      </c>
      <c r="T159" s="8">
        <v>3883</v>
      </c>
      <c r="U159" s="8">
        <v>4344</v>
      </c>
      <c r="V159" s="8">
        <v>5119</v>
      </c>
      <c r="W159" s="8">
        <v>4906</v>
      </c>
      <c r="X159" s="8">
        <v>5423</v>
      </c>
      <c r="Y159" s="8">
        <v>5878</v>
      </c>
      <c r="Z159" s="8">
        <v>5503</v>
      </c>
      <c r="AA159" s="8">
        <v>5857</v>
      </c>
      <c r="AB159" s="8">
        <v>6302</v>
      </c>
      <c r="AC159" s="8">
        <v>6236</v>
      </c>
      <c r="AD159" s="8">
        <v>7022</v>
      </c>
      <c r="AE159" s="8">
        <v>7473</v>
      </c>
      <c r="AF159" s="8">
        <v>7408</v>
      </c>
      <c r="AG159" s="8">
        <v>7258</v>
      </c>
      <c r="AH159" s="8">
        <v>5680</v>
      </c>
      <c r="AI159" s="8">
        <v>5807</v>
      </c>
      <c r="AJ159" s="8">
        <v>6004</v>
      </c>
      <c r="AK159" s="8">
        <v>5866</v>
      </c>
      <c r="AL159" s="8">
        <v>5856</v>
      </c>
      <c r="AM159" s="8">
        <v>5932</v>
      </c>
      <c r="AN159" s="8">
        <v>6893</v>
      </c>
      <c r="AO159" s="8">
        <v>7134</v>
      </c>
      <c r="AP159" s="8">
        <v>7454</v>
      </c>
      <c r="AQ159" s="8">
        <v>5872</v>
      </c>
      <c r="AR159" s="8">
        <v>6050</v>
      </c>
      <c r="AS159" s="8">
        <v>6944</v>
      </c>
      <c r="AT159" s="8">
        <v>6327</v>
      </c>
      <c r="AU159" s="8">
        <v>7295</v>
      </c>
      <c r="AV159" s="8">
        <v>8150</v>
      </c>
      <c r="AW159" s="8">
        <v>7771</v>
      </c>
      <c r="AX159" s="8">
        <v>7300</v>
      </c>
      <c r="AY159" s="8">
        <v>7700</v>
      </c>
      <c r="AZ159" s="8">
        <v>9900</v>
      </c>
      <c r="BA159" s="8">
        <v>10300</v>
      </c>
      <c r="BB159" s="8">
        <v>10000</v>
      </c>
      <c r="BC159" s="15">
        <v>0</v>
      </c>
      <c r="BD159" s="21">
        <f t="shared" si="41"/>
        <v>6.9646970253726126E-2</v>
      </c>
      <c r="BE159" s="21">
        <f t="shared" si="41"/>
        <v>6.403059434425655E-2</v>
      </c>
      <c r="BF159" s="21">
        <f t="shared" si="41"/>
        <v>6.7659593163745008E-2</v>
      </c>
      <c r="BG159" s="21">
        <f t="shared" si="41"/>
        <v>7.2298131202851029E-2</v>
      </c>
      <c r="BH159" s="21">
        <f t="shared" si="41"/>
        <v>7.7179573639054366E-2</v>
      </c>
      <c r="BI159" s="21">
        <f t="shared" si="41"/>
        <v>8.1516865839542207E-2</v>
      </c>
      <c r="BJ159" s="23">
        <f t="shared" si="35"/>
        <v>7.6998190227149196E-2</v>
      </c>
    </row>
    <row r="160" spans="1:62" x14ac:dyDescent="0.25">
      <c r="A160" s="12"/>
      <c r="B160" s="2"/>
      <c r="C160" s="2" t="s">
        <v>8</v>
      </c>
      <c r="D160" s="4">
        <v>5</v>
      </c>
      <c r="E160" s="4">
        <v>6</v>
      </c>
      <c r="F160" s="4">
        <v>15</v>
      </c>
      <c r="G160" s="4">
        <v>19</v>
      </c>
      <c r="H160" s="4">
        <v>12</v>
      </c>
      <c r="I160" s="4">
        <v>21</v>
      </c>
      <c r="J160" s="4">
        <v>29</v>
      </c>
      <c r="K160" s="4">
        <v>12</v>
      </c>
      <c r="L160" s="4">
        <v>0</v>
      </c>
      <c r="M160" s="4">
        <v>0</v>
      </c>
      <c r="N160" s="4">
        <v>0</v>
      </c>
      <c r="O160" s="4">
        <v>0</v>
      </c>
      <c r="P160" s="4">
        <v>0</v>
      </c>
      <c r="Q160" s="4">
        <v>0</v>
      </c>
      <c r="R160" s="4">
        <v>0</v>
      </c>
      <c r="S160" s="4">
        <v>0</v>
      </c>
      <c r="T160" s="4">
        <v>0</v>
      </c>
      <c r="U160" s="4">
        <v>0</v>
      </c>
      <c r="V160" s="4">
        <v>0</v>
      </c>
      <c r="W160" s="4">
        <v>0</v>
      </c>
      <c r="X160" s="4">
        <v>0</v>
      </c>
      <c r="Y160" s="4">
        <v>0</v>
      </c>
      <c r="Z160" s="4">
        <v>0</v>
      </c>
      <c r="AA160" s="4">
        <v>0</v>
      </c>
      <c r="AB160" s="4">
        <v>0</v>
      </c>
      <c r="AC160" s="4">
        <v>0</v>
      </c>
      <c r="AD160" s="4">
        <v>0</v>
      </c>
      <c r="AE160" s="4">
        <v>0</v>
      </c>
      <c r="AF160" s="4">
        <v>0</v>
      </c>
      <c r="AG160" s="4">
        <v>0</v>
      </c>
      <c r="AH160" s="4">
        <v>0</v>
      </c>
      <c r="AI160" s="4">
        <v>0</v>
      </c>
      <c r="AJ160" s="4">
        <v>0</v>
      </c>
      <c r="AK160" s="4">
        <v>2</v>
      </c>
      <c r="AL160" s="4">
        <v>3</v>
      </c>
      <c r="AM160" s="4">
        <v>10</v>
      </c>
      <c r="AN160" s="4">
        <v>3</v>
      </c>
      <c r="AO160" s="4">
        <v>1</v>
      </c>
      <c r="AP160" s="4">
        <v>0</v>
      </c>
      <c r="AQ160" s="4">
        <v>0</v>
      </c>
      <c r="AR160" s="4">
        <v>0</v>
      </c>
      <c r="AS160" s="4">
        <v>11</v>
      </c>
      <c r="AT160" s="4">
        <v>10</v>
      </c>
      <c r="AU160" s="4">
        <v>10</v>
      </c>
      <c r="AV160" s="4">
        <v>10</v>
      </c>
      <c r="AW160" s="4">
        <v>10</v>
      </c>
      <c r="AX160" s="4">
        <v>12</v>
      </c>
      <c r="AY160" s="4">
        <v>62</v>
      </c>
      <c r="AZ160" s="4">
        <v>114</v>
      </c>
      <c r="BA160" s="4">
        <v>9</v>
      </c>
      <c r="BB160" s="4">
        <v>10</v>
      </c>
      <c r="BC160" s="13">
        <v>0</v>
      </c>
      <c r="BD160" s="20">
        <f t="shared" si="41"/>
        <v>8.5481044578364753E-5</v>
      </c>
      <c r="BE160" s="20">
        <f t="shared" si="41"/>
        <v>1.0731052984574111E-4</v>
      </c>
      <c r="BF160" s="20">
        <f t="shared" si="41"/>
        <v>5.2864037107143468E-4</v>
      </c>
      <c r="BG160" s="20">
        <f t="shared" si="41"/>
        <v>7.9354030349436172E-4</v>
      </c>
      <c r="BH160" s="20">
        <f t="shared" si="41"/>
        <v>6.6273444230896677E-5</v>
      </c>
      <c r="BI160" s="20">
        <f t="shared" si="41"/>
        <v>8.054318322768753E-5</v>
      </c>
      <c r="BJ160" s="23">
        <f t="shared" si="35"/>
        <v>3.1345231031764862E-4</v>
      </c>
    </row>
    <row r="161" spans="1:62" s="5" customFormat="1" x14ac:dyDescent="0.25">
      <c r="A161" s="14"/>
      <c r="B161" s="6"/>
      <c r="C161" s="6" t="s">
        <v>9</v>
      </c>
      <c r="D161" s="8">
        <v>2490</v>
      </c>
      <c r="E161" s="8">
        <v>3139</v>
      </c>
      <c r="F161" s="8">
        <v>3308</v>
      </c>
      <c r="G161" s="8">
        <v>3407</v>
      </c>
      <c r="H161" s="8">
        <v>3465</v>
      </c>
      <c r="I161" s="8">
        <v>3595</v>
      </c>
      <c r="J161" s="8">
        <v>3934</v>
      </c>
      <c r="K161" s="8">
        <v>4069</v>
      </c>
      <c r="L161" s="8">
        <v>3466</v>
      </c>
      <c r="M161" s="8">
        <v>3497</v>
      </c>
      <c r="N161" s="8">
        <v>4354</v>
      </c>
      <c r="O161" s="8">
        <v>4319</v>
      </c>
      <c r="P161" s="8">
        <v>4656</v>
      </c>
      <c r="Q161" s="8">
        <v>4217</v>
      </c>
      <c r="R161" s="8">
        <v>5373</v>
      </c>
      <c r="S161" s="8">
        <v>5733</v>
      </c>
      <c r="T161" s="8">
        <v>5793</v>
      </c>
      <c r="U161" s="8">
        <v>6091</v>
      </c>
      <c r="V161" s="8">
        <v>7052</v>
      </c>
      <c r="W161" s="8">
        <v>7162</v>
      </c>
      <c r="X161" s="8">
        <v>7469</v>
      </c>
      <c r="Y161" s="8">
        <v>7670</v>
      </c>
      <c r="Z161" s="8">
        <v>7576</v>
      </c>
      <c r="AA161" s="8">
        <v>7950</v>
      </c>
      <c r="AB161" s="8">
        <v>8150</v>
      </c>
      <c r="AC161" s="8">
        <v>8169</v>
      </c>
      <c r="AD161" s="8">
        <v>8601</v>
      </c>
      <c r="AE161" s="8">
        <v>9616</v>
      </c>
      <c r="AF161" s="8">
        <v>10247</v>
      </c>
      <c r="AG161" s="8">
        <v>10441</v>
      </c>
      <c r="AH161" s="8">
        <v>10266</v>
      </c>
      <c r="AI161" s="8">
        <v>10289</v>
      </c>
      <c r="AJ161" s="8">
        <v>10421</v>
      </c>
      <c r="AK161" s="8">
        <v>10514</v>
      </c>
      <c r="AL161" s="8">
        <v>10383</v>
      </c>
      <c r="AM161" s="8">
        <v>11300</v>
      </c>
      <c r="AN161" s="8">
        <v>11600</v>
      </c>
      <c r="AO161" s="8">
        <v>12100</v>
      </c>
      <c r="AP161" s="8">
        <v>13000</v>
      </c>
      <c r="AQ161" s="8">
        <v>13300</v>
      </c>
      <c r="AR161" s="8">
        <v>12800</v>
      </c>
      <c r="AS161" s="8">
        <v>12900</v>
      </c>
      <c r="AT161" s="8">
        <v>13300</v>
      </c>
      <c r="AU161" s="8">
        <v>13600</v>
      </c>
      <c r="AV161" s="8">
        <v>14000</v>
      </c>
      <c r="AW161" s="8">
        <v>14700</v>
      </c>
      <c r="AX161" s="8">
        <v>15300</v>
      </c>
      <c r="AY161" s="8">
        <v>15800</v>
      </c>
      <c r="AZ161" s="8">
        <v>17200</v>
      </c>
      <c r="BA161" s="8">
        <v>17900</v>
      </c>
      <c r="BB161" s="8">
        <v>17500</v>
      </c>
      <c r="BC161" s="15">
        <v>0</v>
      </c>
      <c r="BD161" s="21">
        <f t="shared" si="41"/>
        <v>2.383681994120251E-2</v>
      </c>
      <c r="BE161" s="21">
        <f t="shared" si="41"/>
        <v>2.4745589462584022E-2</v>
      </c>
      <c r="BF161" s="21">
        <f t="shared" si="41"/>
        <v>2.5763109835637881E-2</v>
      </c>
      <c r="BG161" s="21">
        <f t="shared" si="41"/>
        <v>2.7097068947861774E-2</v>
      </c>
      <c r="BH161" s="21">
        <f t="shared" si="41"/>
        <v>2.7529609710108597E-2</v>
      </c>
      <c r="BI161" s="21">
        <f t="shared" si="41"/>
        <v>2.6484092897117624E-2</v>
      </c>
      <c r="BJ161" s="23">
        <f t="shared" si="35"/>
        <v>2.7036923851695999E-2</v>
      </c>
    </row>
    <row r="162" spans="1:62" x14ac:dyDescent="0.25">
      <c r="A162" s="12" t="s">
        <v>21</v>
      </c>
      <c r="B162" s="2" t="s">
        <v>5</v>
      </c>
      <c r="C162" s="2" t="s">
        <v>6</v>
      </c>
      <c r="D162" s="4">
        <v>0</v>
      </c>
      <c r="E162" s="4">
        <v>0</v>
      </c>
      <c r="F162" s="4">
        <v>0</v>
      </c>
      <c r="G162" s="4">
        <v>0</v>
      </c>
      <c r="H162" s="4">
        <v>0</v>
      </c>
      <c r="I162" s="4">
        <v>0</v>
      </c>
      <c r="J162" s="4">
        <v>0</v>
      </c>
      <c r="K162" s="4">
        <v>0</v>
      </c>
      <c r="L162" s="4">
        <v>0</v>
      </c>
      <c r="M162" s="4">
        <v>0</v>
      </c>
      <c r="N162" s="4">
        <v>0</v>
      </c>
      <c r="O162" s="4">
        <v>0</v>
      </c>
      <c r="P162" s="4">
        <v>0</v>
      </c>
      <c r="Q162" s="4">
        <v>0</v>
      </c>
      <c r="R162" s="4">
        <v>0</v>
      </c>
      <c r="S162" s="4">
        <v>0</v>
      </c>
      <c r="T162" s="4">
        <v>0</v>
      </c>
      <c r="U162" s="4">
        <v>0</v>
      </c>
      <c r="V162" s="4">
        <v>0</v>
      </c>
      <c r="W162" s="4">
        <v>0</v>
      </c>
      <c r="X162" s="4">
        <v>0</v>
      </c>
      <c r="Y162" s="4">
        <v>0</v>
      </c>
      <c r="Z162" s="4">
        <v>0</v>
      </c>
      <c r="AA162" s="4">
        <v>0</v>
      </c>
      <c r="AB162" s="4">
        <v>0</v>
      </c>
      <c r="AC162" s="4">
        <v>0</v>
      </c>
      <c r="AD162" s="4">
        <v>0</v>
      </c>
      <c r="AE162" s="4">
        <v>0</v>
      </c>
      <c r="AF162" s="4">
        <v>0</v>
      </c>
      <c r="AG162" s="4">
        <v>0</v>
      </c>
      <c r="AH162" s="4">
        <v>0</v>
      </c>
      <c r="AI162" s="4">
        <v>0</v>
      </c>
      <c r="AJ162" s="4">
        <v>0</v>
      </c>
      <c r="AK162" s="4">
        <v>0</v>
      </c>
      <c r="AL162" s="4">
        <v>0</v>
      </c>
      <c r="AM162" s="4">
        <v>0</v>
      </c>
      <c r="AN162" s="4">
        <v>0</v>
      </c>
      <c r="AO162" s="4">
        <v>0</v>
      </c>
      <c r="AP162" s="4">
        <v>0</v>
      </c>
      <c r="AQ162" s="3">
        <v>57339</v>
      </c>
      <c r="AR162" s="3">
        <v>50089</v>
      </c>
      <c r="AS162" s="3">
        <v>58022</v>
      </c>
      <c r="AT162" s="3">
        <v>57660</v>
      </c>
      <c r="AU162" s="3">
        <v>47905</v>
      </c>
      <c r="AV162" s="3">
        <v>66471</v>
      </c>
      <c r="AW162" s="3">
        <v>60668</v>
      </c>
      <c r="AX162" s="3">
        <v>53829</v>
      </c>
      <c r="AY162" s="3">
        <v>47555</v>
      </c>
      <c r="AZ162" s="3">
        <v>62321</v>
      </c>
      <c r="BA162" s="3">
        <v>57147</v>
      </c>
      <c r="BB162" s="3">
        <v>55193</v>
      </c>
      <c r="BC162" s="13">
        <v>0</v>
      </c>
      <c r="BD162" s="20">
        <f t="shared" ref="BD162:BI165" si="42">AW162/AW547</f>
        <v>8.6735729664969161E-2</v>
      </c>
      <c r="BE162" s="20">
        <f t="shared" si="42"/>
        <v>7.5436081342991804E-2</v>
      </c>
      <c r="BF162" s="20">
        <f t="shared" si="42"/>
        <v>5.9857364387920532E-2</v>
      </c>
      <c r="BG162" s="20">
        <f t="shared" si="42"/>
        <v>7.8015933422130535E-2</v>
      </c>
      <c r="BH162" s="20">
        <f t="shared" si="42"/>
        <v>7.0341089107082852E-2</v>
      </c>
      <c r="BI162" s="20">
        <f t="shared" si="42"/>
        <v>6.7726375283609488E-2</v>
      </c>
      <c r="BJ162" s="23">
        <f t="shared" si="35"/>
        <v>7.2027799270940954E-2</v>
      </c>
    </row>
    <row r="163" spans="1:62" s="5" customFormat="1" x14ac:dyDescent="0.25">
      <c r="A163" s="14"/>
      <c r="B163" s="6"/>
      <c r="C163" s="6" t="s">
        <v>7</v>
      </c>
      <c r="D163" s="7">
        <v>0</v>
      </c>
      <c r="E163" s="7">
        <v>0</v>
      </c>
      <c r="F163" s="7">
        <v>0</v>
      </c>
      <c r="G163" s="7">
        <v>0</v>
      </c>
      <c r="H163" s="7">
        <v>0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7">
        <v>0</v>
      </c>
      <c r="R163" s="7">
        <v>0</v>
      </c>
      <c r="S163" s="7">
        <v>0</v>
      </c>
      <c r="T163" s="7">
        <v>0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7">
        <v>0</v>
      </c>
      <c r="AA163" s="7">
        <v>0</v>
      </c>
      <c r="AB163" s="7">
        <v>0</v>
      </c>
      <c r="AC163" s="7">
        <v>0</v>
      </c>
      <c r="AD163" s="7">
        <v>0</v>
      </c>
      <c r="AE163" s="7">
        <v>0</v>
      </c>
      <c r="AF163" s="7">
        <v>0</v>
      </c>
      <c r="AG163" s="7">
        <v>0</v>
      </c>
      <c r="AH163" s="7">
        <v>0</v>
      </c>
      <c r="AI163" s="7">
        <v>0</v>
      </c>
      <c r="AJ163" s="7">
        <v>0</v>
      </c>
      <c r="AK163" s="7">
        <v>0</v>
      </c>
      <c r="AL163" s="7">
        <v>0</v>
      </c>
      <c r="AM163" s="7">
        <v>0</v>
      </c>
      <c r="AN163" s="7">
        <v>0</v>
      </c>
      <c r="AO163" s="7">
        <v>0</v>
      </c>
      <c r="AP163" s="7">
        <v>0</v>
      </c>
      <c r="AQ163" s="8">
        <v>2384</v>
      </c>
      <c r="AR163" s="8">
        <v>3689</v>
      </c>
      <c r="AS163" s="8">
        <v>2201</v>
      </c>
      <c r="AT163" s="8">
        <v>2824</v>
      </c>
      <c r="AU163" s="8">
        <v>5859</v>
      </c>
      <c r="AV163" s="8">
        <v>2469</v>
      </c>
      <c r="AW163" s="8">
        <v>2673</v>
      </c>
      <c r="AX163" s="8">
        <v>7172</v>
      </c>
      <c r="AY163" s="8">
        <v>14016</v>
      </c>
      <c r="AZ163" s="8">
        <v>2754</v>
      </c>
      <c r="BA163" s="8">
        <v>2931</v>
      </c>
      <c r="BB163" s="8">
        <v>6500</v>
      </c>
      <c r="BC163" s="15">
        <v>0</v>
      </c>
      <c r="BD163" s="21">
        <f t="shared" si="42"/>
        <v>3.3149787930649599E-2</v>
      </c>
      <c r="BE163" s="21">
        <f t="shared" si="42"/>
        <v>7.9183871751275198E-2</v>
      </c>
      <c r="BF163" s="21">
        <f t="shared" si="42"/>
        <v>0.14226986205426476</v>
      </c>
      <c r="BG163" s="21">
        <f t="shared" si="42"/>
        <v>3.3346652620872531E-2</v>
      </c>
      <c r="BH163" s="21">
        <f t="shared" si="42"/>
        <v>3.2623939805436208E-2</v>
      </c>
      <c r="BI163" s="21">
        <f t="shared" si="42"/>
        <v>7.0880996259664347E-2</v>
      </c>
      <c r="BJ163" s="23">
        <f t="shared" si="35"/>
        <v>4.5617196228657696E-2</v>
      </c>
    </row>
    <row r="164" spans="1:62" x14ac:dyDescent="0.25">
      <c r="A164" s="12"/>
      <c r="B164" s="2"/>
      <c r="C164" s="2" t="s">
        <v>8</v>
      </c>
      <c r="D164" s="4">
        <v>0</v>
      </c>
      <c r="E164" s="4">
        <v>0</v>
      </c>
      <c r="F164" s="4">
        <v>0</v>
      </c>
      <c r="G164" s="4">
        <v>0</v>
      </c>
      <c r="H164" s="4">
        <v>0</v>
      </c>
      <c r="I164" s="4">
        <v>0</v>
      </c>
      <c r="J164" s="4">
        <v>0</v>
      </c>
      <c r="K164" s="4">
        <v>0</v>
      </c>
      <c r="L164" s="4">
        <v>0</v>
      </c>
      <c r="M164" s="4">
        <v>0</v>
      </c>
      <c r="N164" s="4">
        <v>0</v>
      </c>
      <c r="O164" s="4">
        <v>0</v>
      </c>
      <c r="P164" s="4">
        <v>0</v>
      </c>
      <c r="Q164" s="4">
        <v>0</v>
      </c>
      <c r="R164" s="4">
        <v>0</v>
      </c>
      <c r="S164" s="4">
        <v>0</v>
      </c>
      <c r="T164" s="4">
        <v>0</v>
      </c>
      <c r="U164" s="4">
        <v>0</v>
      </c>
      <c r="V164" s="4">
        <v>0</v>
      </c>
      <c r="W164" s="4">
        <v>0</v>
      </c>
      <c r="X164" s="4">
        <v>0</v>
      </c>
      <c r="Y164" s="4">
        <v>0</v>
      </c>
      <c r="Z164" s="4">
        <v>0</v>
      </c>
      <c r="AA164" s="4">
        <v>0</v>
      </c>
      <c r="AB164" s="4">
        <v>0</v>
      </c>
      <c r="AC164" s="4">
        <v>0</v>
      </c>
      <c r="AD164" s="4">
        <v>0</v>
      </c>
      <c r="AE164" s="4">
        <v>0</v>
      </c>
      <c r="AF164" s="4">
        <v>0</v>
      </c>
      <c r="AG164" s="4">
        <v>0</v>
      </c>
      <c r="AH164" s="4">
        <v>0</v>
      </c>
      <c r="AI164" s="4">
        <v>0</v>
      </c>
      <c r="AJ164" s="4">
        <v>0</v>
      </c>
      <c r="AK164" s="4">
        <v>0</v>
      </c>
      <c r="AL164" s="4">
        <v>0</v>
      </c>
      <c r="AM164" s="4">
        <v>0</v>
      </c>
      <c r="AN164" s="4">
        <v>0</v>
      </c>
      <c r="AO164" s="4">
        <v>0</v>
      </c>
      <c r="AP164" s="4">
        <v>0</v>
      </c>
      <c r="AQ164" s="3">
        <v>1408</v>
      </c>
      <c r="AR164" s="4">
        <v>585</v>
      </c>
      <c r="AS164" s="3">
        <v>1258</v>
      </c>
      <c r="AT164" s="4">
        <v>756</v>
      </c>
      <c r="AU164" s="4">
        <v>455</v>
      </c>
      <c r="AV164" s="4">
        <v>678</v>
      </c>
      <c r="AW164" s="4">
        <v>449</v>
      </c>
      <c r="AX164" s="4">
        <v>664</v>
      </c>
      <c r="AY164" s="4">
        <v>591</v>
      </c>
      <c r="AZ164" s="3">
        <v>1743</v>
      </c>
      <c r="BA164" s="3">
        <v>1519</v>
      </c>
      <c r="BB164" s="3">
        <v>1000</v>
      </c>
      <c r="BC164" s="13">
        <v>0</v>
      </c>
      <c r="BD164" s="20">
        <f t="shared" si="42"/>
        <v>5.5382869548056051E-3</v>
      </c>
      <c r="BE164" s="20">
        <f t="shared" si="42"/>
        <v>7.0595489968848677E-3</v>
      </c>
      <c r="BF164" s="20">
        <f t="shared" si="42"/>
        <v>5.9919701516749132E-3</v>
      </c>
      <c r="BG164" s="20">
        <f t="shared" si="42"/>
        <v>2.0635277682408516E-2</v>
      </c>
      <c r="BH164" s="20">
        <f t="shared" si="42"/>
        <v>1.5662538795458997E-2</v>
      </c>
      <c r="BI164" s="20">
        <f t="shared" si="42"/>
        <v>1.1013579743824135E-2</v>
      </c>
      <c r="BJ164" s="23">
        <f t="shared" si="35"/>
        <v>1.5770465407230549E-2</v>
      </c>
    </row>
    <row r="165" spans="1:62" s="5" customFormat="1" x14ac:dyDescent="0.25">
      <c r="A165" s="14"/>
      <c r="B165" s="6"/>
      <c r="C165" s="6" t="s">
        <v>9</v>
      </c>
      <c r="D165" s="7">
        <v>0</v>
      </c>
      <c r="E165" s="7">
        <v>0</v>
      </c>
      <c r="F165" s="7">
        <v>0</v>
      </c>
      <c r="G165" s="7">
        <v>0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7">
        <v>0</v>
      </c>
      <c r="R165" s="7">
        <v>0</v>
      </c>
      <c r="S165" s="7">
        <v>0</v>
      </c>
      <c r="T165" s="7">
        <v>0</v>
      </c>
      <c r="U165" s="7">
        <v>0</v>
      </c>
      <c r="V165" s="7">
        <v>0</v>
      </c>
      <c r="W165" s="7">
        <v>0</v>
      </c>
      <c r="X165" s="7">
        <v>0</v>
      </c>
      <c r="Y165" s="7">
        <v>0</v>
      </c>
      <c r="Z165" s="7">
        <v>0</v>
      </c>
      <c r="AA165" s="7">
        <v>0</v>
      </c>
      <c r="AB165" s="7">
        <v>0</v>
      </c>
      <c r="AC165" s="7">
        <v>0</v>
      </c>
      <c r="AD165" s="7">
        <v>0</v>
      </c>
      <c r="AE165" s="7">
        <v>0</v>
      </c>
      <c r="AF165" s="7">
        <v>0</v>
      </c>
      <c r="AG165" s="7">
        <v>0</v>
      </c>
      <c r="AH165" s="7">
        <v>0</v>
      </c>
      <c r="AI165" s="7">
        <v>0</v>
      </c>
      <c r="AJ165" s="7">
        <v>0</v>
      </c>
      <c r="AK165" s="7">
        <v>0</v>
      </c>
      <c r="AL165" s="7">
        <v>0</v>
      </c>
      <c r="AM165" s="7">
        <v>0</v>
      </c>
      <c r="AN165" s="7">
        <v>0</v>
      </c>
      <c r="AO165" s="7">
        <v>0</v>
      </c>
      <c r="AP165" s="7">
        <v>0</v>
      </c>
      <c r="AQ165" s="8">
        <v>57582</v>
      </c>
      <c r="AR165" s="8">
        <v>55108</v>
      </c>
      <c r="AS165" s="8">
        <v>58288</v>
      </c>
      <c r="AT165" s="8">
        <v>57576</v>
      </c>
      <c r="AU165" s="8">
        <v>55764</v>
      </c>
      <c r="AV165" s="8">
        <v>63200</v>
      </c>
      <c r="AW165" s="8">
        <v>61500</v>
      </c>
      <c r="AX165" s="8">
        <v>62400</v>
      </c>
      <c r="AY165" s="8">
        <v>64000</v>
      </c>
      <c r="AZ165" s="8">
        <v>61600</v>
      </c>
      <c r="BA165" s="8">
        <v>60000</v>
      </c>
      <c r="BB165" s="8">
        <v>60500</v>
      </c>
      <c r="BC165" s="15">
        <v>0</v>
      </c>
      <c r="BD165" s="21">
        <f t="shared" si="42"/>
        <v>8.7113813134496648E-2</v>
      </c>
      <c r="BE165" s="21">
        <f t="shared" si="42"/>
        <v>8.6103169258960804E-2</v>
      </c>
      <c r="BF165" s="21">
        <f t="shared" si="42"/>
        <v>8.2875253319866102E-2</v>
      </c>
      <c r="BG165" s="21">
        <f t="shared" si="42"/>
        <v>7.8959680572201318E-2</v>
      </c>
      <c r="BH165" s="21">
        <f t="shared" si="42"/>
        <v>7.4206638278504933E-2</v>
      </c>
      <c r="BI165" s="21">
        <f t="shared" si="42"/>
        <v>7.209049323004732E-2</v>
      </c>
      <c r="BJ165" s="23">
        <f t="shared" si="35"/>
        <v>7.5085604026917857E-2</v>
      </c>
    </row>
    <row r="166" spans="1:62" x14ac:dyDescent="0.25">
      <c r="A166" s="12"/>
      <c r="B166" s="2" t="s">
        <v>11</v>
      </c>
      <c r="C166" s="2" t="s">
        <v>6</v>
      </c>
      <c r="D166" s="4">
        <v>0</v>
      </c>
      <c r="E166" s="4">
        <v>0</v>
      </c>
      <c r="F166" s="4">
        <v>0</v>
      </c>
      <c r="G166" s="4">
        <v>0</v>
      </c>
      <c r="H166" s="4">
        <v>0</v>
      </c>
      <c r="I166" s="4">
        <v>0</v>
      </c>
      <c r="J166" s="4">
        <v>0</v>
      </c>
      <c r="K166" s="4">
        <v>0</v>
      </c>
      <c r="L166" s="4">
        <v>0</v>
      </c>
      <c r="M166" s="4">
        <v>0</v>
      </c>
      <c r="N166" s="4">
        <v>0</v>
      </c>
      <c r="O166" s="4">
        <v>0</v>
      </c>
      <c r="P166" s="4">
        <v>0</v>
      </c>
      <c r="Q166" s="4">
        <v>0</v>
      </c>
      <c r="R166" s="4">
        <v>0</v>
      </c>
      <c r="S166" s="4">
        <v>0</v>
      </c>
      <c r="T166" s="4">
        <v>0</v>
      </c>
      <c r="U166" s="4">
        <v>0</v>
      </c>
      <c r="V166" s="4">
        <v>0</v>
      </c>
      <c r="W166" s="4">
        <v>0</v>
      </c>
      <c r="X166" s="4">
        <v>0</v>
      </c>
      <c r="Y166" s="4">
        <v>0</v>
      </c>
      <c r="Z166" s="4">
        <v>0</v>
      </c>
      <c r="AA166" s="4">
        <v>0</v>
      </c>
      <c r="AB166" s="4">
        <v>0</v>
      </c>
      <c r="AC166" s="4">
        <v>0</v>
      </c>
      <c r="AD166" s="4">
        <v>0</v>
      </c>
      <c r="AE166" s="4">
        <v>0</v>
      </c>
      <c r="AF166" s="4">
        <v>0</v>
      </c>
      <c r="AG166" s="4">
        <v>0</v>
      </c>
      <c r="AH166" s="4">
        <v>0</v>
      </c>
      <c r="AI166" s="4">
        <v>0</v>
      </c>
      <c r="AJ166" s="4">
        <v>0</v>
      </c>
      <c r="AK166" s="4">
        <v>0</v>
      </c>
      <c r="AL166" s="4">
        <v>0</v>
      </c>
      <c r="AM166" s="4">
        <v>0</v>
      </c>
      <c r="AN166" s="4">
        <v>0</v>
      </c>
      <c r="AO166" s="4">
        <v>0</v>
      </c>
      <c r="AP166" s="4">
        <v>0</v>
      </c>
      <c r="AQ166" s="3">
        <v>1406</v>
      </c>
      <c r="AR166" s="3">
        <v>1258</v>
      </c>
      <c r="AS166" s="3">
        <v>1375</v>
      </c>
      <c r="AT166" s="4">
        <v>993</v>
      </c>
      <c r="AU166" s="4">
        <v>825</v>
      </c>
      <c r="AV166" s="3">
        <v>1086</v>
      </c>
      <c r="AW166" s="3">
        <v>1174</v>
      </c>
      <c r="AX166" s="3">
        <v>1228</v>
      </c>
      <c r="AY166" s="4">
        <v>723</v>
      </c>
      <c r="AZ166" s="4">
        <v>639</v>
      </c>
      <c r="BA166" s="4">
        <v>835</v>
      </c>
      <c r="BB166" s="3">
        <v>1025</v>
      </c>
      <c r="BC166" s="13">
        <v>0</v>
      </c>
      <c r="BD166" s="20">
        <f t="shared" ref="BD166:BI177" si="43">AW166/AW555</f>
        <v>5.3202818752407493E-3</v>
      </c>
      <c r="BE166" s="20">
        <f t="shared" si="43"/>
        <v>5.1982576524025013E-3</v>
      </c>
      <c r="BF166" s="20">
        <f t="shared" si="43"/>
        <v>3.2803992740471871E-3</v>
      </c>
      <c r="BG166" s="20">
        <f t="shared" si="43"/>
        <v>3.0148335472182379E-3</v>
      </c>
      <c r="BH166" s="20">
        <f t="shared" si="43"/>
        <v>3.20879864116024E-3</v>
      </c>
      <c r="BI166" s="20">
        <f t="shared" si="43"/>
        <v>3.9276244194779517E-3</v>
      </c>
      <c r="BJ166" s="23">
        <f t="shared" si="35"/>
        <v>3.3837522026188096E-3</v>
      </c>
    </row>
    <row r="167" spans="1:62" s="5" customFormat="1" x14ac:dyDescent="0.25">
      <c r="A167" s="14"/>
      <c r="B167" s="6"/>
      <c r="C167" s="6" t="s">
        <v>7</v>
      </c>
      <c r="D167" s="7">
        <v>0</v>
      </c>
      <c r="E167" s="7">
        <v>0</v>
      </c>
      <c r="F167" s="7">
        <v>0</v>
      </c>
      <c r="G167" s="7">
        <v>0</v>
      </c>
      <c r="H167" s="7">
        <v>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7">
        <v>0</v>
      </c>
      <c r="R167" s="7">
        <v>0</v>
      </c>
      <c r="S167" s="7">
        <v>0</v>
      </c>
      <c r="T167" s="7">
        <v>0</v>
      </c>
      <c r="U167" s="7">
        <v>0</v>
      </c>
      <c r="V167" s="7">
        <v>0</v>
      </c>
      <c r="W167" s="7">
        <v>0</v>
      </c>
      <c r="X167" s="7">
        <v>0</v>
      </c>
      <c r="Y167" s="7">
        <v>0</v>
      </c>
      <c r="Z167" s="7">
        <v>0</v>
      </c>
      <c r="AA167" s="7">
        <v>0</v>
      </c>
      <c r="AB167" s="7">
        <v>0</v>
      </c>
      <c r="AC167" s="7">
        <v>0</v>
      </c>
      <c r="AD167" s="7">
        <v>0</v>
      </c>
      <c r="AE167" s="7">
        <v>0</v>
      </c>
      <c r="AF167" s="7">
        <v>0</v>
      </c>
      <c r="AG167" s="7">
        <v>0</v>
      </c>
      <c r="AH167" s="7">
        <v>0</v>
      </c>
      <c r="AI167" s="7">
        <v>0</v>
      </c>
      <c r="AJ167" s="7">
        <v>0</v>
      </c>
      <c r="AK167" s="7">
        <v>0</v>
      </c>
      <c r="AL167" s="7">
        <v>0</v>
      </c>
      <c r="AM167" s="7">
        <v>0</v>
      </c>
      <c r="AN167" s="7">
        <v>0</v>
      </c>
      <c r="AO167" s="7">
        <v>0</v>
      </c>
      <c r="AP167" s="7">
        <v>0</v>
      </c>
      <c r="AQ167" s="8">
        <v>14122</v>
      </c>
      <c r="AR167" s="8">
        <v>17602</v>
      </c>
      <c r="AS167" s="8">
        <v>18675</v>
      </c>
      <c r="AT167" s="8">
        <v>16943</v>
      </c>
      <c r="AU167" s="8">
        <v>14675</v>
      </c>
      <c r="AV167" s="8">
        <v>14539</v>
      </c>
      <c r="AW167" s="8">
        <v>13937</v>
      </c>
      <c r="AX167" s="8">
        <v>15291</v>
      </c>
      <c r="AY167" s="8">
        <v>15123</v>
      </c>
      <c r="AZ167" s="8">
        <v>13213</v>
      </c>
      <c r="BA167" s="8">
        <v>12301</v>
      </c>
      <c r="BB167" s="8">
        <v>14000</v>
      </c>
      <c r="BC167" s="15">
        <v>0</v>
      </c>
      <c r="BD167" s="21">
        <f t="shared" si="43"/>
        <v>0.21732757410843767</v>
      </c>
      <c r="BE167" s="21">
        <f t="shared" si="43"/>
        <v>0.22140654185309067</v>
      </c>
      <c r="BF167" s="21">
        <f t="shared" si="43"/>
        <v>0.19360909474977916</v>
      </c>
      <c r="BG167" s="21">
        <f t="shared" si="43"/>
        <v>0.17076354425144749</v>
      </c>
      <c r="BH167" s="21">
        <f t="shared" si="43"/>
        <v>0.14185550366141958</v>
      </c>
      <c r="BI167" s="21">
        <f t="shared" si="43"/>
        <v>0.14679668658907413</v>
      </c>
      <c r="BJ167" s="23">
        <f t="shared" si="35"/>
        <v>0.15313857816731372</v>
      </c>
    </row>
    <row r="168" spans="1:62" x14ac:dyDescent="0.25">
      <c r="A168" s="12"/>
      <c r="B168" s="2"/>
      <c r="C168" s="2" t="s">
        <v>8</v>
      </c>
      <c r="D168" s="4">
        <v>0</v>
      </c>
      <c r="E168" s="4">
        <v>0</v>
      </c>
      <c r="F168" s="4">
        <v>0</v>
      </c>
      <c r="G168" s="4">
        <v>0</v>
      </c>
      <c r="H168" s="4">
        <v>0</v>
      </c>
      <c r="I168" s="4">
        <v>0</v>
      </c>
      <c r="J168" s="4">
        <v>0</v>
      </c>
      <c r="K168" s="4">
        <v>0</v>
      </c>
      <c r="L168" s="4">
        <v>0</v>
      </c>
      <c r="M168" s="4">
        <v>0</v>
      </c>
      <c r="N168" s="4">
        <v>0</v>
      </c>
      <c r="O168" s="4">
        <v>0</v>
      </c>
      <c r="P168" s="4">
        <v>0</v>
      </c>
      <c r="Q168" s="4">
        <v>0</v>
      </c>
      <c r="R168" s="4">
        <v>0</v>
      </c>
      <c r="S168" s="4">
        <v>0</v>
      </c>
      <c r="T168" s="4">
        <v>0</v>
      </c>
      <c r="U168" s="4">
        <v>0</v>
      </c>
      <c r="V168" s="4">
        <v>0</v>
      </c>
      <c r="W168" s="4">
        <v>0</v>
      </c>
      <c r="X168" s="4">
        <v>0</v>
      </c>
      <c r="Y168" s="4">
        <v>0</v>
      </c>
      <c r="Z168" s="4">
        <v>0</v>
      </c>
      <c r="AA168" s="4">
        <v>0</v>
      </c>
      <c r="AB168" s="4">
        <v>0</v>
      </c>
      <c r="AC168" s="4">
        <v>0</v>
      </c>
      <c r="AD168" s="4">
        <v>0</v>
      </c>
      <c r="AE168" s="4">
        <v>0</v>
      </c>
      <c r="AF168" s="4">
        <v>0</v>
      </c>
      <c r="AG168" s="4">
        <v>0</v>
      </c>
      <c r="AH168" s="4">
        <v>0</v>
      </c>
      <c r="AI168" s="4">
        <v>0</v>
      </c>
      <c r="AJ168" s="4">
        <v>0</v>
      </c>
      <c r="AK168" s="4">
        <v>0</v>
      </c>
      <c r="AL168" s="4">
        <v>0</v>
      </c>
      <c r="AM168" s="4">
        <v>0</v>
      </c>
      <c r="AN168" s="4">
        <v>0</v>
      </c>
      <c r="AO168" s="4">
        <v>0</v>
      </c>
      <c r="AP168" s="4">
        <v>0</v>
      </c>
      <c r="AQ168" s="4">
        <v>29</v>
      </c>
      <c r="AR168" s="4">
        <v>22</v>
      </c>
      <c r="AS168" s="4">
        <v>41</v>
      </c>
      <c r="AT168" s="4">
        <v>23</v>
      </c>
      <c r="AU168" s="4">
        <v>25</v>
      </c>
      <c r="AV168" s="4">
        <v>35</v>
      </c>
      <c r="AW168" s="4">
        <v>49</v>
      </c>
      <c r="AX168" s="4">
        <v>47</v>
      </c>
      <c r="AY168" s="4">
        <v>37</v>
      </c>
      <c r="AZ168" s="4">
        <v>22</v>
      </c>
      <c r="BA168" s="4">
        <v>36</v>
      </c>
      <c r="BB168" s="4">
        <v>30</v>
      </c>
      <c r="BC168" s="13">
        <v>0</v>
      </c>
      <c r="BD168" s="20">
        <f t="shared" si="43"/>
        <v>7.7248076680539791E-4</v>
      </c>
      <c r="BE168" s="20">
        <f t="shared" si="43"/>
        <v>6.6327034617067219E-4</v>
      </c>
      <c r="BF168" s="20">
        <f t="shared" si="43"/>
        <v>4.6969216121866072E-4</v>
      </c>
      <c r="BG168" s="20">
        <f t="shared" si="43"/>
        <v>2.8630176205720828E-4</v>
      </c>
      <c r="BH168" s="20">
        <f t="shared" si="43"/>
        <v>3.8850458111651902E-4</v>
      </c>
      <c r="BI168" s="20">
        <f t="shared" si="43"/>
        <v>3.0453761039488374E-4</v>
      </c>
      <c r="BJ168" s="23">
        <f t="shared" si="35"/>
        <v>3.2644798452287029E-4</v>
      </c>
    </row>
    <row r="169" spans="1:62" s="5" customFormat="1" x14ac:dyDescent="0.25">
      <c r="A169" s="14"/>
      <c r="B169" s="6"/>
      <c r="C169" s="6" t="s">
        <v>9</v>
      </c>
      <c r="D169" s="7">
        <v>0</v>
      </c>
      <c r="E169" s="7">
        <v>0</v>
      </c>
      <c r="F169" s="7">
        <v>0</v>
      </c>
      <c r="G169" s="7">
        <v>0</v>
      </c>
      <c r="H169" s="7">
        <v>0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7">
        <v>0</v>
      </c>
      <c r="R169" s="7">
        <v>0</v>
      </c>
      <c r="S169" s="7">
        <v>0</v>
      </c>
      <c r="T169" s="7">
        <v>0</v>
      </c>
      <c r="U169" s="7">
        <v>0</v>
      </c>
      <c r="V169" s="7">
        <v>0</v>
      </c>
      <c r="W169" s="7">
        <v>0</v>
      </c>
      <c r="X169" s="7">
        <v>0</v>
      </c>
      <c r="Y169" s="7">
        <v>0</v>
      </c>
      <c r="Z169" s="7">
        <v>0</v>
      </c>
      <c r="AA169" s="7">
        <v>0</v>
      </c>
      <c r="AB169" s="7">
        <v>0</v>
      </c>
      <c r="AC169" s="7">
        <v>0</v>
      </c>
      <c r="AD169" s="7">
        <v>0</v>
      </c>
      <c r="AE169" s="7">
        <v>0</v>
      </c>
      <c r="AF169" s="7">
        <v>0</v>
      </c>
      <c r="AG169" s="7">
        <v>0</v>
      </c>
      <c r="AH169" s="7">
        <v>0</v>
      </c>
      <c r="AI169" s="7">
        <v>0</v>
      </c>
      <c r="AJ169" s="7">
        <v>0</v>
      </c>
      <c r="AK169" s="7">
        <v>0</v>
      </c>
      <c r="AL169" s="7">
        <v>0</v>
      </c>
      <c r="AM169" s="7">
        <v>0</v>
      </c>
      <c r="AN169" s="7">
        <v>0</v>
      </c>
      <c r="AO169" s="7">
        <v>0</v>
      </c>
      <c r="AP169" s="7">
        <v>0</v>
      </c>
      <c r="AQ169" s="8">
        <v>15446</v>
      </c>
      <c r="AR169" s="8">
        <v>18546</v>
      </c>
      <c r="AS169" s="8">
        <v>19894</v>
      </c>
      <c r="AT169" s="8">
        <v>18111</v>
      </c>
      <c r="AU169" s="8">
        <v>15445</v>
      </c>
      <c r="AV169" s="8">
        <v>15739</v>
      </c>
      <c r="AW169" s="8">
        <v>15086</v>
      </c>
      <c r="AX169" s="8">
        <v>16087</v>
      </c>
      <c r="AY169" s="8">
        <v>16113</v>
      </c>
      <c r="AZ169" s="8">
        <v>14086</v>
      </c>
      <c r="BA169" s="8">
        <v>13381</v>
      </c>
      <c r="BB169" s="8">
        <v>14770</v>
      </c>
      <c r="BC169" s="15">
        <v>0</v>
      </c>
      <c r="BD169" s="21">
        <f t="shared" si="43"/>
        <v>6.9798645297405343E-2</v>
      </c>
      <c r="BE169" s="21">
        <f t="shared" si="43"/>
        <v>7.1315210838032411E-2</v>
      </c>
      <c r="BF169" s="21">
        <f t="shared" si="43"/>
        <v>6.9890001214497635E-2</v>
      </c>
      <c r="BG169" s="21">
        <f t="shared" si="43"/>
        <v>6.3640511979470224E-2</v>
      </c>
      <c r="BH169" s="21">
        <f t="shared" si="43"/>
        <v>5.6231194634482527E-2</v>
      </c>
      <c r="BI169" s="21">
        <f t="shared" si="43"/>
        <v>5.7746743193156404E-2</v>
      </c>
      <c r="BJ169" s="23">
        <f t="shared" si="35"/>
        <v>5.9206149935703056E-2</v>
      </c>
    </row>
    <row r="170" spans="1:62" x14ac:dyDescent="0.25">
      <c r="A170" s="12"/>
      <c r="B170" s="2" t="s">
        <v>12</v>
      </c>
      <c r="C170" s="2" t="s">
        <v>6</v>
      </c>
      <c r="D170" s="4">
        <v>0</v>
      </c>
      <c r="E170" s="4">
        <v>0</v>
      </c>
      <c r="F170" s="4">
        <v>0</v>
      </c>
      <c r="G170" s="4">
        <v>0</v>
      </c>
      <c r="H170" s="4">
        <v>0</v>
      </c>
      <c r="I170" s="4">
        <v>0</v>
      </c>
      <c r="J170" s="4">
        <v>0</v>
      </c>
      <c r="K170" s="4">
        <v>0</v>
      </c>
      <c r="L170" s="4">
        <v>0</v>
      </c>
      <c r="M170" s="4">
        <v>0</v>
      </c>
      <c r="N170" s="4">
        <v>0</v>
      </c>
      <c r="O170" s="4">
        <v>0</v>
      </c>
      <c r="P170" s="4">
        <v>0</v>
      </c>
      <c r="Q170" s="4">
        <v>0</v>
      </c>
      <c r="R170" s="4">
        <v>0</v>
      </c>
      <c r="S170" s="4">
        <v>0</v>
      </c>
      <c r="T170" s="4">
        <v>0</v>
      </c>
      <c r="U170" s="4">
        <v>0</v>
      </c>
      <c r="V170" s="4">
        <v>0</v>
      </c>
      <c r="W170" s="4">
        <v>0</v>
      </c>
      <c r="X170" s="4">
        <v>0</v>
      </c>
      <c r="Y170" s="4">
        <v>0</v>
      </c>
      <c r="Z170" s="4">
        <v>0</v>
      </c>
      <c r="AA170" s="4">
        <v>0</v>
      </c>
      <c r="AB170" s="4">
        <v>0</v>
      </c>
      <c r="AC170" s="4">
        <v>0</v>
      </c>
      <c r="AD170" s="4">
        <v>0</v>
      </c>
      <c r="AE170" s="4">
        <v>0</v>
      </c>
      <c r="AF170" s="4">
        <v>0</v>
      </c>
      <c r="AG170" s="4">
        <v>0</v>
      </c>
      <c r="AH170" s="4">
        <v>0</v>
      </c>
      <c r="AI170" s="4">
        <v>0</v>
      </c>
      <c r="AJ170" s="4">
        <v>0</v>
      </c>
      <c r="AK170" s="4">
        <v>0</v>
      </c>
      <c r="AL170" s="4">
        <v>0</v>
      </c>
      <c r="AM170" s="4">
        <v>0</v>
      </c>
      <c r="AN170" s="4">
        <v>0</v>
      </c>
      <c r="AO170" s="4">
        <v>0</v>
      </c>
      <c r="AP170" s="4">
        <v>0</v>
      </c>
      <c r="AQ170" s="3">
        <v>1768</v>
      </c>
      <c r="AR170" s="3">
        <v>1584</v>
      </c>
      <c r="AS170" s="3">
        <v>1639</v>
      </c>
      <c r="AT170" s="3">
        <v>1741</v>
      </c>
      <c r="AU170" s="3">
        <v>1741</v>
      </c>
      <c r="AV170" s="3">
        <v>1880</v>
      </c>
      <c r="AW170" s="3">
        <v>1731</v>
      </c>
      <c r="AX170" s="3">
        <v>1676</v>
      </c>
      <c r="AY170" s="3">
        <v>1757</v>
      </c>
      <c r="AZ170" s="3">
        <v>1620</v>
      </c>
      <c r="BA170" s="3">
        <v>1995</v>
      </c>
      <c r="BB170" s="3">
        <v>2020</v>
      </c>
      <c r="BC170" s="13">
        <v>0</v>
      </c>
      <c r="BD170" s="20">
        <f t="shared" si="43"/>
        <v>4.1351730991581546E-3</v>
      </c>
      <c r="BE170" s="20">
        <f t="shared" si="43"/>
        <v>3.9877417389980203E-3</v>
      </c>
      <c r="BF170" s="20">
        <f t="shared" si="43"/>
        <v>4.0520937355138223E-3</v>
      </c>
      <c r="BG170" s="20">
        <f t="shared" si="43"/>
        <v>3.6154984366316943E-3</v>
      </c>
      <c r="BH170" s="20">
        <f t="shared" si="43"/>
        <v>4.5304562476013565E-3</v>
      </c>
      <c r="BI170" s="20">
        <f t="shared" si="43"/>
        <v>4.4821059685231906E-3</v>
      </c>
      <c r="BJ170" s="23">
        <f t="shared" si="35"/>
        <v>4.2093535509187471E-3</v>
      </c>
    </row>
    <row r="171" spans="1:62" s="5" customFormat="1" x14ac:dyDescent="0.25">
      <c r="A171" s="14"/>
      <c r="B171" s="6"/>
      <c r="C171" s="6" t="s">
        <v>7</v>
      </c>
      <c r="D171" s="7">
        <v>0</v>
      </c>
      <c r="E171" s="7">
        <v>0</v>
      </c>
      <c r="F171" s="7">
        <v>0</v>
      </c>
      <c r="G171" s="7">
        <v>0</v>
      </c>
      <c r="H171" s="7">
        <v>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7">
        <v>0</v>
      </c>
      <c r="R171" s="7">
        <v>0</v>
      </c>
      <c r="S171" s="7">
        <v>0</v>
      </c>
      <c r="T171" s="7">
        <v>0</v>
      </c>
      <c r="U171" s="7">
        <v>0</v>
      </c>
      <c r="V171" s="7">
        <v>0</v>
      </c>
      <c r="W171" s="7">
        <v>0</v>
      </c>
      <c r="X171" s="7">
        <v>0</v>
      </c>
      <c r="Y171" s="7">
        <v>0</v>
      </c>
      <c r="Z171" s="7">
        <v>0</v>
      </c>
      <c r="AA171" s="7">
        <v>0</v>
      </c>
      <c r="AB171" s="7">
        <v>0</v>
      </c>
      <c r="AC171" s="7">
        <v>0</v>
      </c>
      <c r="AD171" s="7">
        <v>0</v>
      </c>
      <c r="AE171" s="7">
        <v>0</v>
      </c>
      <c r="AF171" s="7">
        <v>0</v>
      </c>
      <c r="AG171" s="7">
        <v>0</v>
      </c>
      <c r="AH171" s="7">
        <v>0</v>
      </c>
      <c r="AI171" s="7">
        <v>0</v>
      </c>
      <c r="AJ171" s="7">
        <v>0</v>
      </c>
      <c r="AK171" s="7">
        <v>0</v>
      </c>
      <c r="AL171" s="7">
        <v>0</v>
      </c>
      <c r="AM171" s="7">
        <v>0</v>
      </c>
      <c r="AN171" s="7">
        <v>0</v>
      </c>
      <c r="AO171" s="7">
        <v>0</v>
      </c>
      <c r="AP171" s="7">
        <v>0</v>
      </c>
      <c r="AQ171" s="8">
        <v>1207</v>
      </c>
      <c r="AR171" s="8">
        <v>1310</v>
      </c>
      <c r="AS171" s="8">
        <v>1254</v>
      </c>
      <c r="AT171" s="8">
        <v>1288</v>
      </c>
      <c r="AU171" s="8">
        <v>1125</v>
      </c>
      <c r="AV171" s="8">
        <v>1095</v>
      </c>
      <c r="AW171" s="8">
        <v>1124</v>
      </c>
      <c r="AX171" s="8">
        <v>1340</v>
      </c>
      <c r="AY171" s="8">
        <v>1568</v>
      </c>
      <c r="AZ171" s="8">
        <v>1339</v>
      </c>
      <c r="BA171" s="8">
        <v>1242</v>
      </c>
      <c r="BB171" s="8">
        <v>1350</v>
      </c>
      <c r="BC171" s="15">
        <v>0</v>
      </c>
      <c r="BD171" s="21">
        <f t="shared" si="43"/>
        <v>4.2415094339622643E-2</v>
      </c>
      <c r="BE171" s="21">
        <f t="shared" si="43"/>
        <v>4.7473960178558774E-2</v>
      </c>
      <c r="BF171" s="21">
        <f t="shared" si="43"/>
        <v>5.3266297516730648E-2</v>
      </c>
      <c r="BG171" s="21">
        <f t="shared" si="43"/>
        <v>4.9320416958267339E-2</v>
      </c>
      <c r="BH171" s="21">
        <f t="shared" si="43"/>
        <v>4.4238646482635799E-2</v>
      </c>
      <c r="BI171" s="21">
        <f t="shared" si="43"/>
        <v>4.6182266009852216E-2</v>
      </c>
      <c r="BJ171" s="23">
        <f t="shared" si="35"/>
        <v>4.6580443150251782E-2</v>
      </c>
    </row>
    <row r="172" spans="1:62" x14ac:dyDescent="0.25">
      <c r="A172" s="12"/>
      <c r="B172" s="2"/>
      <c r="C172" s="2" t="s">
        <v>8</v>
      </c>
      <c r="D172" s="4">
        <v>0</v>
      </c>
      <c r="E172" s="4">
        <v>0</v>
      </c>
      <c r="F172" s="4">
        <v>0</v>
      </c>
      <c r="G172" s="4">
        <v>0</v>
      </c>
      <c r="H172" s="4">
        <v>0</v>
      </c>
      <c r="I172" s="4">
        <v>0</v>
      </c>
      <c r="J172" s="4">
        <v>0</v>
      </c>
      <c r="K172" s="4">
        <v>0</v>
      </c>
      <c r="L172" s="4">
        <v>0</v>
      </c>
      <c r="M172" s="4">
        <v>0</v>
      </c>
      <c r="N172" s="4">
        <v>0</v>
      </c>
      <c r="O172" s="4">
        <v>0</v>
      </c>
      <c r="P172" s="4">
        <v>0</v>
      </c>
      <c r="Q172" s="4">
        <v>0</v>
      </c>
      <c r="R172" s="4">
        <v>0</v>
      </c>
      <c r="S172" s="4">
        <v>0</v>
      </c>
      <c r="T172" s="4">
        <v>0</v>
      </c>
      <c r="U172" s="4">
        <v>0</v>
      </c>
      <c r="V172" s="4">
        <v>0</v>
      </c>
      <c r="W172" s="4">
        <v>0</v>
      </c>
      <c r="X172" s="4">
        <v>0</v>
      </c>
      <c r="Y172" s="4">
        <v>0</v>
      </c>
      <c r="Z172" s="4">
        <v>0</v>
      </c>
      <c r="AA172" s="4">
        <v>0</v>
      </c>
      <c r="AB172" s="4">
        <v>0</v>
      </c>
      <c r="AC172" s="4">
        <v>0</v>
      </c>
      <c r="AD172" s="4">
        <v>0</v>
      </c>
      <c r="AE172" s="4">
        <v>0</v>
      </c>
      <c r="AF172" s="4">
        <v>0</v>
      </c>
      <c r="AG172" s="4">
        <v>0</v>
      </c>
      <c r="AH172" s="4">
        <v>0</v>
      </c>
      <c r="AI172" s="4">
        <v>0</v>
      </c>
      <c r="AJ172" s="4">
        <v>0</v>
      </c>
      <c r="AK172" s="4">
        <v>0</v>
      </c>
      <c r="AL172" s="4">
        <v>0</v>
      </c>
      <c r="AM172" s="4">
        <v>0</v>
      </c>
      <c r="AN172" s="4">
        <v>0</v>
      </c>
      <c r="AO172" s="4">
        <v>0</v>
      </c>
      <c r="AP172" s="4">
        <v>0</v>
      </c>
      <c r="AQ172" s="4">
        <v>364</v>
      </c>
      <c r="AR172" s="4">
        <v>286</v>
      </c>
      <c r="AS172" s="4">
        <v>336</v>
      </c>
      <c r="AT172" s="4">
        <v>250</v>
      </c>
      <c r="AU172" s="4">
        <v>225</v>
      </c>
      <c r="AV172" s="4">
        <v>175</v>
      </c>
      <c r="AW172" s="4">
        <v>161</v>
      </c>
      <c r="AX172" s="4">
        <v>148</v>
      </c>
      <c r="AY172" s="4">
        <v>152</v>
      </c>
      <c r="AZ172" s="4">
        <v>140</v>
      </c>
      <c r="BA172" s="4">
        <v>228</v>
      </c>
      <c r="BB172" s="4">
        <v>180</v>
      </c>
      <c r="BC172" s="13">
        <v>0</v>
      </c>
      <c r="BD172" s="20">
        <f t="shared" si="43"/>
        <v>5.4237973318959709E-3</v>
      </c>
      <c r="BE172" s="20">
        <f t="shared" si="43"/>
        <v>4.7141264532568877E-3</v>
      </c>
      <c r="BF172" s="20">
        <f t="shared" si="43"/>
        <v>4.8660242660946958E-3</v>
      </c>
      <c r="BG172" s="20">
        <f t="shared" si="43"/>
        <v>4.8422800221361376E-3</v>
      </c>
      <c r="BH172" s="20">
        <f t="shared" si="43"/>
        <v>7.3989939964303102E-3</v>
      </c>
      <c r="BI172" s="20">
        <f t="shared" si="43"/>
        <v>5.921247409454258E-3</v>
      </c>
      <c r="BJ172" s="23">
        <f t="shared" si="35"/>
        <v>6.0541738093402358E-3</v>
      </c>
    </row>
    <row r="173" spans="1:62" s="5" customFormat="1" x14ac:dyDescent="0.25">
      <c r="A173" s="14"/>
      <c r="B173" s="6"/>
      <c r="C173" s="6" t="s">
        <v>9</v>
      </c>
      <c r="D173" s="7">
        <v>0</v>
      </c>
      <c r="E173" s="7">
        <v>0</v>
      </c>
      <c r="F173" s="7">
        <v>0</v>
      </c>
      <c r="G173" s="7">
        <v>0</v>
      </c>
      <c r="H173" s="7">
        <v>0</v>
      </c>
      <c r="I173" s="7">
        <v>0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7">
        <v>0</v>
      </c>
      <c r="R173" s="7">
        <v>0</v>
      </c>
      <c r="S173" s="7">
        <v>0</v>
      </c>
      <c r="T173" s="7">
        <v>0</v>
      </c>
      <c r="U173" s="7">
        <v>0</v>
      </c>
      <c r="V173" s="7">
        <v>0</v>
      </c>
      <c r="W173" s="7">
        <v>0</v>
      </c>
      <c r="X173" s="7">
        <v>0</v>
      </c>
      <c r="Y173" s="7">
        <v>0</v>
      </c>
      <c r="Z173" s="7">
        <v>0</v>
      </c>
      <c r="AA173" s="7">
        <v>0</v>
      </c>
      <c r="AB173" s="7">
        <v>0</v>
      </c>
      <c r="AC173" s="7">
        <v>0</v>
      </c>
      <c r="AD173" s="7">
        <v>0</v>
      </c>
      <c r="AE173" s="7">
        <v>0</v>
      </c>
      <c r="AF173" s="7">
        <v>0</v>
      </c>
      <c r="AG173" s="7">
        <v>0</v>
      </c>
      <c r="AH173" s="7">
        <v>0</v>
      </c>
      <c r="AI173" s="7">
        <v>0</v>
      </c>
      <c r="AJ173" s="7">
        <v>0</v>
      </c>
      <c r="AK173" s="7">
        <v>0</v>
      </c>
      <c r="AL173" s="7">
        <v>0</v>
      </c>
      <c r="AM173" s="7">
        <v>0</v>
      </c>
      <c r="AN173" s="7">
        <v>0</v>
      </c>
      <c r="AO173" s="7">
        <v>0</v>
      </c>
      <c r="AP173" s="7">
        <v>0</v>
      </c>
      <c r="AQ173" s="8">
        <v>2544</v>
      </c>
      <c r="AR173" s="8">
        <v>2608</v>
      </c>
      <c r="AS173" s="8">
        <v>2567</v>
      </c>
      <c r="AT173" s="8">
        <v>2697</v>
      </c>
      <c r="AU173" s="8">
        <v>2627</v>
      </c>
      <c r="AV173" s="8">
        <v>2636</v>
      </c>
      <c r="AW173" s="8">
        <v>2651</v>
      </c>
      <c r="AX173" s="8">
        <v>2911</v>
      </c>
      <c r="AY173" s="8">
        <v>3185</v>
      </c>
      <c r="AZ173" s="8">
        <v>2925</v>
      </c>
      <c r="BA173" s="8">
        <v>3000</v>
      </c>
      <c r="BB173" s="8">
        <v>3050</v>
      </c>
      <c r="BC173" s="15">
        <v>0</v>
      </c>
      <c r="BD173" s="21">
        <f t="shared" si="43"/>
        <v>6.4199276880268713E-3</v>
      </c>
      <c r="BE173" s="21">
        <f t="shared" si="43"/>
        <v>6.9545149399035302E-3</v>
      </c>
      <c r="BF173" s="21">
        <f t="shared" si="43"/>
        <v>7.4716674838192065E-3</v>
      </c>
      <c r="BG173" s="21">
        <f t="shared" si="43"/>
        <v>6.7224380041828501E-3</v>
      </c>
      <c r="BH173" s="21">
        <f t="shared" si="43"/>
        <v>6.892004585480384E-3</v>
      </c>
      <c r="BI173" s="21">
        <f t="shared" si="43"/>
        <v>6.8350095914232953E-3</v>
      </c>
      <c r="BJ173" s="23">
        <f t="shared" si="35"/>
        <v>6.8164840603621756E-3</v>
      </c>
    </row>
    <row r="174" spans="1:62" x14ac:dyDescent="0.25">
      <c r="A174" s="12"/>
      <c r="B174" s="2" t="s">
        <v>13</v>
      </c>
      <c r="C174" s="2" t="s">
        <v>6</v>
      </c>
      <c r="D174" s="4">
        <v>0</v>
      </c>
      <c r="E174" s="4">
        <v>0</v>
      </c>
      <c r="F174" s="4">
        <v>0</v>
      </c>
      <c r="G174" s="4">
        <v>0</v>
      </c>
      <c r="H174" s="4">
        <v>0</v>
      </c>
      <c r="I174" s="4">
        <v>0</v>
      </c>
      <c r="J174" s="4">
        <v>0</v>
      </c>
      <c r="K174" s="4">
        <v>0</v>
      </c>
      <c r="L174" s="4">
        <v>0</v>
      </c>
      <c r="M174" s="4">
        <v>0</v>
      </c>
      <c r="N174" s="4">
        <v>0</v>
      </c>
      <c r="O174" s="4">
        <v>0</v>
      </c>
      <c r="P174" s="4">
        <v>0</v>
      </c>
      <c r="Q174" s="4">
        <v>0</v>
      </c>
      <c r="R174" s="4">
        <v>0</v>
      </c>
      <c r="S174" s="4">
        <v>0</v>
      </c>
      <c r="T174" s="4">
        <v>0</v>
      </c>
      <c r="U174" s="4">
        <v>0</v>
      </c>
      <c r="V174" s="4">
        <v>0</v>
      </c>
      <c r="W174" s="4">
        <v>0</v>
      </c>
      <c r="X174" s="4">
        <v>0</v>
      </c>
      <c r="Y174" s="4">
        <v>0</v>
      </c>
      <c r="Z174" s="4">
        <v>0</v>
      </c>
      <c r="AA174" s="4">
        <v>0</v>
      </c>
      <c r="AB174" s="4">
        <v>0</v>
      </c>
      <c r="AC174" s="4">
        <v>0</v>
      </c>
      <c r="AD174" s="4">
        <v>0</v>
      </c>
      <c r="AE174" s="4">
        <v>0</v>
      </c>
      <c r="AF174" s="4">
        <v>0</v>
      </c>
      <c r="AG174" s="4">
        <v>0</v>
      </c>
      <c r="AH174" s="4">
        <v>0</v>
      </c>
      <c r="AI174" s="4">
        <v>0</v>
      </c>
      <c r="AJ174" s="4">
        <v>0</v>
      </c>
      <c r="AK174" s="4">
        <v>0</v>
      </c>
      <c r="AL174" s="4">
        <v>0</v>
      </c>
      <c r="AM174" s="4">
        <v>0</v>
      </c>
      <c r="AN174" s="4">
        <v>0</v>
      </c>
      <c r="AO174" s="4">
        <v>0</v>
      </c>
      <c r="AP174" s="4">
        <v>0</v>
      </c>
      <c r="AQ174" s="4">
        <v>562</v>
      </c>
      <c r="AR174" s="4">
        <v>633</v>
      </c>
      <c r="AS174" s="4">
        <v>658</v>
      </c>
      <c r="AT174" s="4">
        <v>706</v>
      </c>
      <c r="AU174" s="4">
        <v>385</v>
      </c>
      <c r="AV174" s="4">
        <v>499</v>
      </c>
      <c r="AW174" s="4">
        <v>489</v>
      </c>
      <c r="AX174" s="4">
        <v>542</v>
      </c>
      <c r="AY174" s="4">
        <v>525</v>
      </c>
      <c r="AZ174" s="4">
        <v>517</v>
      </c>
      <c r="BA174" s="4">
        <v>615</v>
      </c>
      <c r="BB174" s="4">
        <v>617</v>
      </c>
      <c r="BC174" s="13">
        <v>0</v>
      </c>
      <c r="BD174" s="20">
        <f t="shared" si="43"/>
        <v>8.2000201227487683E-3</v>
      </c>
      <c r="BE174" s="20">
        <f t="shared" si="43"/>
        <v>9.4015611448395493E-3</v>
      </c>
      <c r="BF174" s="20">
        <f t="shared" si="43"/>
        <v>7.9655282283147971E-3</v>
      </c>
      <c r="BG174" s="20">
        <f t="shared" si="43"/>
        <v>7.9727354038799624E-3</v>
      </c>
      <c r="BH174" s="20">
        <f t="shared" si="43"/>
        <v>1.0378520681100968E-2</v>
      </c>
      <c r="BI174" s="20">
        <f t="shared" si="43"/>
        <v>9.4591279818482862E-3</v>
      </c>
      <c r="BJ174" s="23">
        <f t="shared" si="35"/>
        <v>9.2701280222764054E-3</v>
      </c>
    </row>
    <row r="175" spans="1:62" s="5" customFormat="1" x14ac:dyDescent="0.25">
      <c r="A175" s="14"/>
      <c r="B175" s="6"/>
      <c r="C175" s="6" t="s">
        <v>7</v>
      </c>
      <c r="D175" s="7">
        <v>0</v>
      </c>
      <c r="E175" s="7">
        <v>0</v>
      </c>
      <c r="F175" s="7">
        <v>0</v>
      </c>
      <c r="G175" s="7">
        <v>0</v>
      </c>
      <c r="H175" s="7">
        <v>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7">
        <v>0</v>
      </c>
      <c r="R175" s="7">
        <v>0</v>
      </c>
      <c r="S175" s="7">
        <v>0</v>
      </c>
      <c r="T175" s="7">
        <v>0</v>
      </c>
      <c r="U175" s="7">
        <v>0</v>
      </c>
      <c r="V175" s="7">
        <v>0</v>
      </c>
      <c r="W175" s="7">
        <v>0</v>
      </c>
      <c r="X175" s="7">
        <v>0</v>
      </c>
      <c r="Y175" s="7">
        <v>0</v>
      </c>
      <c r="Z175" s="7">
        <v>0</v>
      </c>
      <c r="AA175" s="7">
        <v>0</v>
      </c>
      <c r="AB175" s="7">
        <v>0</v>
      </c>
      <c r="AC175" s="7">
        <v>0</v>
      </c>
      <c r="AD175" s="7">
        <v>0</v>
      </c>
      <c r="AE175" s="7">
        <v>0</v>
      </c>
      <c r="AF175" s="7">
        <v>0</v>
      </c>
      <c r="AG175" s="7">
        <v>0</v>
      </c>
      <c r="AH175" s="7">
        <v>0</v>
      </c>
      <c r="AI175" s="7">
        <v>0</v>
      </c>
      <c r="AJ175" s="7">
        <v>0</v>
      </c>
      <c r="AK175" s="7">
        <v>0</v>
      </c>
      <c r="AL175" s="7">
        <v>0</v>
      </c>
      <c r="AM175" s="7">
        <v>0</v>
      </c>
      <c r="AN175" s="7">
        <v>0</v>
      </c>
      <c r="AO175" s="7">
        <v>0</v>
      </c>
      <c r="AP175" s="7">
        <v>0</v>
      </c>
      <c r="AQ175" s="7">
        <v>265</v>
      </c>
      <c r="AR175" s="7">
        <v>11</v>
      </c>
      <c r="AS175" s="7">
        <v>42</v>
      </c>
      <c r="AT175" s="7">
        <v>17</v>
      </c>
      <c r="AU175" s="8">
        <v>1556</v>
      </c>
      <c r="AV175" s="7">
        <v>227</v>
      </c>
      <c r="AW175" s="7">
        <v>51</v>
      </c>
      <c r="AX175" s="7">
        <v>653</v>
      </c>
      <c r="AY175" s="8">
        <v>5841</v>
      </c>
      <c r="AZ175" s="7">
        <v>359</v>
      </c>
      <c r="BA175" s="7">
        <v>6</v>
      </c>
      <c r="BB175" s="7">
        <v>800</v>
      </c>
      <c r="BC175" s="15">
        <v>0</v>
      </c>
      <c r="BD175" s="21">
        <f t="shared" si="43"/>
        <v>9.5595126522961572E-3</v>
      </c>
      <c r="BE175" s="21">
        <f t="shared" si="43"/>
        <v>0.13494523661913618</v>
      </c>
      <c r="BF175" s="21">
        <f t="shared" si="43"/>
        <v>0.60347143299927675</v>
      </c>
      <c r="BG175" s="21">
        <f t="shared" si="43"/>
        <v>5.8736910994764399E-2</v>
      </c>
      <c r="BH175" s="21">
        <f t="shared" si="43"/>
        <v>9.7767638911520297E-4</v>
      </c>
      <c r="BI175" s="21">
        <f t="shared" si="43"/>
        <v>0.12258657676984371</v>
      </c>
      <c r="BJ175" s="23">
        <f t="shared" si="35"/>
        <v>6.0767054717907776E-2</v>
      </c>
    </row>
    <row r="176" spans="1:62" x14ac:dyDescent="0.25">
      <c r="A176" s="12"/>
      <c r="B176" s="2"/>
      <c r="C176" s="2" t="s">
        <v>8</v>
      </c>
      <c r="D176" s="4">
        <v>0</v>
      </c>
      <c r="E176" s="4">
        <v>0</v>
      </c>
      <c r="F176" s="4">
        <v>0</v>
      </c>
      <c r="G176" s="4">
        <v>0</v>
      </c>
      <c r="H176" s="4">
        <v>0</v>
      </c>
      <c r="I176" s="4">
        <v>0</v>
      </c>
      <c r="J176" s="4">
        <v>0</v>
      </c>
      <c r="K176" s="4">
        <v>0</v>
      </c>
      <c r="L176" s="4">
        <v>0</v>
      </c>
      <c r="M176" s="4">
        <v>0</v>
      </c>
      <c r="N176" s="4">
        <v>0</v>
      </c>
      <c r="O176" s="4">
        <v>0</v>
      </c>
      <c r="P176" s="4">
        <v>0</v>
      </c>
      <c r="Q176" s="4">
        <v>0</v>
      </c>
      <c r="R176" s="4">
        <v>0</v>
      </c>
      <c r="S176" s="4">
        <v>0</v>
      </c>
      <c r="T176" s="4">
        <v>0</v>
      </c>
      <c r="U176" s="4">
        <v>0</v>
      </c>
      <c r="V176" s="4">
        <v>0</v>
      </c>
      <c r="W176" s="4">
        <v>0</v>
      </c>
      <c r="X176" s="4">
        <v>0</v>
      </c>
      <c r="Y176" s="4">
        <v>0</v>
      </c>
      <c r="Z176" s="4">
        <v>0</v>
      </c>
      <c r="AA176" s="4">
        <v>0</v>
      </c>
      <c r="AB176" s="4">
        <v>0</v>
      </c>
      <c r="AC176" s="4">
        <v>0</v>
      </c>
      <c r="AD176" s="4">
        <v>0</v>
      </c>
      <c r="AE176" s="4">
        <v>0</v>
      </c>
      <c r="AF176" s="4">
        <v>0</v>
      </c>
      <c r="AG176" s="4">
        <v>0</v>
      </c>
      <c r="AH176" s="4">
        <v>0</v>
      </c>
      <c r="AI176" s="4">
        <v>0</v>
      </c>
      <c r="AJ176" s="4">
        <v>0</v>
      </c>
      <c r="AK176" s="4">
        <v>0</v>
      </c>
      <c r="AL176" s="4">
        <v>0</v>
      </c>
      <c r="AM176" s="4">
        <v>0</v>
      </c>
      <c r="AN176" s="4">
        <v>0</v>
      </c>
      <c r="AO176" s="4">
        <v>0</v>
      </c>
      <c r="AP176" s="4">
        <v>0</v>
      </c>
      <c r="AQ176" s="4">
        <v>53</v>
      </c>
      <c r="AR176" s="4">
        <v>12</v>
      </c>
      <c r="AS176" s="4">
        <v>3</v>
      </c>
      <c r="AT176" s="4">
        <v>13</v>
      </c>
      <c r="AU176" s="4">
        <v>6</v>
      </c>
      <c r="AV176" s="4">
        <v>3</v>
      </c>
      <c r="AW176" s="4">
        <v>1</v>
      </c>
      <c r="AX176" s="4">
        <v>1</v>
      </c>
      <c r="AY176" s="4">
        <v>4</v>
      </c>
      <c r="AZ176" s="4">
        <v>8</v>
      </c>
      <c r="BA176" s="4">
        <v>7</v>
      </c>
      <c r="BB176" s="4">
        <v>5</v>
      </c>
      <c r="BC176" s="13">
        <v>0</v>
      </c>
      <c r="BD176" s="20">
        <f t="shared" si="43"/>
        <v>1.859427296392711E-4</v>
      </c>
      <c r="BE176" s="20">
        <f t="shared" si="43"/>
        <v>1.8304960644334616E-4</v>
      </c>
      <c r="BF176" s="20">
        <f t="shared" si="43"/>
        <v>4.1109969167523125E-4</v>
      </c>
      <c r="BG176" s="20">
        <f t="shared" si="43"/>
        <v>1.3368983957219251E-3</v>
      </c>
      <c r="BH176" s="20">
        <f t="shared" si="43"/>
        <v>1.05294825511432E-3</v>
      </c>
      <c r="BI176" s="20">
        <f t="shared" si="43"/>
        <v>7.669888019634913E-4</v>
      </c>
      <c r="BJ176" s="23">
        <f t="shared" si="35"/>
        <v>1.0522784842665787E-3</v>
      </c>
    </row>
    <row r="177" spans="1:62" s="5" customFormat="1" x14ac:dyDescent="0.25">
      <c r="A177" s="14"/>
      <c r="B177" s="6"/>
      <c r="C177" s="6" t="s">
        <v>9</v>
      </c>
      <c r="D177" s="7">
        <v>0</v>
      </c>
      <c r="E177" s="7">
        <v>0</v>
      </c>
      <c r="F177" s="7">
        <v>0</v>
      </c>
      <c r="G177" s="7">
        <v>0</v>
      </c>
      <c r="H177" s="7">
        <v>0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0</v>
      </c>
      <c r="Q177" s="7">
        <v>0</v>
      </c>
      <c r="R177" s="7">
        <v>0</v>
      </c>
      <c r="S177" s="7">
        <v>0</v>
      </c>
      <c r="T177" s="7">
        <v>0</v>
      </c>
      <c r="U177" s="7">
        <v>0</v>
      </c>
      <c r="V177" s="7">
        <v>0</v>
      </c>
      <c r="W177" s="7">
        <v>0</v>
      </c>
      <c r="X177" s="7">
        <v>0</v>
      </c>
      <c r="Y177" s="7">
        <v>0</v>
      </c>
      <c r="Z177" s="7">
        <v>0</v>
      </c>
      <c r="AA177" s="7">
        <v>0</v>
      </c>
      <c r="AB177" s="7">
        <v>0</v>
      </c>
      <c r="AC177" s="7">
        <v>0</v>
      </c>
      <c r="AD177" s="7">
        <v>0</v>
      </c>
      <c r="AE177" s="7">
        <v>0</v>
      </c>
      <c r="AF177" s="7">
        <v>0</v>
      </c>
      <c r="AG177" s="7">
        <v>0</v>
      </c>
      <c r="AH177" s="7">
        <v>0</v>
      </c>
      <c r="AI177" s="7">
        <v>0</v>
      </c>
      <c r="AJ177" s="7">
        <v>0</v>
      </c>
      <c r="AK177" s="7">
        <v>0</v>
      </c>
      <c r="AL177" s="7">
        <v>0</v>
      </c>
      <c r="AM177" s="7">
        <v>0</v>
      </c>
      <c r="AN177" s="7">
        <v>0</v>
      </c>
      <c r="AO177" s="7">
        <v>0</v>
      </c>
      <c r="AP177" s="7">
        <v>0</v>
      </c>
      <c r="AQ177" s="7">
        <v>780</v>
      </c>
      <c r="AR177" s="7">
        <v>645</v>
      </c>
      <c r="AS177" s="7">
        <v>684</v>
      </c>
      <c r="AT177" s="7">
        <v>682</v>
      </c>
      <c r="AU177" s="8">
        <v>1980</v>
      </c>
      <c r="AV177" s="7">
        <v>505</v>
      </c>
      <c r="AW177" s="7">
        <v>680</v>
      </c>
      <c r="AX177" s="8">
        <v>1280</v>
      </c>
      <c r="AY177" s="8">
        <v>6305</v>
      </c>
      <c r="AZ177" s="7">
        <v>905</v>
      </c>
      <c r="BA177" s="7">
        <v>630</v>
      </c>
      <c r="BB177" s="8">
        <v>1405</v>
      </c>
      <c r="BC177" s="15">
        <v>0</v>
      </c>
      <c r="BD177" s="21">
        <f t="shared" si="43"/>
        <v>1.1468470139814143E-2</v>
      </c>
      <c r="BE177" s="21">
        <f t="shared" si="43"/>
        <v>2.2148394241417499E-2</v>
      </c>
      <c r="BF177" s="21">
        <f t="shared" si="43"/>
        <v>9.7794391363692765E-2</v>
      </c>
      <c r="BG177" s="21">
        <f t="shared" si="43"/>
        <v>1.4033183439292914E-2</v>
      </c>
      <c r="BH177" s="21">
        <f t="shared" si="43"/>
        <v>1.031535514294135E-2</v>
      </c>
      <c r="BI177" s="21">
        <f t="shared" si="43"/>
        <v>2.1701187773195556E-2</v>
      </c>
      <c r="BJ177" s="23">
        <f t="shared" si="35"/>
        <v>1.5349908785143272E-2</v>
      </c>
    </row>
    <row r="178" spans="1:62" x14ac:dyDescent="0.25">
      <c r="A178" s="12" t="s">
        <v>21</v>
      </c>
      <c r="B178" s="2" t="s">
        <v>14</v>
      </c>
      <c r="C178" s="2" t="s">
        <v>42</v>
      </c>
      <c r="D178" s="4">
        <v>0</v>
      </c>
      <c r="E178" s="4">
        <v>0</v>
      </c>
      <c r="F178" s="4">
        <v>0</v>
      </c>
      <c r="G178" s="4">
        <v>0</v>
      </c>
      <c r="H178" s="4">
        <v>0</v>
      </c>
      <c r="I178" s="4">
        <v>0</v>
      </c>
      <c r="J178" s="4">
        <v>0</v>
      </c>
      <c r="K178" s="4">
        <v>0</v>
      </c>
      <c r="L178" s="4">
        <v>0</v>
      </c>
      <c r="M178" s="4">
        <v>0</v>
      </c>
      <c r="N178" s="4">
        <v>0</v>
      </c>
      <c r="O178" s="4">
        <v>0</v>
      </c>
      <c r="P178" s="4">
        <v>0</v>
      </c>
      <c r="Q178" s="4">
        <v>0</v>
      </c>
      <c r="R178" s="4">
        <v>0</v>
      </c>
      <c r="S178" s="4">
        <v>0</v>
      </c>
      <c r="T178" s="4">
        <v>0</v>
      </c>
      <c r="U178" s="4">
        <v>0</v>
      </c>
      <c r="V178" s="4">
        <v>0</v>
      </c>
      <c r="W178" s="4">
        <v>0</v>
      </c>
      <c r="X178" s="4">
        <v>0</v>
      </c>
      <c r="Y178" s="4">
        <v>0</v>
      </c>
      <c r="Z178" s="4">
        <v>0</v>
      </c>
      <c r="AA178" s="4">
        <v>0</v>
      </c>
      <c r="AB178" s="4">
        <v>0</v>
      </c>
      <c r="AC178" s="4">
        <v>0</v>
      </c>
      <c r="AD178" s="4">
        <v>0</v>
      </c>
      <c r="AE178" s="4">
        <v>0</v>
      </c>
      <c r="AF178" s="4">
        <v>0</v>
      </c>
      <c r="AG178" s="4">
        <v>0</v>
      </c>
      <c r="AH178" s="4">
        <v>0</v>
      </c>
      <c r="AI178" s="4">
        <v>0</v>
      </c>
      <c r="AJ178" s="4">
        <v>0</v>
      </c>
      <c r="AK178" s="4">
        <v>0</v>
      </c>
      <c r="AL178" s="4">
        <v>0</v>
      </c>
      <c r="AM178" s="4">
        <v>0</v>
      </c>
      <c r="AN178" s="4">
        <v>0</v>
      </c>
      <c r="AO178" s="4">
        <v>0</v>
      </c>
      <c r="AP178" s="4">
        <v>0</v>
      </c>
      <c r="AQ178" s="4">
        <v>0</v>
      </c>
      <c r="AR178" s="4">
        <v>0</v>
      </c>
      <c r="AS178" s="4">
        <v>0</v>
      </c>
      <c r="AT178" s="4">
        <v>0</v>
      </c>
      <c r="AU178" s="4">
        <v>0</v>
      </c>
      <c r="AV178" s="4">
        <v>0</v>
      </c>
      <c r="AW178" s="4">
        <v>0</v>
      </c>
      <c r="AX178" s="3">
        <v>17757</v>
      </c>
      <c r="AY178" s="3">
        <v>15614</v>
      </c>
      <c r="AZ178" s="3">
        <v>14014</v>
      </c>
      <c r="BA178" s="3">
        <v>16830</v>
      </c>
      <c r="BB178" s="24">
        <v>14800</v>
      </c>
      <c r="BC178" s="21">
        <f t="shared" ref="BC178:BH178" si="44">AW178/AX$83</f>
        <v>0</v>
      </c>
      <c r="BD178" s="21">
        <f t="shared" si="44"/>
        <v>2.6221204961606617</v>
      </c>
      <c r="BE178" s="21">
        <f t="shared" si="44"/>
        <v>2.4385444322973604</v>
      </c>
      <c r="BF178" s="21">
        <f t="shared" si="44"/>
        <v>1.9666011787819253</v>
      </c>
      <c r="BG178" s="21">
        <f t="shared" si="44"/>
        <v>2.5892307692307694</v>
      </c>
      <c r="BH178" s="21" t="e">
        <f t="shared" si="44"/>
        <v>#DIV/0!</v>
      </c>
      <c r="BJ178" s="23" t="e">
        <f>AVERAGE(BF178,BG178,BH178)</f>
        <v>#DIV/0!</v>
      </c>
    </row>
    <row r="179" spans="1:62" s="5" customFormat="1" x14ac:dyDescent="0.25">
      <c r="A179" s="12" t="s">
        <v>46</v>
      </c>
      <c r="B179" s="6"/>
      <c r="C179" s="6" t="s">
        <v>45</v>
      </c>
      <c r="D179" s="7">
        <v>0</v>
      </c>
      <c r="E179" s="7">
        <v>0</v>
      </c>
      <c r="F179" s="7">
        <v>0</v>
      </c>
      <c r="G179" s="7">
        <v>0</v>
      </c>
      <c r="H179" s="7">
        <v>0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7">
        <v>0</v>
      </c>
      <c r="R179" s="7">
        <v>0</v>
      </c>
      <c r="S179" s="7">
        <v>0</v>
      </c>
      <c r="T179" s="7">
        <v>0</v>
      </c>
      <c r="U179" s="7">
        <v>0</v>
      </c>
      <c r="V179" s="7">
        <v>0</v>
      </c>
      <c r="W179" s="7">
        <v>0</v>
      </c>
      <c r="X179" s="7">
        <v>0</v>
      </c>
      <c r="Y179" s="7">
        <v>0</v>
      </c>
      <c r="Z179" s="7">
        <v>0</v>
      </c>
      <c r="AA179" s="7">
        <v>0</v>
      </c>
      <c r="AB179" s="7">
        <v>0</v>
      </c>
      <c r="AC179" s="7">
        <v>0</v>
      </c>
      <c r="AD179" s="7">
        <v>0</v>
      </c>
      <c r="AE179" s="7">
        <v>0</v>
      </c>
      <c r="AF179" s="7">
        <v>0</v>
      </c>
      <c r="AG179" s="7">
        <v>0</v>
      </c>
      <c r="AH179" s="7">
        <v>0</v>
      </c>
      <c r="AI179" s="7">
        <v>0</v>
      </c>
      <c r="AJ179" s="7">
        <v>0</v>
      </c>
      <c r="AK179" s="7">
        <v>0</v>
      </c>
      <c r="AL179" s="7">
        <v>0</v>
      </c>
      <c r="AM179" s="7">
        <v>0</v>
      </c>
      <c r="AN179" s="7">
        <v>0</v>
      </c>
      <c r="AO179" s="7">
        <v>0</v>
      </c>
      <c r="AP179" s="7">
        <v>0</v>
      </c>
      <c r="AQ179" s="7">
        <v>0</v>
      </c>
      <c r="AR179" s="7">
        <v>0</v>
      </c>
      <c r="AS179" s="7">
        <v>0</v>
      </c>
      <c r="AT179" s="7">
        <v>0</v>
      </c>
      <c r="AU179" s="7">
        <v>0</v>
      </c>
      <c r="AV179" s="7">
        <v>0</v>
      </c>
      <c r="AW179" s="7">
        <v>0</v>
      </c>
      <c r="AX179" s="8">
        <v>3530</v>
      </c>
      <c r="AY179" s="8">
        <v>2948</v>
      </c>
      <c r="AZ179" s="8">
        <v>3180</v>
      </c>
      <c r="BA179" s="8">
        <v>2620</v>
      </c>
      <c r="BB179" s="25">
        <v>3575</v>
      </c>
      <c r="BC179" s="21">
        <f t="shared" ref="BC179:BH179" si="45">AW179/AX$63</f>
        <v>0</v>
      </c>
      <c r="BD179" s="21">
        <f t="shared" si="45"/>
        <v>21.524390243902438</v>
      </c>
      <c r="BE179" s="21">
        <f t="shared" si="45"/>
        <v>58.96</v>
      </c>
      <c r="BF179" s="21">
        <f t="shared" si="45"/>
        <v>21.059602649006621</v>
      </c>
      <c r="BG179" s="21">
        <f t="shared" si="45"/>
        <v>4.0307692307692307</v>
      </c>
      <c r="BH179" s="21" t="e">
        <f t="shared" si="45"/>
        <v>#DIV/0!</v>
      </c>
      <c r="BJ179" s="23" t="e">
        <f>AVERAGE(BF179,BG179,BH179)</f>
        <v>#DIV/0!</v>
      </c>
    </row>
    <row r="180" spans="1:62" x14ac:dyDescent="0.25">
      <c r="A180" s="12" t="s">
        <v>47</v>
      </c>
      <c r="B180" s="2"/>
      <c r="C180" s="2" t="s">
        <v>44</v>
      </c>
      <c r="D180" s="4">
        <v>0</v>
      </c>
      <c r="E180" s="4">
        <v>0</v>
      </c>
      <c r="F180" s="4">
        <v>0</v>
      </c>
      <c r="G180" s="4">
        <v>0</v>
      </c>
      <c r="H180" s="4">
        <v>0</v>
      </c>
      <c r="I180" s="4">
        <v>0</v>
      </c>
      <c r="J180" s="4">
        <v>0</v>
      </c>
      <c r="K180" s="4">
        <v>0</v>
      </c>
      <c r="L180" s="4">
        <v>0</v>
      </c>
      <c r="M180" s="4">
        <v>0</v>
      </c>
      <c r="N180" s="4">
        <v>0</v>
      </c>
      <c r="O180" s="4">
        <v>0</v>
      </c>
      <c r="P180" s="4">
        <v>0</v>
      </c>
      <c r="Q180" s="4">
        <v>0</v>
      </c>
      <c r="R180" s="4">
        <v>0</v>
      </c>
      <c r="S180" s="4">
        <v>0</v>
      </c>
      <c r="T180" s="4">
        <v>0</v>
      </c>
      <c r="U180" s="4">
        <v>0</v>
      </c>
      <c r="V180" s="4">
        <v>0</v>
      </c>
      <c r="W180" s="4">
        <v>0</v>
      </c>
      <c r="X180" s="4">
        <v>0</v>
      </c>
      <c r="Y180" s="4">
        <v>0</v>
      </c>
      <c r="Z180" s="4">
        <v>0</v>
      </c>
      <c r="AA180" s="4">
        <v>0</v>
      </c>
      <c r="AB180" s="4">
        <v>0</v>
      </c>
      <c r="AC180" s="4">
        <v>0</v>
      </c>
      <c r="AD180" s="4">
        <v>0</v>
      </c>
      <c r="AE180" s="4">
        <v>0</v>
      </c>
      <c r="AF180" s="4">
        <v>0</v>
      </c>
      <c r="AG180" s="4">
        <v>0</v>
      </c>
      <c r="AH180" s="4">
        <v>0</v>
      </c>
      <c r="AI180" s="4">
        <v>0</v>
      </c>
      <c r="AJ180" s="4">
        <v>0</v>
      </c>
      <c r="AK180" s="4">
        <v>0</v>
      </c>
      <c r="AL180" s="4">
        <v>0</v>
      </c>
      <c r="AM180" s="4">
        <v>0</v>
      </c>
      <c r="AN180" s="4">
        <v>0</v>
      </c>
      <c r="AO180" s="4">
        <v>0</v>
      </c>
      <c r="AP180" s="4">
        <v>0</v>
      </c>
      <c r="AQ180" s="4">
        <v>0</v>
      </c>
      <c r="AR180" s="4">
        <v>0</v>
      </c>
      <c r="AS180" s="4">
        <v>0</v>
      </c>
      <c r="AT180" s="4">
        <v>0</v>
      </c>
      <c r="AU180" s="4">
        <v>0</v>
      </c>
      <c r="AV180" s="4">
        <v>0</v>
      </c>
      <c r="AW180" s="4">
        <v>0</v>
      </c>
      <c r="AX180" s="3">
        <v>2439</v>
      </c>
      <c r="AY180" s="3">
        <v>1656</v>
      </c>
      <c r="AZ180" s="3">
        <v>1332</v>
      </c>
      <c r="BA180" s="3">
        <v>2407</v>
      </c>
      <c r="BB180" s="24">
        <v>1460</v>
      </c>
      <c r="BC180" s="21">
        <f t="shared" ref="BC180:BH180" si="46">AW180/AX$42</f>
        <v>0</v>
      </c>
      <c r="BD180" s="21">
        <f t="shared" si="46"/>
        <v>187.61538461538461</v>
      </c>
      <c r="BE180" s="21">
        <f t="shared" si="46"/>
        <v>37.636363636363633</v>
      </c>
      <c r="BF180" s="21">
        <f t="shared" si="46"/>
        <v>9.3802816901408459</v>
      </c>
      <c r="BG180" s="21">
        <f t="shared" si="46"/>
        <v>3.9588815789473686</v>
      </c>
      <c r="BH180" s="21" t="e">
        <f t="shared" si="46"/>
        <v>#DIV/0!</v>
      </c>
      <c r="BI180" s="5"/>
      <c r="BJ180" s="23" t="e">
        <f>AVERAGE(BF180,BG180,BH180)</f>
        <v>#DIV/0!</v>
      </c>
    </row>
    <row r="181" spans="1:62" s="5" customFormat="1" ht="30" x14ac:dyDescent="0.25">
      <c r="A181" s="12" t="s">
        <v>48</v>
      </c>
      <c r="B181" s="6"/>
      <c r="C181" s="6" t="s">
        <v>43</v>
      </c>
      <c r="D181" s="7">
        <v>0</v>
      </c>
      <c r="E181" s="7">
        <v>0</v>
      </c>
      <c r="F181" s="7">
        <v>0</v>
      </c>
      <c r="G181" s="7">
        <v>0</v>
      </c>
      <c r="H181" s="7">
        <v>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7">
        <v>0</v>
      </c>
      <c r="R181" s="7">
        <v>0</v>
      </c>
      <c r="S181" s="7">
        <v>0</v>
      </c>
      <c r="T181" s="7">
        <v>0</v>
      </c>
      <c r="U181" s="7">
        <v>0</v>
      </c>
      <c r="V181" s="7">
        <v>0</v>
      </c>
      <c r="W181" s="7">
        <v>0</v>
      </c>
      <c r="X181" s="7">
        <v>0</v>
      </c>
      <c r="Y181" s="7">
        <v>0</v>
      </c>
      <c r="Z181" s="7">
        <v>0</v>
      </c>
      <c r="AA181" s="7">
        <v>0</v>
      </c>
      <c r="AB181" s="7">
        <v>0</v>
      </c>
      <c r="AC181" s="7">
        <v>0</v>
      </c>
      <c r="AD181" s="7">
        <v>0</v>
      </c>
      <c r="AE181" s="7">
        <v>0</v>
      </c>
      <c r="AF181" s="7">
        <v>0</v>
      </c>
      <c r="AG181" s="7">
        <v>0</v>
      </c>
      <c r="AH181" s="7">
        <v>0</v>
      </c>
      <c r="AI181" s="7">
        <v>0</v>
      </c>
      <c r="AJ181" s="7">
        <v>0</v>
      </c>
      <c r="AK181" s="7">
        <v>0</v>
      </c>
      <c r="AL181" s="7">
        <v>0</v>
      </c>
      <c r="AM181" s="7">
        <v>0</v>
      </c>
      <c r="AN181" s="7">
        <v>0</v>
      </c>
      <c r="AO181" s="7">
        <v>0</v>
      </c>
      <c r="AP181" s="7">
        <v>0</v>
      </c>
      <c r="AQ181" s="7">
        <v>0</v>
      </c>
      <c r="AR181" s="7">
        <v>0</v>
      </c>
      <c r="AS181" s="7">
        <v>0</v>
      </c>
      <c r="AT181" s="7">
        <v>0</v>
      </c>
      <c r="AU181" s="7">
        <v>0</v>
      </c>
      <c r="AV181" s="7">
        <v>0</v>
      </c>
      <c r="AW181" s="7">
        <v>0</v>
      </c>
      <c r="AX181" s="8">
        <v>19816</v>
      </c>
      <c r="AY181" s="8">
        <v>16496</v>
      </c>
      <c r="AZ181" s="8">
        <v>16760</v>
      </c>
      <c r="BA181" s="8">
        <v>16900</v>
      </c>
      <c r="BB181" s="25">
        <v>17000</v>
      </c>
      <c r="BC181" s="20">
        <f t="shared" ref="BC181:BH181" si="47">AW181/AW$25</f>
        <v>0</v>
      </c>
      <c r="BD181" s="20">
        <f t="shared" si="47"/>
        <v>11.588304093567251</v>
      </c>
      <c r="BE181" s="20">
        <f t="shared" si="47"/>
        <v>9.1899721448467968</v>
      </c>
      <c r="BF181" s="20">
        <f t="shared" si="47"/>
        <v>9.6878612716763008</v>
      </c>
      <c r="BG181" s="20">
        <f t="shared" si="47"/>
        <v>9.7687861271676297</v>
      </c>
      <c r="BH181" s="20">
        <f t="shared" si="47"/>
        <v>9.6590909090909083</v>
      </c>
      <c r="BI181"/>
      <c r="BJ181" s="23">
        <f>AVERAGE(BF181,BG181,BH181)</f>
        <v>9.7052461026449475</v>
      </c>
    </row>
    <row r="182" spans="1:62" s="5" customFormat="1" x14ac:dyDescent="0.25">
      <c r="A182" s="14"/>
      <c r="B182" s="6" t="s">
        <v>15</v>
      </c>
      <c r="C182" s="6" t="s">
        <v>6</v>
      </c>
      <c r="D182" s="7">
        <v>0</v>
      </c>
      <c r="E182" s="7">
        <v>0</v>
      </c>
      <c r="F182" s="7">
        <v>0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0</v>
      </c>
      <c r="Q182" s="7">
        <v>0</v>
      </c>
      <c r="R182" s="7">
        <v>0</v>
      </c>
      <c r="S182" s="7">
        <v>0</v>
      </c>
      <c r="T182" s="7">
        <v>0</v>
      </c>
      <c r="U182" s="7">
        <v>0</v>
      </c>
      <c r="V182" s="7">
        <v>0</v>
      </c>
      <c r="W182" s="7">
        <v>0</v>
      </c>
      <c r="X182" s="7">
        <v>0</v>
      </c>
      <c r="Y182" s="7">
        <v>0</v>
      </c>
      <c r="Z182" s="7">
        <v>0</v>
      </c>
      <c r="AA182" s="7">
        <v>0</v>
      </c>
      <c r="AB182" s="7">
        <v>0</v>
      </c>
      <c r="AC182" s="7">
        <v>0</v>
      </c>
      <c r="AD182" s="7">
        <v>0</v>
      </c>
      <c r="AE182" s="7">
        <v>0</v>
      </c>
      <c r="AF182" s="7">
        <v>0</v>
      </c>
      <c r="AG182" s="7">
        <v>0</v>
      </c>
      <c r="AH182" s="7">
        <v>0</v>
      </c>
      <c r="AI182" s="7">
        <v>0</v>
      </c>
      <c r="AJ182" s="7">
        <v>0</v>
      </c>
      <c r="AK182" s="7">
        <v>0</v>
      </c>
      <c r="AL182" s="7">
        <v>0</v>
      </c>
      <c r="AM182" s="7">
        <v>0</v>
      </c>
      <c r="AN182" s="7">
        <v>0</v>
      </c>
      <c r="AO182" s="7">
        <v>0</v>
      </c>
      <c r="AP182" s="7">
        <v>0</v>
      </c>
      <c r="AQ182" s="8">
        <v>122441</v>
      </c>
      <c r="AR182" s="8">
        <v>131697</v>
      </c>
      <c r="AS182" s="8">
        <v>123353</v>
      </c>
      <c r="AT182" s="8">
        <v>132579</v>
      </c>
      <c r="AU182" s="8">
        <v>110578</v>
      </c>
      <c r="AV182" s="8">
        <v>146886</v>
      </c>
      <c r="AW182" s="8">
        <v>132356</v>
      </c>
      <c r="AX182" s="8">
        <v>124870</v>
      </c>
      <c r="AY182" s="8">
        <v>120133</v>
      </c>
      <c r="AZ182" s="8">
        <v>151122</v>
      </c>
      <c r="BA182" s="8">
        <v>138051</v>
      </c>
      <c r="BB182" s="8">
        <v>136078</v>
      </c>
      <c r="BC182" s="15">
        <v>0</v>
      </c>
      <c r="BD182" s="21">
        <f t="shared" ref="BD182:BI185" si="48">AW182/AW571</f>
        <v>0.21377532561505064</v>
      </c>
      <c r="BE182" s="21">
        <f t="shared" si="48"/>
        <v>0.20942452281162527</v>
      </c>
      <c r="BF182" s="21">
        <f t="shared" si="48"/>
        <v>0.19626528561742868</v>
      </c>
      <c r="BG182" s="21">
        <f t="shared" si="48"/>
        <v>0.22152479514504755</v>
      </c>
      <c r="BH182" s="21">
        <f t="shared" si="48"/>
        <v>0.20188591225301877</v>
      </c>
      <c r="BI182" s="21">
        <f t="shared" si="48"/>
        <v>0.21026266222277848</v>
      </c>
      <c r="BJ182" s="23">
        <f t="shared" si="35"/>
        <v>0.21122445654028157</v>
      </c>
    </row>
    <row r="183" spans="1:62" x14ac:dyDescent="0.25">
      <c r="A183" s="12"/>
      <c r="B183" s="2"/>
      <c r="C183" s="2" t="s">
        <v>7</v>
      </c>
      <c r="D183" s="4">
        <v>0</v>
      </c>
      <c r="E183" s="4">
        <v>0</v>
      </c>
      <c r="F183" s="4">
        <v>0</v>
      </c>
      <c r="G183" s="4">
        <v>0</v>
      </c>
      <c r="H183" s="4">
        <v>0</v>
      </c>
      <c r="I183" s="4">
        <v>0</v>
      </c>
      <c r="J183" s="4">
        <v>0</v>
      </c>
      <c r="K183" s="4">
        <v>0</v>
      </c>
      <c r="L183" s="4">
        <v>0</v>
      </c>
      <c r="M183" s="4">
        <v>0</v>
      </c>
      <c r="N183" s="4">
        <v>0</v>
      </c>
      <c r="O183" s="4">
        <v>0</v>
      </c>
      <c r="P183" s="4">
        <v>0</v>
      </c>
      <c r="Q183" s="4">
        <v>0</v>
      </c>
      <c r="R183" s="4">
        <v>0</v>
      </c>
      <c r="S183" s="4">
        <v>0</v>
      </c>
      <c r="T183" s="4">
        <v>0</v>
      </c>
      <c r="U183" s="4">
        <v>0</v>
      </c>
      <c r="V183" s="4">
        <v>0</v>
      </c>
      <c r="W183" s="4">
        <v>0</v>
      </c>
      <c r="X183" s="4">
        <v>0</v>
      </c>
      <c r="Y183" s="4">
        <v>0</v>
      </c>
      <c r="Z183" s="4">
        <v>0</v>
      </c>
      <c r="AA183" s="4">
        <v>0</v>
      </c>
      <c r="AB183" s="4">
        <v>0</v>
      </c>
      <c r="AC183" s="4">
        <v>0</v>
      </c>
      <c r="AD183" s="4">
        <v>0</v>
      </c>
      <c r="AE183" s="4">
        <v>0</v>
      </c>
      <c r="AF183" s="4">
        <v>0</v>
      </c>
      <c r="AG183" s="4">
        <v>0</v>
      </c>
      <c r="AH183" s="4">
        <v>0</v>
      </c>
      <c r="AI183" s="4">
        <v>0</v>
      </c>
      <c r="AJ183" s="4">
        <v>0</v>
      </c>
      <c r="AK183" s="4">
        <v>0</v>
      </c>
      <c r="AL183" s="4">
        <v>0</v>
      </c>
      <c r="AM183" s="4">
        <v>0</v>
      </c>
      <c r="AN183" s="4">
        <v>0</v>
      </c>
      <c r="AO183" s="4">
        <v>0</v>
      </c>
      <c r="AP183" s="4">
        <v>0</v>
      </c>
      <c r="AQ183" s="3">
        <v>3956</v>
      </c>
      <c r="AR183" s="3">
        <v>3536</v>
      </c>
      <c r="AS183" s="3">
        <v>8720</v>
      </c>
      <c r="AT183" s="3">
        <v>10686</v>
      </c>
      <c r="AU183" s="3">
        <v>7374</v>
      </c>
      <c r="AV183" s="3">
        <v>7061</v>
      </c>
      <c r="AW183" s="3">
        <v>6755</v>
      </c>
      <c r="AX183" s="3">
        <v>5233</v>
      </c>
      <c r="AY183" s="3">
        <v>6933</v>
      </c>
      <c r="AZ183" s="3">
        <v>7737</v>
      </c>
      <c r="BA183" s="3">
        <v>5480</v>
      </c>
      <c r="BB183" s="3">
        <v>4500</v>
      </c>
      <c r="BC183" s="13">
        <v>0</v>
      </c>
      <c r="BD183" s="20">
        <f t="shared" si="48"/>
        <v>6.0541150954049668E-2</v>
      </c>
      <c r="BE183" s="20">
        <f t="shared" si="48"/>
        <v>4.5900287699108831E-2</v>
      </c>
      <c r="BF183" s="20">
        <f t="shared" si="48"/>
        <v>6.091999472782391E-2</v>
      </c>
      <c r="BG183" s="20">
        <f t="shared" si="48"/>
        <v>5.6502084961258428E-2</v>
      </c>
      <c r="BH183" s="20">
        <f t="shared" si="48"/>
        <v>4.1062530440972612E-2</v>
      </c>
      <c r="BI183" s="20">
        <f t="shared" si="48"/>
        <v>3.6682589627793992E-2</v>
      </c>
      <c r="BJ183" s="23">
        <f t="shared" si="35"/>
        <v>4.4749068343341671E-2</v>
      </c>
    </row>
    <row r="184" spans="1:62" s="5" customFormat="1" x14ac:dyDescent="0.25">
      <c r="A184" s="14"/>
      <c r="B184" s="6"/>
      <c r="C184" s="6" t="s">
        <v>8</v>
      </c>
      <c r="D184" s="7">
        <v>0</v>
      </c>
      <c r="E184" s="7">
        <v>0</v>
      </c>
      <c r="F184" s="7">
        <v>0</v>
      </c>
      <c r="G184" s="7">
        <v>0</v>
      </c>
      <c r="H184" s="7">
        <v>0</v>
      </c>
      <c r="I184" s="7">
        <v>0</v>
      </c>
      <c r="J184" s="7">
        <v>0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0</v>
      </c>
      <c r="Q184" s="7">
        <v>0</v>
      </c>
      <c r="R184" s="7">
        <v>0</v>
      </c>
      <c r="S184" s="7">
        <v>0</v>
      </c>
      <c r="T184" s="7">
        <v>0</v>
      </c>
      <c r="U184" s="7">
        <v>0</v>
      </c>
      <c r="V184" s="7">
        <v>0</v>
      </c>
      <c r="W184" s="7">
        <v>0</v>
      </c>
      <c r="X184" s="7">
        <v>0</v>
      </c>
      <c r="Y184" s="7">
        <v>0</v>
      </c>
      <c r="Z184" s="7">
        <v>0</v>
      </c>
      <c r="AA184" s="7">
        <v>0</v>
      </c>
      <c r="AB184" s="7">
        <v>0</v>
      </c>
      <c r="AC184" s="7">
        <v>0</v>
      </c>
      <c r="AD184" s="7">
        <v>0</v>
      </c>
      <c r="AE184" s="7">
        <v>0</v>
      </c>
      <c r="AF184" s="7">
        <v>0</v>
      </c>
      <c r="AG184" s="7">
        <v>0</v>
      </c>
      <c r="AH184" s="7">
        <v>0</v>
      </c>
      <c r="AI184" s="7">
        <v>0</v>
      </c>
      <c r="AJ184" s="7">
        <v>0</v>
      </c>
      <c r="AK184" s="7">
        <v>0</v>
      </c>
      <c r="AL184" s="7">
        <v>0</v>
      </c>
      <c r="AM184" s="7">
        <v>0</v>
      </c>
      <c r="AN184" s="7">
        <v>0</v>
      </c>
      <c r="AO184" s="7">
        <v>0</v>
      </c>
      <c r="AP184" s="7">
        <v>0</v>
      </c>
      <c r="AQ184" s="8">
        <v>20380</v>
      </c>
      <c r="AR184" s="8">
        <v>15675</v>
      </c>
      <c r="AS184" s="8">
        <v>12751</v>
      </c>
      <c r="AT184" s="8">
        <v>18132</v>
      </c>
      <c r="AU184" s="8">
        <v>9834</v>
      </c>
      <c r="AV184" s="8">
        <v>14745</v>
      </c>
      <c r="AW184" s="8">
        <v>15701</v>
      </c>
      <c r="AX184" s="8">
        <v>13813</v>
      </c>
      <c r="AY184" s="8">
        <v>12272</v>
      </c>
      <c r="AZ184" s="8">
        <v>25319</v>
      </c>
      <c r="BA184" s="8">
        <v>22117</v>
      </c>
      <c r="BB184" s="8">
        <v>22000</v>
      </c>
      <c r="BC184" s="15">
        <v>0</v>
      </c>
      <c r="BD184" s="21">
        <f t="shared" si="48"/>
        <v>0.13421378809249049</v>
      </c>
      <c r="BE184" s="21">
        <f t="shared" si="48"/>
        <v>0.12352336239660183</v>
      </c>
      <c r="BF184" s="21">
        <f t="shared" si="48"/>
        <v>0.10463668764175235</v>
      </c>
      <c r="BG184" s="21">
        <f t="shared" si="48"/>
        <v>0.17624251705415564</v>
      </c>
      <c r="BH184" s="21">
        <f t="shared" si="48"/>
        <v>0.16286330733941576</v>
      </c>
      <c r="BI184" s="21">
        <f t="shared" si="48"/>
        <v>0.17719500310091255</v>
      </c>
      <c r="BJ184" s="23">
        <f t="shared" si="35"/>
        <v>0.17210027583149465</v>
      </c>
    </row>
    <row r="185" spans="1:62" x14ac:dyDescent="0.25">
      <c r="A185" s="12"/>
      <c r="B185" s="2"/>
      <c r="C185" s="2" t="s">
        <v>9</v>
      </c>
      <c r="D185" s="4">
        <v>0</v>
      </c>
      <c r="E185" s="4">
        <v>0</v>
      </c>
      <c r="F185" s="4">
        <v>0</v>
      </c>
      <c r="G185" s="4">
        <v>0</v>
      </c>
      <c r="H185" s="4">
        <v>0</v>
      </c>
      <c r="I185" s="4">
        <v>0</v>
      </c>
      <c r="J185" s="4">
        <v>0</v>
      </c>
      <c r="K185" s="4">
        <v>0</v>
      </c>
      <c r="L185" s="4">
        <v>0</v>
      </c>
      <c r="M185" s="4">
        <v>0</v>
      </c>
      <c r="N185" s="4">
        <v>0</v>
      </c>
      <c r="O185" s="4">
        <v>0</v>
      </c>
      <c r="P185" s="4">
        <v>0</v>
      </c>
      <c r="Q185" s="4">
        <v>0</v>
      </c>
      <c r="R185" s="4">
        <v>0</v>
      </c>
      <c r="S185" s="4">
        <v>0</v>
      </c>
      <c r="T185" s="4">
        <v>0</v>
      </c>
      <c r="U185" s="4">
        <v>0</v>
      </c>
      <c r="V185" s="4">
        <v>0</v>
      </c>
      <c r="W185" s="4">
        <v>0</v>
      </c>
      <c r="X185" s="4">
        <v>0</v>
      </c>
      <c r="Y185" s="4">
        <v>0</v>
      </c>
      <c r="Z185" s="4">
        <v>0</v>
      </c>
      <c r="AA185" s="4">
        <v>0</v>
      </c>
      <c r="AB185" s="4">
        <v>0</v>
      </c>
      <c r="AC185" s="4">
        <v>0</v>
      </c>
      <c r="AD185" s="4">
        <v>0</v>
      </c>
      <c r="AE185" s="4">
        <v>0</v>
      </c>
      <c r="AF185" s="4">
        <v>0</v>
      </c>
      <c r="AG185" s="4">
        <v>0</v>
      </c>
      <c r="AH185" s="4">
        <v>0</v>
      </c>
      <c r="AI185" s="4">
        <v>0</v>
      </c>
      <c r="AJ185" s="4">
        <v>0</v>
      </c>
      <c r="AK185" s="4">
        <v>0</v>
      </c>
      <c r="AL185" s="4">
        <v>0</v>
      </c>
      <c r="AM185" s="4">
        <v>0</v>
      </c>
      <c r="AN185" s="4">
        <v>0</v>
      </c>
      <c r="AO185" s="4">
        <v>0</v>
      </c>
      <c r="AP185" s="4">
        <v>0</v>
      </c>
      <c r="AQ185" s="3">
        <v>113228</v>
      </c>
      <c r="AR185" s="3">
        <v>118354</v>
      </c>
      <c r="AS185" s="3">
        <v>118456</v>
      </c>
      <c r="AT185" s="3">
        <v>124991</v>
      </c>
      <c r="AU185" s="3">
        <v>115095</v>
      </c>
      <c r="AV185" s="3">
        <v>123220</v>
      </c>
      <c r="AW185" s="3">
        <v>127525</v>
      </c>
      <c r="AX185" s="3">
        <v>125500</v>
      </c>
      <c r="AY185" s="3">
        <v>116536</v>
      </c>
      <c r="AZ185" s="3">
        <v>127000</v>
      </c>
      <c r="BA185" s="3">
        <v>124500</v>
      </c>
      <c r="BB185" s="3">
        <v>122000</v>
      </c>
      <c r="BC185" s="13">
        <v>0</v>
      </c>
      <c r="BD185" s="20">
        <f t="shared" si="48"/>
        <v>0.20678846687087415</v>
      </c>
      <c r="BE185" s="20">
        <f t="shared" si="48"/>
        <v>0.20297852794472515</v>
      </c>
      <c r="BF185" s="20">
        <f t="shared" si="48"/>
        <v>0.19002087138012</v>
      </c>
      <c r="BG185" s="20">
        <f t="shared" si="48"/>
        <v>0.2000771951382817</v>
      </c>
      <c r="BH185" s="20">
        <f t="shared" si="48"/>
        <v>0.19147689435243129</v>
      </c>
      <c r="BI185" s="20">
        <f t="shared" si="48"/>
        <v>0.1846319619113343</v>
      </c>
      <c r="BJ185" s="23">
        <f t="shared" si="35"/>
        <v>0.19206201713401574</v>
      </c>
    </row>
    <row r="186" spans="1:62" s="5" customFormat="1" x14ac:dyDescent="0.25">
      <c r="A186" s="14" t="s">
        <v>22</v>
      </c>
      <c r="B186" s="6" t="s">
        <v>5</v>
      </c>
      <c r="C186" s="6" t="s">
        <v>6</v>
      </c>
      <c r="D186" s="8">
        <v>4109</v>
      </c>
      <c r="E186" s="8">
        <v>4322</v>
      </c>
      <c r="F186" s="8">
        <v>4616</v>
      </c>
      <c r="G186" s="8">
        <v>4571</v>
      </c>
      <c r="H186" s="8">
        <v>4663</v>
      </c>
      <c r="I186" s="8">
        <v>4823</v>
      </c>
      <c r="J186" s="8">
        <v>4894</v>
      </c>
      <c r="K186" s="8">
        <v>6269</v>
      </c>
      <c r="L186" s="8">
        <v>5701</v>
      </c>
      <c r="M186" s="8">
        <v>5674</v>
      </c>
      <c r="N186" s="8">
        <v>7486</v>
      </c>
      <c r="O186" s="8">
        <v>5101</v>
      </c>
      <c r="P186" s="8">
        <v>6388</v>
      </c>
      <c r="Q186" s="8">
        <v>5804</v>
      </c>
      <c r="R186" s="8">
        <v>5559</v>
      </c>
      <c r="S186" s="8">
        <v>7256</v>
      </c>
      <c r="T186" s="8">
        <v>6361</v>
      </c>
      <c r="U186" s="8">
        <v>5973</v>
      </c>
      <c r="V186" s="8">
        <v>6199</v>
      </c>
      <c r="W186" s="8">
        <v>5603</v>
      </c>
      <c r="X186" s="8">
        <v>6957</v>
      </c>
      <c r="Y186" s="8">
        <v>6897</v>
      </c>
      <c r="Z186" s="8">
        <v>6549</v>
      </c>
      <c r="AA186" s="8">
        <v>7922</v>
      </c>
      <c r="AB186" s="8">
        <v>8442</v>
      </c>
      <c r="AC186" s="8">
        <v>6643</v>
      </c>
      <c r="AD186" s="8">
        <v>7457</v>
      </c>
      <c r="AE186" s="8">
        <v>5721</v>
      </c>
      <c r="AF186" s="8">
        <v>8229</v>
      </c>
      <c r="AG186" s="8">
        <v>9651</v>
      </c>
      <c r="AH186" s="8">
        <v>8962</v>
      </c>
      <c r="AI186" s="8">
        <v>8060</v>
      </c>
      <c r="AJ186" s="8">
        <v>9992</v>
      </c>
      <c r="AK186" s="8">
        <v>9600</v>
      </c>
      <c r="AL186" s="8">
        <v>8884</v>
      </c>
      <c r="AM186" s="8">
        <v>9530</v>
      </c>
      <c r="AN186" s="8">
        <v>10612</v>
      </c>
      <c r="AO186" s="8">
        <v>10852</v>
      </c>
      <c r="AP186" s="8">
        <v>10680</v>
      </c>
      <c r="AQ186" s="8">
        <v>11470</v>
      </c>
      <c r="AR186" s="8">
        <v>12068</v>
      </c>
      <c r="AS186" s="8">
        <v>13510</v>
      </c>
      <c r="AT186" s="8">
        <v>11100</v>
      </c>
      <c r="AU186" s="8">
        <v>14980</v>
      </c>
      <c r="AV186" s="8">
        <v>14180</v>
      </c>
      <c r="AW186" s="8">
        <v>14710</v>
      </c>
      <c r="AX186" s="8">
        <v>15100</v>
      </c>
      <c r="AY186" s="8">
        <v>18960</v>
      </c>
      <c r="AZ186" s="8">
        <v>19730</v>
      </c>
      <c r="BA186" s="8">
        <v>16720</v>
      </c>
      <c r="BB186" s="8">
        <v>20500</v>
      </c>
      <c r="BC186" s="15">
        <v>0</v>
      </c>
      <c r="BD186" s="21">
        <f t="shared" ref="BD186:BI205" si="49">AW186/AW547</f>
        <v>2.1030569383722827E-2</v>
      </c>
      <c r="BE186" s="21">
        <f t="shared" si="49"/>
        <v>2.1161173870574899E-2</v>
      </c>
      <c r="BF186" s="21">
        <f t="shared" si="49"/>
        <v>2.386490650394224E-2</v>
      </c>
      <c r="BG186" s="21">
        <f t="shared" si="49"/>
        <v>2.469880724665258E-2</v>
      </c>
      <c r="BH186" s="21">
        <f t="shared" si="49"/>
        <v>2.0580310600213928E-2</v>
      </c>
      <c r="BI186" s="21">
        <f t="shared" si="49"/>
        <v>2.5155195284075779E-2</v>
      </c>
      <c r="BJ186" s="23">
        <f t="shared" si="35"/>
        <v>2.3478104376980762E-2</v>
      </c>
    </row>
    <row r="187" spans="1:62" x14ac:dyDescent="0.25">
      <c r="A187" s="12"/>
      <c r="B187" s="2"/>
      <c r="C187" s="2" t="s">
        <v>7</v>
      </c>
      <c r="D187" s="4">
        <v>138</v>
      </c>
      <c r="E187" s="4">
        <v>91</v>
      </c>
      <c r="F187" s="4">
        <v>110</v>
      </c>
      <c r="G187" s="4">
        <v>82</v>
      </c>
      <c r="H187" s="4">
        <v>136</v>
      </c>
      <c r="I187" s="4">
        <v>123</v>
      </c>
      <c r="J187" s="4">
        <v>107</v>
      </c>
      <c r="K187" s="4">
        <v>75</v>
      </c>
      <c r="L187" s="4">
        <v>1</v>
      </c>
      <c r="M187" s="4">
        <v>39</v>
      </c>
      <c r="N187" s="4">
        <v>14</v>
      </c>
      <c r="O187" s="4">
        <v>0</v>
      </c>
      <c r="P187" s="4">
        <v>0</v>
      </c>
      <c r="Q187" s="4">
        <v>6</v>
      </c>
      <c r="R187" s="4">
        <v>0</v>
      </c>
      <c r="S187" s="4">
        <v>0</v>
      </c>
      <c r="T187" s="4">
        <v>47</v>
      </c>
      <c r="U187" s="4">
        <v>0</v>
      </c>
      <c r="V187" s="4">
        <v>6</v>
      </c>
      <c r="W187" s="4">
        <v>16</v>
      </c>
      <c r="X187" s="4">
        <v>10</v>
      </c>
      <c r="Y187" s="4">
        <v>0</v>
      </c>
      <c r="Z187" s="4">
        <v>0</v>
      </c>
      <c r="AA187" s="4">
        <v>0</v>
      </c>
      <c r="AB187" s="4">
        <v>0</v>
      </c>
      <c r="AC187" s="4">
        <v>0</v>
      </c>
      <c r="AD187" s="4">
        <v>0</v>
      </c>
      <c r="AE187" s="4">
        <v>275</v>
      </c>
      <c r="AF187" s="4">
        <v>200</v>
      </c>
      <c r="AG187" s="4">
        <v>0</v>
      </c>
      <c r="AH187" s="4">
        <v>0</v>
      </c>
      <c r="AI187" s="4">
        <v>0</v>
      </c>
      <c r="AJ187" s="4">
        <v>1</v>
      </c>
      <c r="AK187" s="4">
        <v>0</v>
      </c>
      <c r="AL187" s="4">
        <v>1</v>
      </c>
      <c r="AM187" s="4">
        <v>0</v>
      </c>
      <c r="AN187" s="4">
        <v>0</v>
      </c>
      <c r="AO187" s="4">
        <v>1</v>
      </c>
      <c r="AP187" s="4">
        <v>175</v>
      </c>
      <c r="AQ187" s="4">
        <v>250</v>
      </c>
      <c r="AR187" s="4">
        <v>50</v>
      </c>
      <c r="AS187" s="4">
        <v>1</v>
      </c>
      <c r="AT187" s="4">
        <v>1</v>
      </c>
      <c r="AU187" s="4">
        <v>0</v>
      </c>
      <c r="AV187" s="4">
        <v>3</v>
      </c>
      <c r="AW187" s="4">
        <v>4</v>
      </c>
      <c r="AX187" s="4">
        <v>4</v>
      </c>
      <c r="AY187" s="4">
        <v>4</v>
      </c>
      <c r="AZ187" s="4">
        <v>13</v>
      </c>
      <c r="BA187" s="4">
        <v>20</v>
      </c>
      <c r="BB187" s="4">
        <v>0</v>
      </c>
      <c r="BC187" s="13">
        <v>0</v>
      </c>
      <c r="BD187" s="20">
        <f t="shared" si="49"/>
        <v>4.9606865590197682E-5</v>
      </c>
      <c r="BE187" s="20">
        <f t="shared" si="49"/>
        <v>4.4162784021904739E-5</v>
      </c>
      <c r="BF187" s="20">
        <f t="shared" si="49"/>
        <v>4.0602129581696558E-5</v>
      </c>
      <c r="BG187" s="20">
        <f t="shared" si="49"/>
        <v>1.5740976182692192E-4</v>
      </c>
      <c r="BH187" s="20">
        <f t="shared" si="49"/>
        <v>2.2261303176687963E-4</v>
      </c>
      <c r="BI187" s="20">
        <f t="shared" si="49"/>
        <v>0</v>
      </c>
      <c r="BJ187" s="23">
        <f t="shared" si="35"/>
        <v>1.2667426453126719E-4</v>
      </c>
    </row>
    <row r="188" spans="1:62" s="5" customFormat="1" x14ac:dyDescent="0.25">
      <c r="A188" s="14"/>
      <c r="B188" s="6"/>
      <c r="C188" s="6" t="s">
        <v>8</v>
      </c>
      <c r="D188" s="7">
        <v>0</v>
      </c>
      <c r="E188" s="7">
        <v>0</v>
      </c>
      <c r="F188" s="7">
        <v>0</v>
      </c>
      <c r="G188" s="7">
        <v>0</v>
      </c>
      <c r="H188" s="7">
        <v>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7">
        <v>0</v>
      </c>
      <c r="R188" s="7">
        <v>0</v>
      </c>
      <c r="S188" s="7">
        <v>0</v>
      </c>
      <c r="T188" s="7">
        <v>0</v>
      </c>
      <c r="U188" s="7">
        <v>0</v>
      </c>
      <c r="V188" s="7">
        <v>0</v>
      </c>
      <c r="W188" s="7">
        <v>0</v>
      </c>
      <c r="X188" s="7">
        <v>10</v>
      </c>
      <c r="Y188" s="7">
        <v>10</v>
      </c>
      <c r="Z188" s="7">
        <v>0</v>
      </c>
      <c r="AA188" s="7">
        <v>5</v>
      </c>
      <c r="AB188" s="7">
        <v>6</v>
      </c>
      <c r="AC188" s="7">
        <v>5</v>
      </c>
      <c r="AD188" s="7">
        <v>5</v>
      </c>
      <c r="AE188" s="7">
        <v>0</v>
      </c>
      <c r="AF188" s="7">
        <v>0</v>
      </c>
      <c r="AG188" s="7">
        <v>0</v>
      </c>
      <c r="AH188" s="7">
        <v>1</v>
      </c>
      <c r="AI188" s="7">
        <v>4</v>
      </c>
      <c r="AJ188" s="7">
        <v>28</v>
      </c>
      <c r="AK188" s="7">
        <v>36</v>
      </c>
      <c r="AL188" s="7">
        <v>17</v>
      </c>
      <c r="AM188" s="7">
        <v>42</v>
      </c>
      <c r="AN188" s="7">
        <v>8</v>
      </c>
      <c r="AO188" s="7">
        <v>7</v>
      </c>
      <c r="AP188" s="7">
        <v>2</v>
      </c>
      <c r="AQ188" s="7">
        <v>17</v>
      </c>
      <c r="AR188" s="7">
        <v>95</v>
      </c>
      <c r="AS188" s="7">
        <v>25</v>
      </c>
      <c r="AT188" s="7">
        <v>50</v>
      </c>
      <c r="AU188" s="8">
        <v>1257</v>
      </c>
      <c r="AV188" s="7">
        <v>448</v>
      </c>
      <c r="AW188" s="7">
        <v>521</v>
      </c>
      <c r="AX188" s="8">
        <v>1208</v>
      </c>
      <c r="AY188" s="8">
        <v>4473</v>
      </c>
      <c r="AZ188" s="8">
        <v>2608</v>
      </c>
      <c r="BA188" s="8">
        <v>1850</v>
      </c>
      <c r="BB188" s="8">
        <v>2500</v>
      </c>
      <c r="BC188" s="15">
        <v>0</v>
      </c>
      <c r="BD188" s="21">
        <f t="shared" si="49"/>
        <v>6.4263864219459245E-3</v>
      </c>
      <c r="BE188" s="21">
        <f t="shared" si="49"/>
        <v>1.2843275885898977E-2</v>
      </c>
      <c r="BF188" s="21">
        <f t="shared" si="49"/>
        <v>4.5350393381458347E-2</v>
      </c>
      <c r="BG188" s="21">
        <f t="shared" si="49"/>
        <v>3.0875963393988185E-2</v>
      </c>
      <c r="BH188" s="21">
        <f t="shared" si="49"/>
        <v>1.907550807873545E-2</v>
      </c>
      <c r="BI188" s="21">
        <f t="shared" si="49"/>
        <v>2.7533949359560338E-2</v>
      </c>
      <c r="BJ188" s="23">
        <f t="shared" si="35"/>
        <v>2.5828473610761325E-2</v>
      </c>
    </row>
    <row r="189" spans="1:62" x14ac:dyDescent="0.25">
      <c r="A189" s="12"/>
      <c r="B189" s="2"/>
      <c r="C189" s="2" t="s">
        <v>9</v>
      </c>
      <c r="D189" s="3">
        <v>4255</v>
      </c>
      <c r="E189" s="3">
        <v>4364</v>
      </c>
      <c r="F189" s="3">
        <v>4676</v>
      </c>
      <c r="G189" s="3">
        <v>4589</v>
      </c>
      <c r="H189" s="3">
        <v>4749</v>
      </c>
      <c r="I189" s="3">
        <v>4946</v>
      </c>
      <c r="J189" s="3">
        <v>5051</v>
      </c>
      <c r="K189" s="3">
        <v>6044</v>
      </c>
      <c r="L189" s="3">
        <v>6002</v>
      </c>
      <c r="M189" s="3">
        <v>6413</v>
      </c>
      <c r="N189" s="3">
        <v>7500</v>
      </c>
      <c r="O189" s="3">
        <v>5301</v>
      </c>
      <c r="P189" s="3">
        <v>6288</v>
      </c>
      <c r="Q189" s="3">
        <v>5860</v>
      </c>
      <c r="R189" s="3">
        <v>5709</v>
      </c>
      <c r="S189" s="3">
        <v>6156</v>
      </c>
      <c r="T189" s="3">
        <v>6408</v>
      </c>
      <c r="U189" s="3">
        <v>6373</v>
      </c>
      <c r="V189" s="3">
        <v>6605</v>
      </c>
      <c r="W189" s="3">
        <v>5769</v>
      </c>
      <c r="X189" s="3">
        <v>6807</v>
      </c>
      <c r="Y189" s="3">
        <v>6987</v>
      </c>
      <c r="Z189" s="3">
        <v>6649</v>
      </c>
      <c r="AA189" s="3">
        <v>7717</v>
      </c>
      <c r="AB189" s="3">
        <v>8436</v>
      </c>
      <c r="AC189" s="3">
        <v>7038</v>
      </c>
      <c r="AD189" s="3">
        <v>7502</v>
      </c>
      <c r="AE189" s="3">
        <v>5996</v>
      </c>
      <c r="AF189" s="3">
        <v>8179</v>
      </c>
      <c r="AG189" s="3">
        <v>9451</v>
      </c>
      <c r="AH189" s="3">
        <v>9261</v>
      </c>
      <c r="AI189" s="3">
        <v>8156</v>
      </c>
      <c r="AJ189" s="3">
        <v>9965</v>
      </c>
      <c r="AK189" s="3">
        <v>9564</v>
      </c>
      <c r="AL189" s="3">
        <v>8868</v>
      </c>
      <c r="AM189" s="3">
        <v>9488</v>
      </c>
      <c r="AN189" s="3">
        <v>10304</v>
      </c>
      <c r="AO189" s="3">
        <v>10946</v>
      </c>
      <c r="AP189" s="3">
        <v>10853</v>
      </c>
      <c r="AQ189" s="3">
        <v>11350</v>
      </c>
      <c r="AR189" s="3">
        <v>11950</v>
      </c>
      <c r="AS189" s="3">
        <v>13050</v>
      </c>
      <c r="AT189" s="3">
        <v>12000</v>
      </c>
      <c r="AU189" s="3">
        <v>13500</v>
      </c>
      <c r="AV189" s="3">
        <v>13900</v>
      </c>
      <c r="AW189" s="3">
        <v>14200</v>
      </c>
      <c r="AX189" s="3">
        <v>13900</v>
      </c>
      <c r="AY189" s="3">
        <v>14200</v>
      </c>
      <c r="AZ189" s="3">
        <v>17000</v>
      </c>
      <c r="BA189" s="3">
        <v>15100</v>
      </c>
      <c r="BB189" s="3">
        <v>18000</v>
      </c>
      <c r="BC189" s="13">
        <v>0</v>
      </c>
      <c r="BD189" s="20">
        <f t="shared" si="49"/>
        <v>2.0114083683087029E-2</v>
      </c>
      <c r="BE189" s="20">
        <f t="shared" si="49"/>
        <v>1.9180032895826205E-2</v>
      </c>
      <c r="BF189" s="20">
        <f t="shared" si="49"/>
        <v>1.8387946830345291E-2</v>
      </c>
      <c r="BG189" s="20">
        <f t="shared" si="49"/>
        <v>2.1790820937133481E-2</v>
      </c>
      <c r="BH189" s="20">
        <f t="shared" si="49"/>
        <v>1.8675337300090408E-2</v>
      </c>
      <c r="BI189" s="20">
        <f t="shared" si="49"/>
        <v>2.1448411208939699E-2</v>
      </c>
      <c r="BJ189" s="23">
        <f t="shared" si="35"/>
        <v>2.0638189815387866E-2</v>
      </c>
    </row>
    <row r="190" spans="1:62" s="5" customFormat="1" x14ac:dyDescent="0.25">
      <c r="A190" s="14"/>
      <c r="B190" s="6" t="s">
        <v>10</v>
      </c>
      <c r="C190" s="6" t="s">
        <v>6</v>
      </c>
      <c r="D190" s="8">
        <v>4694</v>
      </c>
      <c r="E190" s="8">
        <v>4109</v>
      </c>
      <c r="F190" s="8">
        <v>4989</v>
      </c>
      <c r="G190" s="8">
        <v>5068</v>
      </c>
      <c r="H190" s="8">
        <v>4737</v>
      </c>
      <c r="I190" s="8">
        <v>4413</v>
      </c>
      <c r="J190" s="8">
        <v>4407</v>
      </c>
      <c r="K190" s="8">
        <v>5184</v>
      </c>
      <c r="L190" s="8">
        <v>4754</v>
      </c>
      <c r="M190" s="8">
        <v>4795</v>
      </c>
      <c r="N190" s="8">
        <v>4423</v>
      </c>
      <c r="O190" s="8">
        <v>5787</v>
      </c>
      <c r="P190" s="8">
        <v>5167</v>
      </c>
      <c r="Q190" s="8">
        <v>4958</v>
      </c>
      <c r="R190" s="8">
        <v>5505</v>
      </c>
      <c r="S190" s="8">
        <v>5192</v>
      </c>
      <c r="T190" s="8">
        <v>4646</v>
      </c>
      <c r="U190" s="8">
        <v>5645</v>
      </c>
      <c r="V190" s="8">
        <v>6192</v>
      </c>
      <c r="W190" s="8">
        <v>6262</v>
      </c>
      <c r="X190" s="8">
        <v>6071</v>
      </c>
      <c r="Y190" s="8">
        <v>6559</v>
      </c>
      <c r="Z190" s="8">
        <v>6755</v>
      </c>
      <c r="AA190" s="8">
        <v>6122</v>
      </c>
      <c r="AB190" s="8">
        <v>8360</v>
      </c>
      <c r="AC190" s="8">
        <v>9021</v>
      </c>
      <c r="AD190" s="8">
        <v>7254</v>
      </c>
      <c r="AE190" s="8">
        <v>7140</v>
      </c>
      <c r="AF190" s="8">
        <v>8214</v>
      </c>
      <c r="AG190" s="8">
        <v>10541</v>
      </c>
      <c r="AH190" s="8">
        <v>9135</v>
      </c>
      <c r="AI190" s="8">
        <v>9291</v>
      </c>
      <c r="AJ190" s="8">
        <v>10775</v>
      </c>
      <c r="AK190" s="8">
        <v>9800</v>
      </c>
      <c r="AL190" s="8">
        <v>11148</v>
      </c>
      <c r="AM190" s="8">
        <v>13250</v>
      </c>
      <c r="AN190" s="8">
        <v>13918</v>
      </c>
      <c r="AO190" s="8">
        <v>12337</v>
      </c>
      <c r="AP190" s="8">
        <v>12883</v>
      </c>
      <c r="AQ190" s="8">
        <v>12180</v>
      </c>
      <c r="AR190" s="8">
        <v>10931</v>
      </c>
      <c r="AS190" s="8">
        <v>12300</v>
      </c>
      <c r="AT190" s="8">
        <v>10600</v>
      </c>
      <c r="AU190" s="8">
        <v>14000</v>
      </c>
      <c r="AV190" s="8">
        <v>19000</v>
      </c>
      <c r="AW190" s="8">
        <v>19050</v>
      </c>
      <c r="AX190" s="8">
        <v>21800</v>
      </c>
      <c r="AY190" s="8">
        <v>24000</v>
      </c>
      <c r="AZ190" s="8">
        <v>22600</v>
      </c>
      <c r="BA190" s="8">
        <v>23000</v>
      </c>
      <c r="BB190" s="8">
        <v>25000</v>
      </c>
      <c r="BC190" s="15">
        <v>0</v>
      </c>
      <c r="BD190" s="21">
        <f t="shared" si="49"/>
        <v>0.16361340856973539</v>
      </c>
      <c r="BE190" s="21">
        <f t="shared" si="49"/>
        <v>0.17896430565133156</v>
      </c>
      <c r="BF190" s="21">
        <f t="shared" si="49"/>
        <v>0.20052973271057711</v>
      </c>
      <c r="BG190" s="21">
        <f t="shared" si="49"/>
        <v>0.2110137999290396</v>
      </c>
      <c r="BH190" s="21">
        <f t="shared" si="49"/>
        <v>0.22694979475844648</v>
      </c>
      <c r="BI190" s="21">
        <f t="shared" si="49"/>
        <v>0.218277701623113</v>
      </c>
      <c r="BJ190" s="23">
        <f t="shared" si="35"/>
        <v>0.21874709877019968</v>
      </c>
    </row>
    <row r="191" spans="1:62" x14ac:dyDescent="0.25">
      <c r="A191" s="12"/>
      <c r="B191" s="2"/>
      <c r="C191" s="2" t="s">
        <v>7</v>
      </c>
      <c r="D191" s="4">
        <v>915</v>
      </c>
      <c r="E191" s="4">
        <v>741</v>
      </c>
      <c r="F191" s="4">
        <v>697</v>
      </c>
      <c r="G191" s="4">
        <v>544</v>
      </c>
      <c r="H191" s="4">
        <v>690</v>
      </c>
      <c r="I191" s="4">
        <v>457</v>
      </c>
      <c r="J191" s="4">
        <v>649</v>
      </c>
      <c r="K191" s="4">
        <v>644</v>
      </c>
      <c r="L191" s="4">
        <v>377</v>
      </c>
      <c r="M191" s="4">
        <v>721</v>
      </c>
      <c r="N191" s="4">
        <v>693</v>
      </c>
      <c r="O191" s="4">
        <v>642</v>
      </c>
      <c r="P191" s="4">
        <v>400</v>
      </c>
      <c r="Q191" s="4">
        <v>119</v>
      </c>
      <c r="R191" s="4">
        <v>113</v>
      </c>
      <c r="S191" s="4">
        <v>96</v>
      </c>
      <c r="T191" s="4">
        <v>447</v>
      </c>
      <c r="U191" s="4">
        <v>398</v>
      </c>
      <c r="V191" s="4">
        <v>44</v>
      </c>
      <c r="W191" s="4">
        <v>2</v>
      </c>
      <c r="X191" s="4">
        <v>0</v>
      </c>
      <c r="Y191" s="4">
        <v>36</v>
      </c>
      <c r="Z191" s="4">
        <v>3</v>
      </c>
      <c r="AA191" s="4">
        <v>0</v>
      </c>
      <c r="AB191" s="4">
        <v>0</v>
      </c>
      <c r="AC191" s="4">
        <v>0</v>
      </c>
      <c r="AD191" s="4">
        <v>0</v>
      </c>
      <c r="AE191" s="4">
        <v>107</v>
      </c>
      <c r="AF191" s="4">
        <v>171</v>
      </c>
      <c r="AG191" s="4">
        <v>15</v>
      </c>
      <c r="AH191" s="4">
        <v>0</v>
      </c>
      <c r="AI191" s="4">
        <v>214</v>
      </c>
      <c r="AJ191" s="4">
        <v>102</v>
      </c>
      <c r="AK191" s="4">
        <v>222</v>
      </c>
      <c r="AL191" s="4">
        <v>442</v>
      </c>
      <c r="AM191" s="4">
        <v>85</v>
      </c>
      <c r="AN191" s="4">
        <v>15</v>
      </c>
      <c r="AO191" s="4">
        <v>145</v>
      </c>
      <c r="AP191" s="4">
        <v>508</v>
      </c>
      <c r="AQ191" s="3">
        <v>1600</v>
      </c>
      <c r="AR191" s="3">
        <v>1567</v>
      </c>
      <c r="AS191" s="3">
        <v>2388</v>
      </c>
      <c r="AT191" s="3">
        <v>1216</v>
      </c>
      <c r="AU191" s="4">
        <v>800</v>
      </c>
      <c r="AV191" s="3">
        <v>1038</v>
      </c>
      <c r="AW191" s="4">
        <v>400</v>
      </c>
      <c r="AX191" s="4">
        <v>465</v>
      </c>
      <c r="AY191" s="4">
        <v>600</v>
      </c>
      <c r="AZ191" s="4">
        <v>800</v>
      </c>
      <c r="BA191" s="4">
        <v>480</v>
      </c>
      <c r="BB191" s="4">
        <v>450</v>
      </c>
      <c r="BC191" s="13">
        <v>0</v>
      </c>
      <c r="BD191" s="20">
        <f t="shared" si="49"/>
        <v>8.9343548279019903E-3</v>
      </c>
      <c r="BE191" s="20">
        <f t="shared" si="49"/>
        <v>1.2227510584027979E-2</v>
      </c>
      <c r="BF191" s="20">
        <f t="shared" si="49"/>
        <v>1.5400805975512719E-2</v>
      </c>
      <c r="BG191" s="20">
        <f t="shared" si="49"/>
        <v>2.6540158577447501E-2</v>
      </c>
      <c r="BH191" s="20">
        <f t="shared" si="49"/>
        <v>1.327286804557018E-2</v>
      </c>
      <c r="BI191" s="20">
        <f t="shared" si="49"/>
        <v>1.1802349979018044E-2</v>
      </c>
      <c r="BJ191" s="23">
        <f t="shared" si="35"/>
        <v>1.7205125534011909E-2</v>
      </c>
    </row>
    <row r="192" spans="1:62" s="5" customFormat="1" x14ac:dyDescent="0.25">
      <c r="A192" s="14"/>
      <c r="B192" s="6"/>
      <c r="C192" s="6" t="s">
        <v>8</v>
      </c>
      <c r="D192" s="7">
        <v>240</v>
      </c>
      <c r="E192" s="7">
        <v>269</v>
      </c>
      <c r="F192" s="7">
        <v>272</v>
      </c>
      <c r="G192" s="7">
        <v>227</v>
      </c>
      <c r="H192" s="7">
        <v>201</v>
      </c>
      <c r="I192" s="7">
        <v>155</v>
      </c>
      <c r="J192" s="7">
        <v>198</v>
      </c>
      <c r="K192" s="7">
        <v>191</v>
      </c>
      <c r="L192" s="7">
        <v>160</v>
      </c>
      <c r="M192" s="7">
        <v>169</v>
      </c>
      <c r="N192" s="7">
        <v>139</v>
      </c>
      <c r="O192" s="7">
        <v>166</v>
      </c>
      <c r="P192" s="7">
        <v>198</v>
      </c>
      <c r="Q192" s="7">
        <v>182</v>
      </c>
      <c r="R192" s="7">
        <v>89</v>
      </c>
      <c r="S192" s="7">
        <v>294</v>
      </c>
      <c r="T192" s="7">
        <v>35</v>
      </c>
      <c r="U192" s="7">
        <v>11</v>
      </c>
      <c r="V192" s="7">
        <v>195</v>
      </c>
      <c r="W192" s="7">
        <v>399</v>
      </c>
      <c r="X192" s="7">
        <v>527</v>
      </c>
      <c r="Y192" s="7">
        <v>339</v>
      </c>
      <c r="Z192" s="7">
        <v>500</v>
      </c>
      <c r="AA192" s="7">
        <v>299</v>
      </c>
      <c r="AB192" s="7">
        <v>151</v>
      </c>
      <c r="AC192" s="7">
        <v>336</v>
      </c>
      <c r="AD192" s="8">
        <v>1018</v>
      </c>
      <c r="AE192" s="7">
        <v>19</v>
      </c>
      <c r="AF192" s="7">
        <v>149</v>
      </c>
      <c r="AG192" s="8">
        <v>1077</v>
      </c>
      <c r="AH192" s="7">
        <v>708</v>
      </c>
      <c r="AI192" s="7">
        <v>303</v>
      </c>
      <c r="AJ192" s="7">
        <v>990</v>
      </c>
      <c r="AK192" s="7">
        <v>369</v>
      </c>
      <c r="AL192" s="7">
        <v>104</v>
      </c>
      <c r="AM192" s="7">
        <v>567</v>
      </c>
      <c r="AN192" s="8">
        <v>1187</v>
      </c>
      <c r="AO192" s="7">
        <v>312</v>
      </c>
      <c r="AP192" s="7">
        <v>195</v>
      </c>
      <c r="AQ192" s="7">
        <v>70</v>
      </c>
      <c r="AR192" s="7">
        <v>94</v>
      </c>
      <c r="AS192" s="7">
        <v>60</v>
      </c>
      <c r="AT192" s="7">
        <v>56</v>
      </c>
      <c r="AU192" s="7">
        <v>700</v>
      </c>
      <c r="AV192" s="7">
        <v>660</v>
      </c>
      <c r="AW192" s="8">
        <v>3675</v>
      </c>
      <c r="AX192" s="8">
        <v>4875</v>
      </c>
      <c r="AY192" s="8">
        <v>7500</v>
      </c>
      <c r="AZ192" s="8">
        <v>2360</v>
      </c>
      <c r="BA192" s="8">
        <v>6550</v>
      </c>
      <c r="BB192" s="8">
        <v>4800</v>
      </c>
      <c r="BC192" s="15">
        <v>0</v>
      </c>
      <c r="BD192" s="21">
        <f t="shared" si="49"/>
        <v>8.193249208543274E-2</v>
      </c>
      <c r="BE192" s="21">
        <f t="shared" si="49"/>
        <v>0.13008325328210055</v>
      </c>
      <c r="BF192" s="21">
        <f t="shared" si="49"/>
        <v>0.19228304063581592</v>
      </c>
      <c r="BG192" s="21">
        <f t="shared" si="49"/>
        <v>7.8496590720106438E-2</v>
      </c>
      <c r="BH192" s="21">
        <f t="shared" si="49"/>
        <v>0.18409218662169757</v>
      </c>
      <c r="BI192" s="21">
        <f t="shared" si="49"/>
        <v>0.12588512981904013</v>
      </c>
      <c r="BJ192" s="23">
        <f t="shared" si="35"/>
        <v>0.12949130238694803</v>
      </c>
    </row>
    <row r="193" spans="1:62" x14ac:dyDescent="0.25">
      <c r="A193" s="12"/>
      <c r="B193" s="2"/>
      <c r="C193" s="2" t="s">
        <v>9</v>
      </c>
      <c r="D193" s="3">
        <v>4778</v>
      </c>
      <c r="E193" s="3">
        <v>4567</v>
      </c>
      <c r="F193" s="3">
        <v>5031</v>
      </c>
      <c r="G193" s="3">
        <v>5067</v>
      </c>
      <c r="H193" s="3">
        <v>5312</v>
      </c>
      <c r="I193" s="3">
        <v>4908</v>
      </c>
      <c r="J193" s="3">
        <v>5097</v>
      </c>
      <c r="K193" s="3">
        <v>5444</v>
      </c>
      <c r="L193" s="3">
        <v>5268</v>
      </c>
      <c r="M193" s="3">
        <v>5369</v>
      </c>
      <c r="N193" s="3">
        <v>5035</v>
      </c>
      <c r="O193" s="3">
        <v>5352</v>
      </c>
      <c r="P193" s="3">
        <v>5398</v>
      </c>
      <c r="Q193" s="3">
        <v>5520</v>
      </c>
      <c r="R193" s="3">
        <v>5025</v>
      </c>
      <c r="S193" s="3">
        <v>5888</v>
      </c>
      <c r="T193" s="3">
        <v>4995</v>
      </c>
      <c r="U193" s="3">
        <v>5397</v>
      </c>
      <c r="V193" s="3">
        <v>5616</v>
      </c>
      <c r="W193" s="3">
        <v>5955</v>
      </c>
      <c r="X193" s="3">
        <v>6311</v>
      </c>
      <c r="Y193" s="3">
        <v>5437</v>
      </c>
      <c r="Z193" s="3">
        <v>6232</v>
      </c>
      <c r="AA193" s="3">
        <v>6676</v>
      </c>
      <c r="AB193" s="3">
        <v>7093</v>
      </c>
      <c r="AC193" s="3">
        <v>7157</v>
      </c>
      <c r="AD193" s="3">
        <v>7886</v>
      </c>
      <c r="AE193" s="3">
        <v>7947</v>
      </c>
      <c r="AF193" s="3">
        <v>8118</v>
      </c>
      <c r="AG193" s="3">
        <v>8640</v>
      </c>
      <c r="AH193" s="3">
        <v>8962</v>
      </c>
      <c r="AI193" s="3">
        <v>8648</v>
      </c>
      <c r="AJ193" s="3">
        <v>9808</v>
      </c>
      <c r="AK193" s="3">
        <v>9840</v>
      </c>
      <c r="AL193" s="3">
        <v>10545</v>
      </c>
      <c r="AM193" s="3">
        <v>11747</v>
      </c>
      <c r="AN193" s="3">
        <v>13120</v>
      </c>
      <c r="AO193" s="3">
        <v>12675</v>
      </c>
      <c r="AP193" s="3">
        <v>12620</v>
      </c>
      <c r="AQ193" s="3">
        <v>13547</v>
      </c>
      <c r="AR193" s="3">
        <v>13544</v>
      </c>
      <c r="AS193" s="3">
        <v>13275</v>
      </c>
      <c r="AT193" s="3">
        <v>13300</v>
      </c>
      <c r="AU193" s="3">
        <v>13500</v>
      </c>
      <c r="AV193" s="3">
        <v>14800</v>
      </c>
      <c r="AW193" s="3">
        <v>16700</v>
      </c>
      <c r="AX193" s="3">
        <v>18100</v>
      </c>
      <c r="AY193" s="3">
        <v>18600</v>
      </c>
      <c r="AZ193" s="3">
        <v>17750</v>
      </c>
      <c r="BA193" s="3">
        <v>19650</v>
      </c>
      <c r="BB193" s="3">
        <v>21500</v>
      </c>
      <c r="BC193" s="13">
        <v>0</v>
      </c>
      <c r="BD193" s="20">
        <f t="shared" si="49"/>
        <v>0.14516942227785601</v>
      </c>
      <c r="BE193" s="20">
        <f t="shared" si="49"/>
        <v>0.14837768268489826</v>
      </c>
      <c r="BF193" s="20">
        <f t="shared" si="49"/>
        <v>0.15349700845884051</v>
      </c>
      <c r="BG193" s="20">
        <f t="shared" si="49"/>
        <v>0.16528386922554031</v>
      </c>
      <c r="BH193" s="20">
        <f t="shared" si="49"/>
        <v>0.16589138124625372</v>
      </c>
      <c r="BI193" s="20">
        <f t="shared" si="49"/>
        <v>0.1838030998606516</v>
      </c>
      <c r="BJ193" s="23">
        <f t="shared" si="35"/>
        <v>0.17165945011081521</v>
      </c>
    </row>
    <row r="194" spans="1:62" s="5" customFormat="1" x14ac:dyDescent="0.25">
      <c r="A194" s="14"/>
      <c r="B194" s="6" t="s">
        <v>11</v>
      </c>
      <c r="C194" s="6" t="s">
        <v>6</v>
      </c>
      <c r="D194" s="7">
        <v>0</v>
      </c>
      <c r="E194" s="7">
        <v>0</v>
      </c>
      <c r="F194" s="7">
        <v>0</v>
      </c>
      <c r="G194" s="7">
        <v>0</v>
      </c>
      <c r="H194" s="7">
        <v>0</v>
      </c>
      <c r="I194" s="7">
        <v>0</v>
      </c>
      <c r="J194" s="7">
        <v>0</v>
      </c>
      <c r="K194" s="7">
        <v>0</v>
      </c>
      <c r="L194" s="7">
        <v>0</v>
      </c>
      <c r="M194" s="7">
        <v>11</v>
      </c>
      <c r="N194" s="7">
        <v>18</v>
      </c>
      <c r="O194" s="7">
        <v>20</v>
      </c>
      <c r="P194" s="7">
        <v>25</v>
      </c>
      <c r="Q194" s="7">
        <v>30</v>
      </c>
      <c r="R194" s="7">
        <v>35</v>
      </c>
      <c r="S194" s="7">
        <v>70</v>
      </c>
      <c r="T194" s="7">
        <v>150</v>
      </c>
      <c r="U194" s="7">
        <v>180</v>
      </c>
      <c r="V194" s="7">
        <v>220</v>
      </c>
      <c r="W194" s="7">
        <v>350</v>
      </c>
      <c r="X194" s="7">
        <v>442</v>
      </c>
      <c r="Y194" s="7">
        <v>467</v>
      </c>
      <c r="Z194" s="7">
        <v>491</v>
      </c>
      <c r="AA194" s="7">
        <v>614</v>
      </c>
      <c r="AB194" s="7">
        <v>955</v>
      </c>
      <c r="AC194" s="8">
        <v>1020</v>
      </c>
      <c r="AD194" s="7">
        <v>891</v>
      </c>
      <c r="AE194" s="7">
        <v>898</v>
      </c>
      <c r="AF194" s="8">
        <v>1547</v>
      </c>
      <c r="AG194" s="8">
        <v>1806</v>
      </c>
      <c r="AH194" s="8">
        <v>2602</v>
      </c>
      <c r="AI194" s="8">
        <v>2492</v>
      </c>
      <c r="AJ194" s="8">
        <v>3106</v>
      </c>
      <c r="AK194" s="8">
        <v>4000</v>
      </c>
      <c r="AL194" s="8">
        <v>3236</v>
      </c>
      <c r="AM194" s="8">
        <v>4476</v>
      </c>
      <c r="AN194" s="8">
        <v>4100</v>
      </c>
      <c r="AO194" s="8">
        <v>5350</v>
      </c>
      <c r="AP194" s="8">
        <v>6000</v>
      </c>
      <c r="AQ194" s="8">
        <v>5200</v>
      </c>
      <c r="AR194" s="8">
        <v>5250</v>
      </c>
      <c r="AS194" s="8">
        <v>5400</v>
      </c>
      <c r="AT194" s="8">
        <v>4000</v>
      </c>
      <c r="AU194" s="8">
        <v>6800</v>
      </c>
      <c r="AV194" s="8">
        <v>5850</v>
      </c>
      <c r="AW194" s="8">
        <v>7000</v>
      </c>
      <c r="AX194" s="8">
        <v>7690</v>
      </c>
      <c r="AY194" s="8">
        <v>9470</v>
      </c>
      <c r="AZ194" s="8">
        <v>9100</v>
      </c>
      <c r="BA194" s="8">
        <v>9000</v>
      </c>
      <c r="BB194" s="8">
        <v>9600</v>
      </c>
      <c r="BC194" s="15">
        <v>0</v>
      </c>
      <c r="BD194" s="21">
        <f t="shared" si="49"/>
        <v>3.1722293975030021E-2</v>
      </c>
      <c r="BE194" s="21">
        <f t="shared" si="49"/>
        <v>3.255260696007755E-2</v>
      </c>
      <c r="BF194" s="21">
        <f t="shared" si="49"/>
        <v>4.2967332123411979E-2</v>
      </c>
      <c r="BG194" s="21">
        <f t="shared" si="49"/>
        <v>4.29342492639843E-2</v>
      </c>
      <c r="BH194" s="21">
        <f t="shared" si="49"/>
        <v>3.4585853617295999E-2</v>
      </c>
      <c r="BI194" s="21">
        <f t="shared" si="49"/>
        <v>3.6785555538525208E-2</v>
      </c>
      <c r="BJ194" s="23">
        <f t="shared" si="35"/>
        <v>3.8101886139935169E-2</v>
      </c>
    </row>
    <row r="195" spans="1:62" x14ac:dyDescent="0.25">
      <c r="A195" s="12"/>
      <c r="B195" s="2"/>
      <c r="C195" s="2" t="s">
        <v>7</v>
      </c>
      <c r="D195" s="4">
        <v>0</v>
      </c>
      <c r="E195" s="4">
        <v>0</v>
      </c>
      <c r="F195" s="4">
        <v>0</v>
      </c>
      <c r="G195" s="4">
        <v>0</v>
      </c>
      <c r="H195" s="4">
        <v>12</v>
      </c>
      <c r="I195" s="4">
        <v>0</v>
      </c>
      <c r="J195" s="4">
        <v>0</v>
      </c>
      <c r="K195" s="4">
        <v>0</v>
      </c>
      <c r="L195" s="4">
        <v>0</v>
      </c>
      <c r="M195" s="4">
        <v>0</v>
      </c>
      <c r="N195" s="4">
        <v>0</v>
      </c>
      <c r="O195" s="4">
        <v>0</v>
      </c>
      <c r="P195" s="4">
        <v>0</v>
      </c>
      <c r="Q195" s="4">
        <v>0</v>
      </c>
      <c r="R195" s="4">
        <v>0</v>
      </c>
      <c r="S195" s="4">
        <v>0</v>
      </c>
      <c r="T195" s="4">
        <v>0</v>
      </c>
      <c r="U195" s="4">
        <v>0</v>
      </c>
      <c r="V195" s="4">
        <v>0</v>
      </c>
      <c r="W195" s="4">
        <v>0</v>
      </c>
      <c r="X195" s="4">
        <v>0</v>
      </c>
      <c r="Y195" s="4">
        <v>0</v>
      </c>
      <c r="Z195" s="4">
        <v>0</v>
      </c>
      <c r="AA195" s="4">
        <v>0</v>
      </c>
      <c r="AB195" s="4">
        <v>0</v>
      </c>
      <c r="AC195" s="4">
        <v>0</v>
      </c>
      <c r="AD195" s="4">
        <v>21</v>
      </c>
      <c r="AE195" s="4">
        <v>25</v>
      </c>
      <c r="AF195" s="4">
        <v>0</v>
      </c>
      <c r="AG195" s="4">
        <v>0</v>
      </c>
      <c r="AH195" s="4">
        <v>0</v>
      </c>
      <c r="AI195" s="4">
        <v>0</v>
      </c>
      <c r="AJ195" s="4">
        <v>0</v>
      </c>
      <c r="AK195" s="4">
        <v>0</v>
      </c>
      <c r="AL195" s="4">
        <v>55</v>
      </c>
      <c r="AM195" s="4">
        <v>0</v>
      </c>
      <c r="AN195" s="4">
        <v>0</v>
      </c>
      <c r="AO195" s="4">
        <v>0</v>
      </c>
      <c r="AP195" s="4">
        <v>0</v>
      </c>
      <c r="AQ195" s="4">
        <v>0</v>
      </c>
      <c r="AR195" s="4">
        <v>0</v>
      </c>
      <c r="AS195" s="4">
        <v>0</v>
      </c>
      <c r="AT195" s="4">
        <v>0</v>
      </c>
      <c r="AU195" s="4">
        <v>0</v>
      </c>
      <c r="AV195" s="4">
        <v>0</v>
      </c>
      <c r="AW195" s="4">
        <v>0</v>
      </c>
      <c r="AX195" s="4">
        <v>0</v>
      </c>
      <c r="AY195" s="4">
        <v>0</v>
      </c>
      <c r="AZ195" s="4">
        <v>0</v>
      </c>
      <c r="BA195" s="4">
        <v>0</v>
      </c>
      <c r="BB195" s="4">
        <v>0</v>
      </c>
      <c r="BC195" s="13">
        <v>0</v>
      </c>
      <c r="BD195" s="20">
        <f t="shared" si="49"/>
        <v>0</v>
      </c>
      <c r="BE195" s="20">
        <f t="shared" si="49"/>
        <v>0</v>
      </c>
      <c r="BF195" s="20">
        <f t="shared" si="49"/>
        <v>0</v>
      </c>
      <c r="BG195" s="20">
        <f t="shared" si="49"/>
        <v>0</v>
      </c>
      <c r="BH195" s="20">
        <f t="shared" si="49"/>
        <v>0</v>
      </c>
      <c r="BI195" s="20">
        <f t="shared" si="49"/>
        <v>0</v>
      </c>
      <c r="BJ195" s="23">
        <f t="shared" si="35"/>
        <v>0</v>
      </c>
    </row>
    <row r="196" spans="1:62" s="5" customFormat="1" x14ac:dyDescent="0.25">
      <c r="A196" s="14"/>
      <c r="B196" s="6"/>
      <c r="C196" s="6" t="s">
        <v>8</v>
      </c>
      <c r="D196" s="7">
        <v>0</v>
      </c>
      <c r="E196" s="7">
        <v>0</v>
      </c>
      <c r="F196" s="7">
        <v>0</v>
      </c>
      <c r="G196" s="7">
        <v>0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7">
        <v>0</v>
      </c>
      <c r="R196" s="7">
        <v>0</v>
      </c>
      <c r="S196" s="7">
        <v>0</v>
      </c>
      <c r="T196" s="7">
        <v>0</v>
      </c>
      <c r="U196" s="7">
        <v>0</v>
      </c>
      <c r="V196" s="7">
        <v>0</v>
      </c>
      <c r="W196" s="7">
        <v>0</v>
      </c>
      <c r="X196" s="7">
        <v>0</v>
      </c>
      <c r="Y196" s="7">
        <v>0</v>
      </c>
      <c r="Z196" s="7">
        <v>0</v>
      </c>
      <c r="AA196" s="7">
        <v>0</v>
      </c>
      <c r="AB196" s="7">
        <v>0</v>
      </c>
      <c r="AC196" s="7">
        <v>0</v>
      </c>
      <c r="AD196" s="7">
        <v>0</v>
      </c>
      <c r="AE196" s="7">
        <v>0</v>
      </c>
      <c r="AF196" s="7">
        <v>0</v>
      </c>
      <c r="AG196" s="7">
        <v>0</v>
      </c>
      <c r="AH196" s="7">
        <v>0</v>
      </c>
      <c r="AI196" s="7">
        <v>0</v>
      </c>
      <c r="AJ196" s="7">
        <v>0</v>
      </c>
      <c r="AK196" s="7">
        <v>0</v>
      </c>
      <c r="AL196" s="7">
        <v>0</v>
      </c>
      <c r="AM196" s="7">
        <v>0</v>
      </c>
      <c r="AN196" s="7">
        <v>0</v>
      </c>
      <c r="AO196" s="7">
        <v>0</v>
      </c>
      <c r="AP196" s="7">
        <v>0</v>
      </c>
      <c r="AQ196" s="7">
        <v>17</v>
      </c>
      <c r="AR196" s="7">
        <v>60</v>
      </c>
      <c r="AS196" s="7">
        <v>1</v>
      </c>
      <c r="AT196" s="7">
        <v>5</v>
      </c>
      <c r="AU196" s="7">
        <v>239</v>
      </c>
      <c r="AV196" s="7">
        <v>6</v>
      </c>
      <c r="AW196" s="7">
        <v>6</v>
      </c>
      <c r="AX196" s="7">
        <v>1</v>
      </c>
      <c r="AY196" s="7">
        <v>12</v>
      </c>
      <c r="AZ196" s="7">
        <v>55</v>
      </c>
      <c r="BA196" s="7">
        <v>15</v>
      </c>
      <c r="BB196" s="7">
        <v>15</v>
      </c>
      <c r="BC196" s="15">
        <v>0</v>
      </c>
      <c r="BD196" s="21">
        <f t="shared" si="49"/>
        <v>9.4589481649640566E-5</v>
      </c>
      <c r="BE196" s="21">
        <f t="shared" si="49"/>
        <v>1.4112135024907918E-5</v>
      </c>
      <c r="BF196" s="21">
        <f t="shared" si="49"/>
        <v>1.5233259282767376E-4</v>
      </c>
      <c r="BG196" s="21">
        <f t="shared" si="49"/>
        <v>7.1575440514302078E-4</v>
      </c>
      <c r="BH196" s="21">
        <f t="shared" si="49"/>
        <v>1.6187690879854958E-4</v>
      </c>
      <c r="BI196" s="21">
        <f t="shared" si="49"/>
        <v>1.5226880519744187E-4</v>
      </c>
      <c r="BJ196" s="23">
        <f t="shared" si="35"/>
        <v>3.4330003971300409E-4</v>
      </c>
    </row>
    <row r="197" spans="1:62" x14ac:dyDescent="0.25">
      <c r="A197" s="12"/>
      <c r="B197" s="2"/>
      <c r="C197" s="2" t="s">
        <v>9</v>
      </c>
      <c r="D197" s="4">
        <v>0</v>
      </c>
      <c r="E197" s="4">
        <v>0</v>
      </c>
      <c r="F197" s="4">
        <v>0</v>
      </c>
      <c r="G197" s="4">
        <v>0</v>
      </c>
      <c r="H197" s="4">
        <v>12</v>
      </c>
      <c r="I197" s="4">
        <v>0</v>
      </c>
      <c r="J197" s="4">
        <v>0</v>
      </c>
      <c r="K197" s="4">
        <v>0</v>
      </c>
      <c r="L197" s="4">
        <v>0</v>
      </c>
      <c r="M197" s="4">
        <v>11</v>
      </c>
      <c r="N197" s="4">
        <v>18</v>
      </c>
      <c r="O197" s="4">
        <v>20</v>
      </c>
      <c r="P197" s="4">
        <v>25</v>
      </c>
      <c r="Q197" s="4">
        <v>30</v>
      </c>
      <c r="R197" s="4">
        <v>35</v>
      </c>
      <c r="S197" s="4">
        <v>70</v>
      </c>
      <c r="T197" s="4">
        <v>150</v>
      </c>
      <c r="U197" s="4">
        <v>180</v>
      </c>
      <c r="V197" s="4">
        <v>220</v>
      </c>
      <c r="W197" s="4">
        <v>350</v>
      </c>
      <c r="X197" s="4">
        <v>442</v>
      </c>
      <c r="Y197" s="4">
        <v>467</v>
      </c>
      <c r="Z197" s="4">
        <v>491</v>
      </c>
      <c r="AA197" s="4">
        <v>614</v>
      </c>
      <c r="AB197" s="4">
        <v>955</v>
      </c>
      <c r="AC197" s="3">
        <v>1020</v>
      </c>
      <c r="AD197" s="4">
        <v>912</v>
      </c>
      <c r="AE197" s="4">
        <v>923</v>
      </c>
      <c r="AF197" s="3">
        <v>1547</v>
      </c>
      <c r="AG197" s="3">
        <v>1806</v>
      </c>
      <c r="AH197" s="3">
        <v>2602</v>
      </c>
      <c r="AI197" s="3">
        <v>2492</v>
      </c>
      <c r="AJ197" s="3">
        <v>3106</v>
      </c>
      <c r="AK197" s="3">
        <v>3990</v>
      </c>
      <c r="AL197" s="3">
        <v>3170</v>
      </c>
      <c r="AM197" s="3">
        <v>4531</v>
      </c>
      <c r="AN197" s="3">
        <v>4175</v>
      </c>
      <c r="AO197" s="3">
        <v>5350</v>
      </c>
      <c r="AP197" s="3">
        <v>6001</v>
      </c>
      <c r="AQ197" s="3">
        <v>5024</v>
      </c>
      <c r="AR197" s="3">
        <v>5215</v>
      </c>
      <c r="AS197" s="3">
        <v>5377</v>
      </c>
      <c r="AT197" s="3">
        <v>4025</v>
      </c>
      <c r="AU197" s="3">
        <v>6341</v>
      </c>
      <c r="AV197" s="3">
        <v>5314</v>
      </c>
      <c r="AW197" s="3">
        <v>7795</v>
      </c>
      <c r="AX197" s="3">
        <v>7546</v>
      </c>
      <c r="AY197" s="3">
        <v>9580</v>
      </c>
      <c r="AZ197" s="3">
        <v>8475</v>
      </c>
      <c r="BA197" s="3">
        <v>8461</v>
      </c>
      <c r="BB197" s="3">
        <v>10345</v>
      </c>
      <c r="BC197" s="13">
        <v>0</v>
      </c>
      <c r="BD197" s="20">
        <f t="shared" si="49"/>
        <v>3.6065255209682789E-2</v>
      </c>
      <c r="BE197" s="20">
        <f t="shared" si="49"/>
        <v>3.3452140298613327E-2</v>
      </c>
      <c r="BF197" s="20">
        <f t="shared" si="49"/>
        <v>4.1553168971320505E-2</v>
      </c>
      <c r="BG197" s="20">
        <f t="shared" si="49"/>
        <v>3.8290028327843964E-2</v>
      </c>
      <c r="BH197" s="20">
        <f t="shared" si="49"/>
        <v>3.555579835605386E-2</v>
      </c>
      <c r="BI197" s="20">
        <f t="shared" si="49"/>
        <v>4.0446178627840418E-2</v>
      </c>
      <c r="BJ197" s="23">
        <f t="shared" si="35"/>
        <v>3.8097335103912743E-2</v>
      </c>
    </row>
    <row r="198" spans="1:62" s="5" customFormat="1" x14ac:dyDescent="0.25">
      <c r="A198" s="14"/>
      <c r="B198" s="6" t="s">
        <v>12</v>
      </c>
      <c r="C198" s="6" t="s">
        <v>6</v>
      </c>
      <c r="D198" s="8">
        <v>34639</v>
      </c>
      <c r="E198" s="8">
        <v>35663</v>
      </c>
      <c r="F198" s="8">
        <v>33217</v>
      </c>
      <c r="G198" s="8">
        <v>36998</v>
      </c>
      <c r="H198" s="8">
        <v>39308</v>
      </c>
      <c r="I198" s="8">
        <v>30589</v>
      </c>
      <c r="J198" s="8">
        <v>30438</v>
      </c>
      <c r="K198" s="8">
        <v>37612</v>
      </c>
      <c r="L198" s="8">
        <v>39761</v>
      </c>
      <c r="M198" s="8">
        <v>40430</v>
      </c>
      <c r="N198" s="8">
        <v>42225</v>
      </c>
      <c r="O198" s="8">
        <v>43068</v>
      </c>
      <c r="P198" s="8">
        <v>39245</v>
      </c>
      <c r="Q198" s="8">
        <v>44051</v>
      </c>
      <c r="R198" s="8">
        <v>39579</v>
      </c>
      <c r="S198" s="8">
        <v>48740</v>
      </c>
      <c r="T198" s="8">
        <v>41917</v>
      </c>
      <c r="U198" s="8">
        <v>52617</v>
      </c>
      <c r="V198" s="8">
        <v>53773</v>
      </c>
      <c r="W198" s="8">
        <v>42330</v>
      </c>
      <c r="X198" s="8">
        <v>53631</v>
      </c>
      <c r="Y198" s="8">
        <v>53248</v>
      </c>
      <c r="Z198" s="8">
        <v>47116</v>
      </c>
      <c r="AA198" s="8">
        <v>60097</v>
      </c>
      <c r="AB198" s="8">
        <v>58337</v>
      </c>
      <c r="AC198" s="8">
        <v>63825</v>
      </c>
      <c r="AD198" s="8">
        <v>60416</v>
      </c>
      <c r="AE198" s="8">
        <v>56862</v>
      </c>
      <c r="AF198" s="8">
        <v>70489</v>
      </c>
      <c r="AG198" s="8">
        <v>73573</v>
      </c>
      <c r="AH198" s="8">
        <v>74291</v>
      </c>
      <c r="AI198" s="8">
        <v>74680</v>
      </c>
      <c r="AJ198" s="8">
        <v>72868</v>
      </c>
      <c r="AK198" s="8">
        <v>80300</v>
      </c>
      <c r="AL198" s="8">
        <v>81810</v>
      </c>
      <c r="AM198" s="8">
        <v>76980</v>
      </c>
      <c r="AN198" s="8">
        <v>81730</v>
      </c>
      <c r="AO198" s="8">
        <v>82540</v>
      </c>
      <c r="AP198" s="8">
        <v>86080</v>
      </c>
      <c r="AQ198" s="8">
        <v>89680</v>
      </c>
      <c r="AR198" s="8">
        <v>84980</v>
      </c>
      <c r="AS198" s="8">
        <v>93340</v>
      </c>
      <c r="AT198" s="8">
        <v>71820</v>
      </c>
      <c r="AU198" s="8">
        <v>88530</v>
      </c>
      <c r="AV198" s="8">
        <v>83130</v>
      </c>
      <c r="AW198" s="8">
        <v>91790</v>
      </c>
      <c r="AX198" s="8">
        <v>93350</v>
      </c>
      <c r="AY198" s="8">
        <v>96690</v>
      </c>
      <c r="AZ198" s="8">
        <v>99180</v>
      </c>
      <c r="BA198" s="8">
        <v>89130</v>
      </c>
      <c r="BB198" s="8">
        <v>94500</v>
      </c>
      <c r="BC198" s="15">
        <v>0</v>
      </c>
      <c r="BD198" s="21">
        <f t="shared" si="49"/>
        <v>0.21927645220781455</v>
      </c>
      <c r="BE198" s="21">
        <f t="shared" si="49"/>
        <v>0.22210960103548044</v>
      </c>
      <c r="BF198" s="21">
        <f t="shared" si="49"/>
        <v>0.22299199959409874</v>
      </c>
      <c r="BG198" s="21">
        <f t="shared" si="49"/>
        <v>0.22134884873156263</v>
      </c>
      <c r="BH198" s="21">
        <f t="shared" si="49"/>
        <v>0.20240579716727261</v>
      </c>
      <c r="BI198" s="21">
        <f t="shared" si="49"/>
        <v>0.20968268021061459</v>
      </c>
      <c r="BJ198" s="23">
        <f t="shared" si="35"/>
        <v>0.21114577536981663</v>
      </c>
    </row>
    <row r="199" spans="1:62" x14ac:dyDescent="0.25">
      <c r="A199" s="12"/>
      <c r="B199" s="2"/>
      <c r="C199" s="2" t="s">
        <v>7</v>
      </c>
      <c r="D199" s="4">
        <v>401</v>
      </c>
      <c r="E199" s="4">
        <v>403</v>
      </c>
      <c r="F199" s="4">
        <v>510</v>
      </c>
      <c r="G199" s="4">
        <v>635</v>
      </c>
      <c r="H199" s="4">
        <v>726</v>
      </c>
      <c r="I199" s="4">
        <v>785</v>
      </c>
      <c r="J199" s="4">
        <v>455</v>
      </c>
      <c r="K199" s="4">
        <v>446</v>
      </c>
      <c r="L199" s="4">
        <v>487</v>
      </c>
      <c r="M199" s="4">
        <v>206</v>
      </c>
      <c r="N199" s="4">
        <v>307</v>
      </c>
      <c r="O199" s="4">
        <v>133</v>
      </c>
      <c r="P199" s="4">
        <v>0</v>
      </c>
      <c r="Q199" s="4">
        <v>65</v>
      </c>
      <c r="R199" s="4">
        <v>155</v>
      </c>
      <c r="S199" s="4">
        <v>230</v>
      </c>
      <c r="T199" s="4">
        <v>42</v>
      </c>
      <c r="U199" s="4">
        <v>10</v>
      </c>
      <c r="V199" s="4">
        <v>10</v>
      </c>
      <c r="W199" s="4">
        <v>5</v>
      </c>
      <c r="X199" s="4">
        <v>70</v>
      </c>
      <c r="Y199" s="4">
        <v>10</v>
      </c>
      <c r="Z199" s="4">
        <v>80</v>
      </c>
      <c r="AA199" s="4">
        <v>850</v>
      </c>
      <c r="AB199" s="4">
        <v>10</v>
      </c>
      <c r="AC199" s="4">
        <v>5</v>
      </c>
      <c r="AD199" s="4">
        <v>5</v>
      </c>
      <c r="AE199" s="4">
        <v>650</v>
      </c>
      <c r="AF199" s="4">
        <v>650</v>
      </c>
      <c r="AG199" s="4">
        <v>50</v>
      </c>
      <c r="AH199" s="4">
        <v>0</v>
      </c>
      <c r="AI199" s="4">
        <v>15</v>
      </c>
      <c r="AJ199" s="4">
        <v>55</v>
      </c>
      <c r="AK199" s="4">
        <v>0</v>
      </c>
      <c r="AL199" s="4">
        <v>0</v>
      </c>
      <c r="AM199" s="4">
        <v>0</v>
      </c>
      <c r="AN199" s="4">
        <v>0</v>
      </c>
      <c r="AO199" s="4">
        <v>12</v>
      </c>
      <c r="AP199" s="4">
        <v>4</v>
      </c>
      <c r="AQ199" s="4">
        <v>86</v>
      </c>
      <c r="AR199" s="4">
        <v>0</v>
      </c>
      <c r="AS199" s="4">
        <v>0</v>
      </c>
      <c r="AT199" s="4">
        <v>0</v>
      </c>
      <c r="AU199" s="4">
        <v>0</v>
      </c>
      <c r="AV199" s="4">
        <v>0</v>
      </c>
      <c r="AW199" s="4">
        <v>6</v>
      </c>
      <c r="AX199" s="4">
        <v>0</v>
      </c>
      <c r="AY199" s="4">
        <v>0</v>
      </c>
      <c r="AZ199" s="4">
        <v>0</v>
      </c>
      <c r="BA199" s="4">
        <v>0</v>
      </c>
      <c r="BB199" s="4">
        <v>0</v>
      </c>
      <c r="BC199" s="13">
        <v>0</v>
      </c>
      <c r="BD199" s="20">
        <f t="shared" si="49"/>
        <v>2.2641509433962264E-4</v>
      </c>
      <c r="BE199" s="20">
        <f t="shared" si="49"/>
        <v>0</v>
      </c>
      <c r="BF199" s="20">
        <f t="shared" si="49"/>
        <v>0</v>
      </c>
      <c r="BG199" s="20">
        <f t="shared" si="49"/>
        <v>0</v>
      </c>
      <c r="BH199" s="20">
        <f t="shared" si="49"/>
        <v>0</v>
      </c>
      <c r="BI199" s="20">
        <f t="shared" si="49"/>
        <v>0</v>
      </c>
      <c r="BJ199" s="23">
        <f t="shared" si="35"/>
        <v>0</v>
      </c>
    </row>
    <row r="200" spans="1:62" s="5" customFormat="1" x14ac:dyDescent="0.25">
      <c r="A200" s="14"/>
      <c r="B200" s="6"/>
      <c r="C200" s="6" t="s">
        <v>8</v>
      </c>
      <c r="D200" s="7">
        <v>67</v>
      </c>
      <c r="E200" s="7">
        <v>2</v>
      </c>
      <c r="F200" s="7">
        <v>5</v>
      </c>
      <c r="G200" s="7">
        <v>3</v>
      </c>
      <c r="H200" s="7">
        <v>3</v>
      </c>
      <c r="I200" s="7">
        <v>3</v>
      </c>
      <c r="J200" s="7">
        <v>0</v>
      </c>
      <c r="K200" s="7">
        <v>0</v>
      </c>
      <c r="L200" s="7">
        <v>15</v>
      </c>
      <c r="M200" s="7">
        <v>27</v>
      </c>
      <c r="N200" s="7">
        <v>20</v>
      </c>
      <c r="O200" s="7">
        <v>10</v>
      </c>
      <c r="P200" s="7">
        <v>15</v>
      </c>
      <c r="Q200" s="7">
        <v>35</v>
      </c>
      <c r="R200" s="7">
        <v>18</v>
      </c>
      <c r="S200" s="7">
        <v>38</v>
      </c>
      <c r="T200" s="7">
        <v>23</v>
      </c>
      <c r="U200" s="7">
        <v>143</v>
      </c>
      <c r="V200" s="7">
        <v>450</v>
      </c>
      <c r="W200" s="7">
        <v>425</v>
      </c>
      <c r="X200" s="7">
        <v>900</v>
      </c>
      <c r="Y200" s="7">
        <v>675</v>
      </c>
      <c r="Z200" s="7">
        <v>200</v>
      </c>
      <c r="AA200" s="7">
        <v>220</v>
      </c>
      <c r="AB200" s="7">
        <v>160</v>
      </c>
      <c r="AC200" s="7">
        <v>250</v>
      </c>
      <c r="AD200" s="7">
        <v>350</v>
      </c>
      <c r="AE200" s="7">
        <v>200</v>
      </c>
      <c r="AF200" s="7">
        <v>450</v>
      </c>
      <c r="AG200" s="7">
        <v>500</v>
      </c>
      <c r="AH200" s="7">
        <v>700</v>
      </c>
      <c r="AI200" s="7">
        <v>600</v>
      </c>
      <c r="AJ200" s="7">
        <v>650</v>
      </c>
      <c r="AK200" s="7">
        <v>750</v>
      </c>
      <c r="AL200" s="8">
        <v>4150</v>
      </c>
      <c r="AM200" s="8">
        <v>3700</v>
      </c>
      <c r="AN200" s="8">
        <v>2100</v>
      </c>
      <c r="AO200" s="8">
        <v>4000</v>
      </c>
      <c r="AP200" s="8">
        <v>3350</v>
      </c>
      <c r="AQ200" s="8">
        <v>1400</v>
      </c>
      <c r="AR200" s="8">
        <v>1685</v>
      </c>
      <c r="AS200" s="8">
        <v>6300</v>
      </c>
      <c r="AT200" s="8">
        <v>5440</v>
      </c>
      <c r="AU200" s="8">
        <v>3100</v>
      </c>
      <c r="AV200" s="8">
        <v>4569</v>
      </c>
      <c r="AW200" s="8">
        <v>4688</v>
      </c>
      <c r="AX200" s="8">
        <v>5740</v>
      </c>
      <c r="AY200" s="8">
        <v>4654</v>
      </c>
      <c r="AZ200" s="8">
        <v>2090</v>
      </c>
      <c r="BA200" s="8">
        <v>1900</v>
      </c>
      <c r="BB200" s="8">
        <v>2400</v>
      </c>
      <c r="BC200" s="15">
        <v>0</v>
      </c>
      <c r="BD200" s="21">
        <f t="shared" si="49"/>
        <v>0.15793019808651126</v>
      </c>
      <c r="BE200" s="21">
        <f t="shared" si="49"/>
        <v>0.18283166109253066</v>
      </c>
      <c r="BF200" s="21">
        <f t="shared" si="49"/>
        <v>0.14898997983160994</v>
      </c>
      <c r="BG200" s="21">
        <f t="shared" si="49"/>
        <v>7.2288323187603767E-2</v>
      </c>
      <c r="BH200" s="21">
        <f t="shared" si="49"/>
        <v>6.1658283303585915E-2</v>
      </c>
      <c r="BI200" s="21">
        <f t="shared" si="49"/>
        <v>7.8949965459390106E-2</v>
      </c>
      <c r="BJ200" s="23">
        <f t="shared" si="35"/>
        <v>7.0965523983526582E-2</v>
      </c>
    </row>
    <row r="201" spans="1:62" x14ac:dyDescent="0.25">
      <c r="A201" s="12"/>
      <c r="B201" s="2"/>
      <c r="C201" s="2" t="s">
        <v>9</v>
      </c>
      <c r="D201" s="3">
        <v>35473</v>
      </c>
      <c r="E201" s="3">
        <v>36064</v>
      </c>
      <c r="F201" s="3">
        <v>33722</v>
      </c>
      <c r="G201" s="3">
        <v>36130</v>
      </c>
      <c r="H201" s="3">
        <v>37531</v>
      </c>
      <c r="I201" s="3">
        <v>31371</v>
      </c>
      <c r="J201" s="3">
        <v>32893</v>
      </c>
      <c r="K201" s="3">
        <v>37058</v>
      </c>
      <c r="L201" s="3">
        <v>40033</v>
      </c>
      <c r="M201" s="3">
        <v>41309</v>
      </c>
      <c r="N201" s="3">
        <v>41512</v>
      </c>
      <c r="O201" s="3">
        <v>43541</v>
      </c>
      <c r="P201" s="3">
        <v>40780</v>
      </c>
      <c r="Q201" s="3">
        <v>43181</v>
      </c>
      <c r="R201" s="3">
        <v>43502</v>
      </c>
      <c r="S201" s="3">
        <v>43646</v>
      </c>
      <c r="T201" s="3">
        <v>43436</v>
      </c>
      <c r="U201" s="3">
        <v>49484</v>
      </c>
      <c r="V201" s="3">
        <v>50333</v>
      </c>
      <c r="W201" s="3">
        <v>45910</v>
      </c>
      <c r="X201" s="3">
        <v>53301</v>
      </c>
      <c r="Y201" s="3">
        <v>54083</v>
      </c>
      <c r="Z201" s="3">
        <v>48496</v>
      </c>
      <c r="AA201" s="3">
        <v>58227</v>
      </c>
      <c r="AB201" s="3">
        <v>56687</v>
      </c>
      <c r="AC201" s="3">
        <v>62080</v>
      </c>
      <c r="AD201" s="3">
        <v>60071</v>
      </c>
      <c r="AE201" s="3">
        <v>59312</v>
      </c>
      <c r="AF201" s="3">
        <v>65689</v>
      </c>
      <c r="AG201" s="3">
        <v>71123</v>
      </c>
      <c r="AH201" s="3">
        <v>73091</v>
      </c>
      <c r="AI201" s="3">
        <v>74595</v>
      </c>
      <c r="AJ201" s="3">
        <v>75273</v>
      </c>
      <c r="AK201" s="3">
        <v>76050</v>
      </c>
      <c r="AL201" s="3">
        <v>77660</v>
      </c>
      <c r="AM201" s="3">
        <v>76280</v>
      </c>
      <c r="AN201" s="3">
        <v>81630</v>
      </c>
      <c r="AO201" s="3">
        <v>77552</v>
      </c>
      <c r="AP201" s="3">
        <v>81234</v>
      </c>
      <c r="AQ201" s="3">
        <v>82650</v>
      </c>
      <c r="AR201" s="3">
        <v>75960</v>
      </c>
      <c r="AS201" s="3">
        <v>87611</v>
      </c>
      <c r="AT201" s="3">
        <v>79860</v>
      </c>
      <c r="AU201" s="3">
        <v>85630</v>
      </c>
      <c r="AV201" s="3">
        <v>80861</v>
      </c>
      <c r="AW201" s="3">
        <v>85088</v>
      </c>
      <c r="AX201" s="3">
        <v>86700</v>
      </c>
      <c r="AY201" s="3">
        <v>90466</v>
      </c>
      <c r="AZ201" s="3">
        <v>91090</v>
      </c>
      <c r="BA201" s="3">
        <v>85730</v>
      </c>
      <c r="BB201" s="3">
        <v>91000</v>
      </c>
      <c r="BC201" s="13">
        <v>0</v>
      </c>
      <c r="BD201" s="20">
        <f t="shared" si="49"/>
        <v>0.206057641312271</v>
      </c>
      <c r="BE201" s="20">
        <f t="shared" si="49"/>
        <v>0.20713034877692754</v>
      </c>
      <c r="BF201" s="20">
        <f t="shared" si="49"/>
        <v>0.21222350724998065</v>
      </c>
      <c r="BG201" s="20">
        <f t="shared" si="49"/>
        <v>0.20934935993197124</v>
      </c>
      <c r="BH201" s="20">
        <f t="shared" si="49"/>
        <v>0.1969505177044111</v>
      </c>
      <c r="BI201" s="20">
        <f t="shared" si="49"/>
        <v>0.20392979436705569</v>
      </c>
      <c r="BJ201" s="23">
        <f t="shared" si="35"/>
        <v>0.20340989066781268</v>
      </c>
    </row>
    <row r="202" spans="1:62" s="5" customFormat="1" x14ac:dyDescent="0.25">
      <c r="A202" s="14"/>
      <c r="B202" s="6" t="s">
        <v>13</v>
      </c>
      <c r="C202" s="6" t="s">
        <v>6</v>
      </c>
      <c r="D202" s="8">
        <v>9814</v>
      </c>
      <c r="E202" s="8">
        <v>8026</v>
      </c>
      <c r="F202" s="8">
        <v>9744</v>
      </c>
      <c r="G202" s="8">
        <v>9195</v>
      </c>
      <c r="H202" s="8">
        <v>9681</v>
      </c>
      <c r="I202" s="8">
        <v>7581</v>
      </c>
      <c r="J202" s="8">
        <v>9224</v>
      </c>
      <c r="K202" s="8">
        <v>10048</v>
      </c>
      <c r="L202" s="8">
        <v>9804</v>
      </c>
      <c r="M202" s="8">
        <v>9721</v>
      </c>
      <c r="N202" s="8">
        <v>8105</v>
      </c>
      <c r="O202" s="8">
        <v>7722</v>
      </c>
      <c r="P202" s="8">
        <v>6968</v>
      </c>
      <c r="Q202" s="8">
        <v>9097</v>
      </c>
      <c r="R202" s="8">
        <v>10414</v>
      </c>
      <c r="S202" s="8">
        <v>9504</v>
      </c>
      <c r="T202" s="8">
        <v>10524</v>
      </c>
      <c r="U202" s="8">
        <v>12064</v>
      </c>
      <c r="V202" s="8">
        <v>11436</v>
      </c>
      <c r="W202" s="8">
        <v>11648</v>
      </c>
      <c r="X202" s="8">
        <v>10431</v>
      </c>
      <c r="Y202" s="8">
        <v>12062</v>
      </c>
      <c r="Z202" s="8">
        <v>10753</v>
      </c>
      <c r="AA202" s="8">
        <v>11919</v>
      </c>
      <c r="AB202" s="8">
        <v>11402</v>
      </c>
      <c r="AC202" s="8">
        <v>10197</v>
      </c>
      <c r="AD202" s="8">
        <v>8866</v>
      </c>
      <c r="AE202" s="8">
        <v>9500</v>
      </c>
      <c r="AF202" s="8">
        <v>10170</v>
      </c>
      <c r="AG202" s="8">
        <v>12914</v>
      </c>
      <c r="AH202" s="8">
        <v>11681</v>
      </c>
      <c r="AI202" s="8">
        <v>8100</v>
      </c>
      <c r="AJ202" s="8">
        <v>12806</v>
      </c>
      <c r="AK202" s="8">
        <v>11410</v>
      </c>
      <c r="AL202" s="8">
        <v>9200</v>
      </c>
      <c r="AM202" s="8">
        <v>9550</v>
      </c>
      <c r="AN202" s="8">
        <v>11088</v>
      </c>
      <c r="AO202" s="8">
        <v>7982</v>
      </c>
      <c r="AP202" s="8">
        <v>8710</v>
      </c>
      <c r="AQ202" s="8">
        <v>8860</v>
      </c>
      <c r="AR202" s="8">
        <v>7716</v>
      </c>
      <c r="AS202" s="8">
        <v>8390</v>
      </c>
      <c r="AT202" s="8">
        <v>7060</v>
      </c>
      <c r="AU202" s="8">
        <v>6680</v>
      </c>
      <c r="AV202" s="8">
        <v>7240</v>
      </c>
      <c r="AW202" s="8">
        <v>7630</v>
      </c>
      <c r="AX202" s="8">
        <v>7150</v>
      </c>
      <c r="AY202" s="8">
        <v>7930</v>
      </c>
      <c r="AZ202" s="8">
        <v>7250</v>
      </c>
      <c r="BA202" s="8">
        <v>6700</v>
      </c>
      <c r="BB202" s="8">
        <v>6800</v>
      </c>
      <c r="BC202" s="15">
        <v>0</v>
      </c>
      <c r="BD202" s="21">
        <f t="shared" si="49"/>
        <v>0.12794714424657075</v>
      </c>
      <c r="BE202" s="21">
        <f t="shared" si="49"/>
        <v>0.12402428447528187</v>
      </c>
      <c r="BF202" s="21">
        <f t="shared" si="49"/>
        <v>0.12031740733435495</v>
      </c>
      <c r="BG202" s="21">
        <f t="shared" si="49"/>
        <v>0.11180334947413872</v>
      </c>
      <c r="BH202" s="21">
        <f t="shared" si="49"/>
        <v>0.11306681067215688</v>
      </c>
      <c r="BI202" s="21">
        <f t="shared" si="49"/>
        <v>0.10424970871404918</v>
      </c>
      <c r="BJ202" s="23">
        <f t="shared" ref="BJ202:BJ268" si="50">AVERAGE(BH202,BI202,BG202)</f>
        <v>0.10970662295344825</v>
      </c>
    </row>
    <row r="203" spans="1:62" x14ac:dyDescent="0.25">
      <c r="A203" s="12"/>
      <c r="B203" s="2"/>
      <c r="C203" s="2" t="s">
        <v>7</v>
      </c>
      <c r="D203" s="4">
        <v>53</v>
      </c>
      <c r="E203" s="4">
        <v>0</v>
      </c>
      <c r="F203" s="4">
        <v>0</v>
      </c>
      <c r="G203" s="4">
        <v>25</v>
      </c>
      <c r="H203" s="4">
        <v>54</v>
      </c>
      <c r="I203" s="3">
        <v>1040</v>
      </c>
      <c r="J203" s="3">
        <v>2130</v>
      </c>
      <c r="K203" s="3">
        <v>1239</v>
      </c>
      <c r="L203" s="4">
        <v>55</v>
      </c>
      <c r="M203" s="4">
        <v>275</v>
      </c>
      <c r="N203" s="4">
        <v>1</v>
      </c>
      <c r="O203" s="4">
        <v>0</v>
      </c>
      <c r="P203" s="4">
        <v>836</v>
      </c>
      <c r="Q203" s="4">
        <v>822</v>
      </c>
      <c r="R203" s="4">
        <v>286</v>
      </c>
      <c r="S203" s="4">
        <v>670</v>
      </c>
      <c r="T203" s="4">
        <v>0</v>
      </c>
      <c r="U203" s="4">
        <v>0</v>
      </c>
      <c r="V203" s="4">
        <v>0</v>
      </c>
      <c r="W203" s="4">
        <v>0</v>
      </c>
      <c r="X203" s="4">
        <v>0</v>
      </c>
      <c r="Y203" s="4">
        <v>0</v>
      </c>
      <c r="Z203" s="4">
        <v>0</v>
      </c>
      <c r="AA203" s="4">
        <v>0</v>
      </c>
      <c r="AB203" s="4">
        <v>0</v>
      </c>
      <c r="AC203" s="4">
        <v>0</v>
      </c>
      <c r="AD203" s="4">
        <v>0</v>
      </c>
      <c r="AE203" s="4">
        <v>0</v>
      </c>
      <c r="AF203" s="4">
        <v>0</v>
      </c>
      <c r="AG203" s="4">
        <v>0</v>
      </c>
      <c r="AH203" s="4">
        <v>0</v>
      </c>
      <c r="AI203" s="4">
        <v>0</v>
      </c>
      <c r="AJ203" s="4">
        <v>0</v>
      </c>
      <c r="AK203" s="4">
        <v>0</v>
      </c>
      <c r="AL203" s="4">
        <v>0</v>
      </c>
      <c r="AM203" s="4">
        <v>0</v>
      </c>
      <c r="AN203" s="4">
        <v>0</v>
      </c>
      <c r="AO203" s="4">
        <v>0</v>
      </c>
      <c r="AP203" s="4">
        <v>0</v>
      </c>
      <c r="AQ203" s="4">
        <v>0</v>
      </c>
      <c r="AR203" s="4">
        <v>0</v>
      </c>
      <c r="AS203" s="4">
        <v>1</v>
      </c>
      <c r="AT203" s="4">
        <v>0</v>
      </c>
      <c r="AU203" s="4">
        <v>0</v>
      </c>
      <c r="AV203" s="4">
        <v>3</v>
      </c>
      <c r="AW203" s="4">
        <v>0</v>
      </c>
      <c r="AX203" s="4">
        <v>0</v>
      </c>
      <c r="AY203" s="4">
        <v>0</v>
      </c>
      <c r="AZ203" s="4">
        <v>0</v>
      </c>
      <c r="BA203" s="4">
        <v>0</v>
      </c>
      <c r="BB203" s="4">
        <v>0</v>
      </c>
      <c r="BC203" s="13">
        <v>0</v>
      </c>
      <c r="BD203" s="20">
        <f t="shared" si="49"/>
        <v>0</v>
      </c>
      <c r="BE203" s="20">
        <f t="shared" si="49"/>
        <v>0</v>
      </c>
      <c r="BF203" s="20">
        <f t="shared" si="49"/>
        <v>0</v>
      </c>
      <c r="BG203" s="20">
        <f t="shared" si="49"/>
        <v>0</v>
      </c>
      <c r="BH203" s="20">
        <f t="shared" si="49"/>
        <v>0</v>
      </c>
      <c r="BI203" s="20">
        <f t="shared" si="49"/>
        <v>0</v>
      </c>
      <c r="BJ203" s="23">
        <f t="shared" si="50"/>
        <v>0</v>
      </c>
    </row>
    <row r="204" spans="1:62" s="5" customFormat="1" x14ac:dyDescent="0.25">
      <c r="A204" s="14"/>
      <c r="B204" s="6"/>
      <c r="C204" s="6" t="s">
        <v>8</v>
      </c>
      <c r="D204" s="7">
        <v>0</v>
      </c>
      <c r="E204" s="7">
        <v>0</v>
      </c>
      <c r="F204" s="7">
        <v>0</v>
      </c>
      <c r="G204" s="7">
        <v>0</v>
      </c>
      <c r="H204" s="7">
        <v>0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0</v>
      </c>
      <c r="O204" s="7">
        <v>0</v>
      </c>
      <c r="P204" s="7">
        <v>0</v>
      </c>
      <c r="Q204" s="7">
        <v>0</v>
      </c>
      <c r="R204" s="7">
        <v>0</v>
      </c>
      <c r="S204" s="7">
        <v>0</v>
      </c>
      <c r="T204" s="7">
        <v>0</v>
      </c>
      <c r="U204" s="7">
        <v>3</v>
      </c>
      <c r="V204" s="7">
        <v>0</v>
      </c>
      <c r="W204" s="7">
        <v>0</v>
      </c>
      <c r="X204" s="7">
        <v>0</v>
      </c>
      <c r="Y204" s="7">
        <v>0</v>
      </c>
      <c r="Z204" s="7">
        <v>0</v>
      </c>
      <c r="AA204" s="7">
        <v>0</v>
      </c>
      <c r="AB204" s="7">
        <v>0</v>
      </c>
      <c r="AC204" s="7">
        <v>0</v>
      </c>
      <c r="AD204" s="7">
        <v>0</v>
      </c>
      <c r="AE204" s="7">
        <v>0</v>
      </c>
      <c r="AF204" s="7">
        <v>0</v>
      </c>
      <c r="AG204" s="7">
        <v>0</v>
      </c>
      <c r="AH204" s="7">
        <v>2</v>
      </c>
      <c r="AI204" s="7">
        <v>1</v>
      </c>
      <c r="AJ204" s="7">
        <v>13</v>
      </c>
      <c r="AK204" s="7">
        <v>84</v>
      </c>
      <c r="AL204" s="7">
        <v>1</v>
      </c>
      <c r="AM204" s="7">
        <v>36</v>
      </c>
      <c r="AN204" s="7">
        <v>0</v>
      </c>
      <c r="AO204" s="7">
        <v>0</v>
      </c>
      <c r="AP204" s="7">
        <v>0</v>
      </c>
      <c r="AQ204" s="7">
        <v>0</v>
      </c>
      <c r="AR204" s="7">
        <v>0</v>
      </c>
      <c r="AS204" s="7">
        <v>1</v>
      </c>
      <c r="AT204" s="7">
        <v>7</v>
      </c>
      <c r="AU204" s="7">
        <v>42</v>
      </c>
      <c r="AV204" s="7">
        <v>24</v>
      </c>
      <c r="AW204" s="7">
        <v>4</v>
      </c>
      <c r="AX204" s="7">
        <v>9</v>
      </c>
      <c r="AY204" s="7">
        <v>94</v>
      </c>
      <c r="AZ204" s="7">
        <v>52</v>
      </c>
      <c r="BA204" s="7">
        <v>125</v>
      </c>
      <c r="BB204" s="7">
        <v>50</v>
      </c>
      <c r="BC204" s="15">
        <v>0</v>
      </c>
      <c r="BD204" s="21">
        <f t="shared" si="49"/>
        <v>7.4377091855708439E-4</v>
      </c>
      <c r="BE204" s="21">
        <f t="shared" si="49"/>
        <v>1.6474464579901153E-3</v>
      </c>
      <c r="BF204" s="21">
        <f t="shared" si="49"/>
        <v>9.6608427543679338E-3</v>
      </c>
      <c r="BG204" s="21">
        <f t="shared" si="49"/>
        <v>8.6898395721925134E-3</v>
      </c>
      <c r="BH204" s="21">
        <f t="shared" si="49"/>
        <v>1.8802647412755717E-2</v>
      </c>
      <c r="BI204" s="21">
        <f t="shared" si="49"/>
        <v>7.6698880196349132E-3</v>
      </c>
      <c r="BJ204" s="23">
        <f t="shared" si="50"/>
        <v>1.1720791668194381E-2</v>
      </c>
    </row>
    <row r="205" spans="1:62" x14ac:dyDescent="0.25">
      <c r="A205" s="12"/>
      <c r="B205" s="2"/>
      <c r="C205" s="2" t="s">
        <v>9</v>
      </c>
      <c r="D205" s="3">
        <v>9367</v>
      </c>
      <c r="E205" s="3">
        <v>8526</v>
      </c>
      <c r="F205" s="3">
        <v>8744</v>
      </c>
      <c r="G205" s="3">
        <v>9220</v>
      </c>
      <c r="H205" s="3">
        <v>9735</v>
      </c>
      <c r="I205" s="3">
        <v>9621</v>
      </c>
      <c r="J205" s="3">
        <v>9854</v>
      </c>
      <c r="K205" s="3">
        <v>10787</v>
      </c>
      <c r="L205" s="3">
        <v>10859</v>
      </c>
      <c r="M205" s="3">
        <v>10496</v>
      </c>
      <c r="N205" s="3">
        <v>9106</v>
      </c>
      <c r="O205" s="3">
        <v>8222</v>
      </c>
      <c r="P205" s="3">
        <v>8804</v>
      </c>
      <c r="Q205" s="3">
        <v>10169</v>
      </c>
      <c r="R205" s="3">
        <v>10450</v>
      </c>
      <c r="S205" s="3">
        <v>10174</v>
      </c>
      <c r="T205" s="3">
        <v>10524</v>
      </c>
      <c r="U205" s="3">
        <v>11561</v>
      </c>
      <c r="V205" s="3">
        <v>11736</v>
      </c>
      <c r="W205" s="3">
        <v>12048</v>
      </c>
      <c r="X205" s="3">
        <v>10631</v>
      </c>
      <c r="Y205" s="3">
        <v>11962</v>
      </c>
      <c r="Z205" s="3">
        <v>10853</v>
      </c>
      <c r="AA205" s="3">
        <v>11819</v>
      </c>
      <c r="AB205" s="3">
        <v>11502</v>
      </c>
      <c r="AC205" s="3">
        <v>10397</v>
      </c>
      <c r="AD205" s="3">
        <v>9066</v>
      </c>
      <c r="AE205" s="3">
        <v>9500</v>
      </c>
      <c r="AF205" s="3">
        <v>10070</v>
      </c>
      <c r="AG205" s="3">
        <v>12714</v>
      </c>
      <c r="AH205" s="3">
        <v>11679</v>
      </c>
      <c r="AI205" s="3">
        <v>8299</v>
      </c>
      <c r="AJ205" s="3">
        <v>12294</v>
      </c>
      <c r="AK205" s="3">
        <v>11825</v>
      </c>
      <c r="AL205" s="3">
        <v>9399</v>
      </c>
      <c r="AM205" s="3">
        <v>9514</v>
      </c>
      <c r="AN205" s="3">
        <v>10888</v>
      </c>
      <c r="AO205" s="3">
        <v>8182</v>
      </c>
      <c r="AP205" s="3">
        <v>8690</v>
      </c>
      <c r="AQ205" s="3">
        <v>8850</v>
      </c>
      <c r="AR205" s="3">
        <v>7716</v>
      </c>
      <c r="AS205" s="3">
        <v>8300</v>
      </c>
      <c r="AT205" s="3">
        <v>7150</v>
      </c>
      <c r="AU205" s="3">
        <v>6700</v>
      </c>
      <c r="AV205" s="3">
        <v>7200</v>
      </c>
      <c r="AW205" s="3">
        <v>7500</v>
      </c>
      <c r="AX205" s="3">
        <v>7100</v>
      </c>
      <c r="AY205" s="3">
        <v>7900</v>
      </c>
      <c r="AZ205" s="3">
        <v>7200</v>
      </c>
      <c r="BA205" s="3">
        <v>6600</v>
      </c>
      <c r="BB205" s="3">
        <v>6700</v>
      </c>
      <c r="BC205" s="13">
        <v>0</v>
      </c>
      <c r="BD205" s="20">
        <f t="shared" si="49"/>
        <v>0.12649047948324424</v>
      </c>
      <c r="BE205" s="20">
        <f t="shared" si="49"/>
        <v>0.12285437430786268</v>
      </c>
      <c r="BF205" s="20">
        <f t="shared" si="49"/>
        <v>0.12253381312817968</v>
      </c>
      <c r="BG205" s="20">
        <f t="shared" si="49"/>
        <v>0.1116452163126066</v>
      </c>
      <c r="BH205" s="20">
        <f t="shared" si="49"/>
        <v>0.10806562530700461</v>
      </c>
      <c r="BI205" s="20">
        <f t="shared" si="49"/>
        <v>0.10348609116043433</v>
      </c>
      <c r="BJ205" s="23">
        <f t="shared" si="50"/>
        <v>0.10773231092668185</v>
      </c>
    </row>
    <row r="206" spans="1:62" s="5" customFormat="1" x14ac:dyDescent="0.25">
      <c r="A206" s="12"/>
      <c r="B206" s="2" t="s">
        <v>14</v>
      </c>
      <c r="C206" s="2" t="s">
        <v>42</v>
      </c>
      <c r="D206" s="3">
        <v>3266</v>
      </c>
      <c r="E206" s="3">
        <v>3050</v>
      </c>
      <c r="F206" s="3">
        <v>3000</v>
      </c>
      <c r="G206" s="3">
        <v>2720</v>
      </c>
      <c r="H206" s="3">
        <v>3886</v>
      </c>
      <c r="I206" s="3">
        <v>4094</v>
      </c>
      <c r="J206" s="3">
        <v>2756</v>
      </c>
      <c r="K206" s="3">
        <v>2804</v>
      </c>
      <c r="L206" s="3">
        <v>3208</v>
      </c>
      <c r="M206" s="3">
        <v>4010</v>
      </c>
      <c r="N206" s="3">
        <v>4501</v>
      </c>
      <c r="O206" s="3">
        <v>3829</v>
      </c>
      <c r="P206" s="3">
        <v>4571</v>
      </c>
      <c r="Q206" s="3">
        <v>4949</v>
      </c>
      <c r="R206" s="3">
        <v>5794</v>
      </c>
      <c r="S206" s="3">
        <v>5612</v>
      </c>
      <c r="T206" s="3">
        <v>6430</v>
      </c>
      <c r="U206" s="3">
        <v>8206</v>
      </c>
      <c r="V206" s="3">
        <v>7071</v>
      </c>
      <c r="W206" s="3">
        <v>5170</v>
      </c>
      <c r="X206" s="3">
        <v>6542</v>
      </c>
      <c r="Y206" s="3">
        <v>9727</v>
      </c>
      <c r="Z206" s="3">
        <v>9508</v>
      </c>
      <c r="AA206" s="3">
        <v>7042</v>
      </c>
      <c r="AB206" s="3">
        <v>7071</v>
      </c>
      <c r="AC206" s="3">
        <v>8149</v>
      </c>
      <c r="AD206" s="3">
        <v>10153</v>
      </c>
      <c r="AE206" s="3">
        <v>10591</v>
      </c>
      <c r="AF206" s="3">
        <v>10177</v>
      </c>
      <c r="AG206" s="3">
        <v>12575</v>
      </c>
      <c r="AH206" s="3">
        <v>13707</v>
      </c>
      <c r="AI206" s="3">
        <v>15249</v>
      </c>
      <c r="AJ206" s="3">
        <v>12447</v>
      </c>
      <c r="AK206" s="3">
        <v>11704</v>
      </c>
      <c r="AL206" s="3">
        <v>16410</v>
      </c>
      <c r="AM206" s="3">
        <v>18225</v>
      </c>
      <c r="AN206" s="3">
        <v>14616</v>
      </c>
      <c r="AO206" s="3">
        <v>14592</v>
      </c>
      <c r="AP206" s="3">
        <v>17436</v>
      </c>
      <c r="AQ206" s="3">
        <v>20219</v>
      </c>
      <c r="AR206" s="3">
        <v>20480</v>
      </c>
      <c r="AS206" s="3">
        <v>20475</v>
      </c>
      <c r="AT206" s="3">
        <v>22140</v>
      </c>
      <c r="AU206" s="3">
        <v>15150</v>
      </c>
      <c r="AV206" s="3">
        <v>14170</v>
      </c>
      <c r="AW206" s="3">
        <v>21140</v>
      </c>
      <c r="AX206" s="3">
        <v>30780</v>
      </c>
      <c r="AY206" s="3">
        <v>28630</v>
      </c>
      <c r="AZ206" s="3">
        <v>15950</v>
      </c>
      <c r="BA206" s="3">
        <v>20538</v>
      </c>
      <c r="BB206" s="24">
        <v>25700</v>
      </c>
      <c r="BC206" s="21">
        <f t="shared" ref="BC206:BH206" si="51">AW206/AX$83</f>
        <v>2.6434913092409653</v>
      </c>
      <c r="BD206" s="21">
        <f t="shared" si="51"/>
        <v>4.5451860602480805</v>
      </c>
      <c r="BE206" s="21">
        <f t="shared" si="51"/>
        <v>4.4713415586443856</v>
      </c>
      <c r="BF206" s="21">
        <f t="shared" si="51"/>
        <v>2.238282346337356</v>
      </c>
      <c r="BG206" s="21">
        <f t="shared" si="51"/>
        <v>3.1596923076923078</v>
      </c>
      <c r="BH206" s="21" t="e">
        <f t="shared" si="51"/>
        <v>#DIV/0!</v>
      </c>
      <c r="BJ206" s="23" t="e">
        <f>AVERAGE(BF206,BG206,BH206)</f>
        <v>#DIV/0!</v>
      </c>
    </row>
    <row r="207" spans="1:62" x14ac:dyDescent="0.25">
      <c r="A207" s="12"/>
      <c r="B207" s="6"/>
      <c r="C207" s="6" t="s">
        <v>45</v>
      </c>
      <c r="D207" s="7">
        <v>0</v>
      </c>
      <c r="E207" s="7">
        <v>0</v>
      </c>
      <c r="F207" s="7">
        <v>0</v>
      </c>
      <c r="G207" s="7">
        <v>0</v>
      </c>
      <c r="H207" s="7">
        <v>0</v>
      </c>
      <c r="I207" s="7">
        <v>0</v>
      </c>
      <c r="J207" s="7">
        <v>0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1</v>
      </c>
      <c r="Q207" s="7">
        <v>3</v>
      </c>
      <c r="R207" s="7">
        <v>0</v>
      </c>
      <c r="S207" s="7">
        <v>0</v>
      </c>
      <c r="T207" s="7">
        <v>0</v>
      </c>
      <c r="U207" s="7">
        <v>0</v>
      </c>
      <c r="V207" s="7">
        <v>0</v>
      </c>
      <c r="W207" s="7">
        <v>192</v>
      </c>
      <c r="X207" s="7">
        <v>228</v>
      </c>
      <c r="Y207" s="7">
        <v>0</v>
      </c>
      <c r="Z207" s="7">
        <v>0</v>
      </c>
      <c r="AA207" s="7">
        <v>81</v>
      </c>
      <c r="AB207" s="8">
        <v>1298</v>
      </c>
      <c r="AC207" s="8">
        <v>1732</v>
      </c>
      <c r="AD207" s="8">
        <v>1020</v>
      </c>
      <c r="AE207" s="7">
        <v>76</v>
      </c>
      <c r="AF207" s="7">
        <v>0</v>
      </c>
      <c r="AG207" s="7">
        <v>53</v>
      </c>
      <c r="AH207" s="7">
        <v>0</v>
      </c>
      <c r="AI207" s="7">
        <v>0</v>
      </c>
      <c r="AJ207" s="7">
        <v>0</v>
      </c>
      <c r="AK207" s="8">
        <v>1500</v>
      </c>
      <c r="AL207" s="7">
        <v>685</v>
      </c>
      <c r="AM207" s="7">
        <v>0</v>
      </c>
      <c r="AN207" s="7">
        <v>27</v>
      </c>
      <c r="AO207" s="8">
        <v>1000</v>
      </c>
      <c r="AP207" s="8">
        <v>1075</v>
      </c>
      <c r="AQ207" s="7">
        <v>438</v>
      </c>
      <c r="AR207" s="7">
        <v>0</v>
      </c>
      <c r="AS207" s="7">
        <v>100</v>
      </c>
      <c r="AT207" s="7">
        <v>10</v>
      </c>
      <c r="AU207" s="7">
        <v>550</v>
      </c>
      <c r="AV207" s="8">
        <v>2135</v>
      </c>
      <c r="AW207" s="7">
        <v>50</v>
      </c>
      <c r="AX207" s="7">
        <v>0</v>
      </c>
      <c r="AY207" s="7">
        <v>0</v>
      </c>
      <c r="AZ207" s="8">
        <v>2786</v>
      </c>
      <c r="BA207" s="8">
        <v>4110</v>
      </c>
      <c r="BB207" s="25">
        <v>1000</v>
      </c>
      <c r="BC207" s="21">
        <f t="shared" ref="BC207:BH207" si="52">AW207/AX$63</f>
        <v>9.7087378640776698E-2</v>
      </c>
      <c r="BD207" s="21">
        <f t="shared" si="52"/>
        <v>0</v>
      </c>
      <c r="BE207" s="21">
        <f t="shared" si="52"/>
        <v>0</v>
      </c>
      <c r="BF207" s="21">
        <f t="shared" si="52"/>
        <v>18.450331125827816</v>
      </c>
      <c r="BG207" s="21">
        <f t="shared" si="52"/>
        <v>6.3230769230769228</v>
      </c>
      <c r="BH207" s="21" t="e">
        <f t="shared" si="52"/>
        <v>#DIV/0!</v>
      </c>
      <c r="BJ207" s="23" t="e">
        <f>AVERAGE(BF207,BG207,BH207)</f>
        <v>#DIV/0!</v>
      </c>
    </row>
    <row r="208" spans="1:62" s="5" customFormat="1" x14ac:dyDescent="0.25">
      <c r="A208" s="12"/>
      <c r="B208" s="2"/>
      <c r="C208" s="2" t="s">
        <v>44</v>
      </c>
      <c r="D208" s="4">
        <v>296</v>
      </c>
      <c r="E208" s="4">
        <v>381</v>
      </c>
      <c r="F208" s="4">
        <v>290</v>
      </c>
      <c r="G208" s="4">
        <v>274</v>
      </c>
      <c r="H208" s="4">
        <v>270</v>
      </c>
      <c r="I208" s="4">
        <v>446</v>
      </c>
      <c r="J208" s="4">
        <v>177</v>
      </c>
      <c r="K208" s="4">
        <v>164</v>
      </c>
      <c r="L208" s="4">
        <v>106</v>
      </c>
      <c r="M208" s="4">
        <v>358</v>
      </c>
      <c r="N208" s="4">
        <v>323</v>
      </c>
      <c r="O208" s="4">
        <v>166</v>
      </c>
      <c r="P208" s="4">
        <v>102</v>
      </c>
      <c r="Q208" s="4">
        <v>375</v>
      </c>
      <c r="R208" s="4">
        <v>398</v>
      </c>
      <c r="S208" s="4">
        <v>887</v>
      </c>
      <c r="T208" s="4">
        <v>332</v>
      </c>
      <c r="U208" s="4">
        <v>215</v>
      </c>
      <c r="V208" s="4">
        <v>919</v>
      </c>
      <c r="W208" s="4">
        <v>243</v>
      </c>
      <c r="X208" s="4">
        <v>65</v>
      </c>
      <c r="Y208" s="4">
        <v>408</v>
      </c>
      <c r="Z208" s="4">
        <v>441</v>
      </c>
      <c r="AA208" s="4">
        <v>765</v>
      </c>
      <c r="AB208" s="4">
        <v>20</v>
      </c>
      <c r="AC208" s="4">
        <v>39</v>
      </c>
      <c r="AD208" s="4">
        <v>21</v>
      </c>
      <c r="AE208" s="4">
        <v>19</v>
      </c>
      <c r="AF208" s="4">
        <v>30</v>
      </c>
      <c r="AG208" s="4">
        <v>32</v>
      </c>
      <c r="AH208" s="4">
        <v>239</v>
      </c>
      <c r="AI208" s="4">
        <v>590</v>
      </c>
      <c r="AJ208" s="4">
        <v>390</v>
      </c>
      <c r="AK208" s="4">
        <v>30</v>
      </c>
      <c r="AL208" s="4">
        <v>40</v>
      </c>
      <c r="AM208" s="4">
        <v>940</v>
      </c>
      <c r="AN208" s="4">
        <v>422</v>
      </c>
      <c r="AO208" s="4">
        <v>21</v>
      </c>
      <c r="AP208" s="4">
        <v>10</v>
      </c>
      <c r="AQ208" s="4">
        <v>25</v>
      </c>
      <c r="AR208" s="3">
        <v>1360</v>
      </c>
      <c r="AS208" s="3">
        <v>1130</v>
      </c>
      <c r="AT208" s="3">
        <v>1410</v>
      </c>
      <c r="AU208" s="4">
        <v>250</v>
      </c>
      <c r="AV208" s="4">
        <v>40</v>
      </c>
      <c r="AW208" s="3">
        <v>1510</v>
      </c>
      <c r="AX208" s="3">
        <v>2680</v>
      </c>
      <c r="AY208" s="3">
        <v>5830</v>
      </c>
      <c r="AZ208" s="4">
        <v>176</v>
      </c>
      <c r="BA208" s="4">
        <v>5</v>
      </c>
      <c r="BB208" s="13">
        <v>20</v>
      </c>
      <c r="BC208" s="21">
        <f t="shared" ref="BC208:BH208" si="53">AW208/AX$42</f>
        <v>12.905982905982906</v>
      </c>
      <c r="BD208" s="21">
        <f t="shared" si="53"/>
        <v>206.15384615384616</v>
      </c>
      <c r="BE208" s="21">
        <f t="shared" si="53"/>
        <v>132.5</v>
      </c>
      <c r="BF208" s="21">
        <f t="shared" si="53"/>
        <v>1.2394366197183098</v>
      </c>
      <c r="BG208" s="21">
        <f t="shared" si="53"/>
        <v>8.2236842105263153E-3</v>
      </c>
      <c r="BH208" s="21" t="e">
        <f t="shared" si="53"/>
        <v>#DIV/0!</v>
      </c>
      <c r="BI208"/>
      <c r="BJ208" s="23" t="e">
        <f>AVERAGE(BF208,BG208,BH208)</f>
        <v>#DIV/0!</v>
      </c>
    </row>
    <row r="209" spans="1:62" ht="30" x14ac:dyDescent="0.25">
      <c r="A209" s="12"/>
      <c r="B209" s="6"/>
      <c r="C209" s="6" t="s">
        <v>43</v>
      </c>
      <c r="D209" s="8">
        <v>2513</v>
      </c>
      <c r="E209" s="8">
        <v>2503</v>
      </c>
      <c r="F209" s="8">
        <v>2833</v>
      </c>
      <c r="G209" s="8">
        <v>2595</v>
      </c>
      <c r="H209" s="8">
        <v>2646</v>
      </c>
      <c r="I209" s="8">
        <v>2958</v>
      </c>
      <c r="J209" s="8">
        <v>3175</v>
      </c>
      <c r="K209" s="8">
        <v>2792</v>
      </c>
      <c r="L209" s="8">
        <v>2869</v>
      </c>
      <c r="M209" s="8">
        <v>4264</v>
      </c>
      <c r="N209" s="8">
        <v>4536</v>
      </c>
      <c r="O209" s="8">
        <v>4448</v>
      </c>
      <c r="P209" s="8">
        <v>4367</v>
      </c>
      <c r="Q209" s="8">
        <v>4807</v>
      </c>
      <c r="R209" s="8">
        <v>4932</v>
      </c>
      <c r="S209" s="8">
        <v>5203</v>
      </c>
      <c r="T209" s="8">
        <v>5269</v>
      </c>
      <c r="U209" s="8">
        <v>6168</v>
      </c>
      <c r="V209" s="8">
        <v>7430</v>
      </c>
      <c r="W209" s="8">
        <v>6667</v>
      </c>
      <c r="X209" s="8">
        <v>6373</v>
      </c>
      <c r="Y209" s="8">
        <v>6823</v>
      </c>
      <c r="Z209" s="8">
        <v>7622</v>
      </c>
      <c r="AA209" s="8">
        <v>8900</v>
      </c>
      <c r="AB209" s="8">
        <v>9116</v>
      </c>
      <c r="AC209" s="8">
        <v>9493</v>
      </c>
      <c r="AD209" s="8">
        <v>10352</v>
      </c>
      <c r="AE209" s="8">
        <v>10886</v>
      </c>
      <c r="AF209" s="8">
        <v>11433</v>
      </c>
      <c r="AG209" s="8">
        <v>11535</v>
      </c>
      <c r="AH209" s="8">
        <v>12281</v>
      </c>
      <c r="AI209" s="8">
        <v>12977</v>
      </c>
      <c r="AJ209" s="8">
        <v>13800</v>
      </c>
      <c r="AK209" s="8">
        <v>13900</v>
      </c>
      <c r="AL209" s="8">
        <v>13841</v>
      </c>
      <c r="AM209" s="8">
        <v>14820</v>
      </c>
      <c r="AN209" s="8">
        <v>15697</v>
      </c>
      <c r="AO209" s="8">
        <v>16700</v>
      </c>
      <c r="AP209" s="8">
        <v>16977</v>
      </c>
      <c r="AQ209" s="8">
        <v>17296</v>
      </c>
      <c r="AR209" s="8">
        <v>17845</v>
      </c>
      <c r="AS209" s="8">
        <v>19760</v>
      </c>
      <c r="AT209" s="8">
        <v>20260</v>
      </c>
      <c r="AU209" s="8">
        <v>19115</v>
      </c>
      <c r="AV209" s="8">
        <v>20385</v>
      </c>
      <c r="AW209" s="8">
        <v>19870</v>
      </c>
      <c r="AX209" s="8">
        <v>22425</v>
      </c>
      <c r="AY209" s="8">
        <v>23500</v>
      </c>
      <c r="AZ209" s="8">
        <v>24200</v>
      </c>
      <c r="BA209" s="8">
        <v>23500</v>
      </c>
      <c r="BB209" s="25">
        <v>25000</v>
      </c>
      <c r="BC209" s="20">
        <f t="shared" ref="BC209:BH209" si="54">AW209/AW$25</f>
        <v>11.862686567164179</v>
      </c>
      <c r="BD209" s="20">
        <f t="shared" si="54"/>
        <v>13.114035087719298</v>
      </c>
      <c r="BE209" s="20">
        <f t="shared" si="54"/>
        <v>13.09192200557103</v>
      </c>
      <c r="BF209" s="20">
        <f t="shared" si="54"/>
        <v>13.988439306358382</v>
      </c>
      <c r="BG209" s="20">
        <f t="shared" si="54"/>
        <v>13.583815028901734</v>
      </c>
      <c r="BH209" s="20">
        <f t="shared" si="54"/>
        <v>14.204545454545455</v>
      </c>
      <c r="BI209" s="5"/>
      <c r="BJ209" s="23">
        <f>AVERAGE(BF209,BG209,BH209)</f>
        <v>13.92559992993519</v>
      </c>
    </row>
    <row r="210" spans="1:62" x14ac:dyDescent="0.25">
      <c r="A210" s="12"/>
      <c r="B210" s="2" t="s">
        <v>15</v>
      </c>
      <c r="C210" s="2" t="s">
        <v>6</v>
      </c>
      <c r="D210" s="3">
        <v>10320</v>
      </c>
      <c r="E210" s="3">
        <v>10995</v>
      </c>
      <c r="F210" s="3">
        <v>12076</v>
      </c>
      <c r="G210" s="3">
        <v>10779</v>
      </c>
      <c r="H210" s="3">
        <v>9854</v>
      </c>
      <c r="I210" s="3">
        <v>12258</v>
      </c>
      <c r="J210" s="3">
        <v>10394</v>
      </c>
      <c r="K210" s="3">
        <v>11393</v>
      </c>
      <c r="L210" s="3">
        <v>16540</v>
      </c>
      <c r="M210" s="3">
        <v>18651</v>
      </c>
      <c r="N210" s="3">
        <v>20093</v>
      </c>
      <c r="O210" s="3">
        <v>23832</v>
      </c>
      <c r="P210" s="3">
        <v>26410</v>
      </c>
      <c r="Q210" s="3">
        <v>24735</v>
      </c>
      <c r="R210" s="3">
        <v>21778</v>
      </c>
      <c r="S210" s="3">
        <v>24104</v>
      </c>
      <c r="T210" s="3">
        <v>28846</v>
      </c>
      <c r="U210" s="3">
        <v>29010</v>
      </c>
      <c r="V210" s="3">
        <v>31749</v>
      </c>
      <c r="W210" s="3">
        <v>35508</v>
      </c>
      <c r="X210" s="3">
        <v>31830</v>
      </c>
      <c r="Y210" s="3">
        <v>36313</v>
      </c>
      <c r="Z210" s="3">
        <v>37452</v>
      </c>
      <c r="AA210" s="3">
        <v>42794</v>
      </c>
      <c r="AB210" s="3">
        <v>45476</v>
      </c>
      <c r="AC210" s="3">
        <v>44069</v>
      </c>
      <c r="AD210" s="3">
        <v>47052</v>
      </c>
      <c r="AE210" s="3">
        <v>44323</v>
      </c>
      <c r="AF210" s="3">
        <v>46169</v>
      </c>
      <c r="AG210" s="3">
        <v>54110</v>
      </c>
      <c r="AH210" s="3">
        <v>49850</v>
      </c>
      <c r="AI210" s="3">
        <v>55134</v>
      </c>
      <c r="AJ210" s="3">
        <v>55690</v>
      </c>
      <c r="AK210" s="3">
        <v>57210</v>
      </c>
      <c r="AL210" s="3">
        <v>59840</v>
      </c>
      <c r="AM210" s="3">
        <v>65470</v>
      </c>
      <c r="AN210" s="3">
        <v>62097</v>
      </c>
      <c r="AO210" s="3">
        <v>69350</v>
      </c>
      <c r="AP210" s="3">
        <v>66350</v>
      </c>
      <c r="AQ210" s="3">
        <v>70780</v>
      </c>
      <c r="AR210" s="3">
        <v>76369</v>
      </c>
      <c r="AS210" s="3">
        <v>69680</v>
      </c>
      <c r="AT210" s="3">
        <v>71810</v>
      </c>
      <c r="AU210" s="3">
        <v>65100</v>
      </c>
      <c r="AV210" s="3">
        <v>72150</v>
      </c>
      <c r="AW210" s="3">
        <v>68640</v>
      </c>
      <c r="AX210" s="3">
        <v>69350</v>
      </c>
      <c r="AY210" s="3">
        <v>75810</v>
      </c>
      <c r="AZ210" s="3">
        <v>78570</v>
      </c>
      <c r="BA210" s="3">
        <v>80680</v>
      </c>
      <c r="BB210" s="3">
        <v>80800</v>
      </c>
      <c r="BC210" s="13">
        <v>0</v>
      </c>
      <c r="BD210" s="20">
        <f t="shared" ref="BD210:BI213" si="55">AW210/AW571</f>
        <v>0.11086417200744263</v>
      </c>
      <c r="BE210" s="20">
        <f t="shared" si="55"/>
        <v>0.11630968733071365</v>
      </c>
      <c r="BF210" s="20">
        <f t="shared" si="55"/>
        <v>0.12385332342201782</v>
      </c>
      <c r="BG210" s="20">
        <f t="shared" si="55"/>
        <v>0.11517319221917648</v>
      </c>
      <c r="BH210" s="20">
        <f t="shared" si="55"/>
        <v>0.11798650788892187</v>
      </c>
      <c r="BI210" s="20">
        <f t="shared" si="55"/>
        <v>0.12484915348256516</v>
      </c>
      <c r="BJ210" s="23">
        <f t="shared" si="50"/>
        <v>0.11933628453022117</v>
      </c>
    </row>
    <row r="211" spans="1:62" s="5" customFormat="1" x14ac:dyDescent="0.25">
      <c r="A211" s="14"/>
      <c r="B211" s="6"/>
      <c r="C211" s="6" t="s">
        <v>7</v>
      </c>
      <c r="D211" s="8">
        <v>4398</v>
      </c>
      <c r="E211" s="8">
        <v>2798</v>
      </c>
      <c r="F211" s="8">
        <v>3546</v>
      </c>
      <c r="G211" s="8">
        <v>4275</v>
      </c>
      <c r="H211" s="8">
        <v>5977</v>
      </c>
      <c r="I211" s="8">
        <v>7157</v>
      </c>
      <c r="J211" s="8">
        <v>8030</v>
      </c>
      <c r="K211" s="8">
        <v>6393</v>
      </c>
      <c r="L211" s="8">
        <v>4355</v>
      </c>
      <c r="M211" s="8">
        <v>3188</v>
      </c>
      <c r="N211" s="8">
        <v>2927</v>
      </c>
      <c r="O211" s="8">
        <v>1749</v>
      </c>
      <c r="P211" s="7">
        <v>502</v>
      </c>
      <c r="Q211" s="8">
        <v>3243</v>
      </c>
      <c r="R211" s="8">
        <v>4970</v>
      </c>
      <c r="S211" s="8">
        <v>6900</v>
      </c>
      <c r="T211" s="8">
        <v>5066</v>
      </c>
      <c r="U211" s="7">
        <v>298</v>
      </c>
      <c r="V211" s="7">
        <v>50</v>
      </c>
      <c r="W211" s="7">
        <v>0</v>
      </c>
      <c r="X211" s="7">
        <v>50</v>
      </c>
      <c r="Y211" s="8">
        <v>2000</v>
      </c>
      <c r="Z211" s="8">
        <v>2486</v>
      </c>
      <c r="AA211" s="8">
        <v>3270</v>
      </c>
      <c r="AB211" s="7">
        <v>700</v>
      </c>
      <c r="AC211" s="7">
        <v>50</v>
      </c>
      <c r="AD211" s="7">
        <v>15</v>
      </c>
      <c r="AE211" s="7">
        <v>10</v>
      </c>
      <c r="AF211" s="8">
        <v>2100</v>
      </c>
      <c r="AG211" s="7">
        <v>100</v>
      </c>
      <c r="AH211" s="7">
        <v>100</v>
      </c>
      <c r="AI211" s="7">
        <v>100</v>
      </c>
      <c r="AJ211" s="8">
        <v>2500</v>
      </c>
      <c r="AK211" s="7">
        <v>500</v>
      </c>
      <c r="AL211" s="7">
        <v>30</v>
      </c>
      <c r="AM211" s="7">
        <v>50</v>
      </c>
      <c r="AN211" s="8">
        <v>1445</v>
      </c>
      <c r="AO211" s="8">
        <v>1731</v>
      </c>
      <c r="AP211" s="8">
        <v>2203</v>
      </c>
      <c r="AQ211" s="8">
        <v>1372</v>
      </c>
      <c r="AR211" s="7">
        <v>441</v>
      </c>
      <c r="AS211" s="7">
        <v>32</v>
      </c>
      <c r="AT211" s="7">
        <v>34</v>
      </c>
      <c r="AU211" s="7">
        <v>8</v>
      </c>
      <c r="AV211" s="7">
        <v>8</v>
      </c>
      <c r="AW211" s="7">
        <v>41</v>
      </c>
      <c r="AX211" s="8">
        <v>6721</v>
      </c>
      <c r="AY211" s="8">
        <v>1962</v>
      </c>
      <c r="AZ211" s="7">
        <v>7</v>
      </c>
      <c r="BA211" s="7">
        <v>291</v>
      </c>
      <c r="BB211" s="7">
        <v>300</v>
      </c>
      <c r="BC211" s="15">
        <v>0</v>
      </c>
      <c r="BD211" s="21">
        <f t="shared" si="55"/>
        <v>3.6745924339245543E-4</v>
      </c>
      <c r="BE211" s="21">
        <f t="shared" si="55"/>
        <v>5.8952003368184687E-2</v>
      </c>
      <c r="BF211" s="21">
        <f t="shared" si="55"/>
        <v>1.7240015816528273E-2</v>
      </c>
      <c r="BG211" s="21">
        <f t="shared" si="55"/>
        <v>5.111989074949063E-5</v>
      </c>
      <c r="BH211" s="21">
        <f t="shared" si="55"/>
        <v>2.1805102843655165E-3</v>
      </c>
      <c r="BI211" s="21">
        <f t="shared" si="55"/>
        <v>2.4455059751862661E-3</v>
      </c>
      <c r="BJ211" s="23">
        <f t="shared" si="50"/>
        <v>1.5590453834337578E-3</v>
      </c>
    </row>
    <row r="212" spans="1:62" x14ac:dyDescent="0.25">
      <c r="A212" s="12"/>
      <c r="B212" s="2"/>
      <c r="C212" s="2" t="s">
        <v>8</v>
      </c>
      <c r="D212" s="4">
        <v>0</v>
      </c>
      <c r="E212" s="4">
        <v>0</v>
      </c>
      <c r="F212" s="4">
        <v>0</v>
      </c>
      <c r="G212" s="4">
        <v>0</v>
      </c>
      <c r="H212" s="4">
        <v>0</v>
      </c>
      <c r="I212" s="4">
        <v>0</v>
      </c>
      <c r="J212" s="4">
        <v>0</v>
      </c>
      <c r="K212" s="4">
        <v>0</v>
      </c>
      <c r="L212" s="4">
        <v>1</v>
      </c>
      <c r="M212" s="4">
        <v>14</v>
      </c>
      <c r="N212" s="4">
        <v>13</v>
      </c>
      <c r="O212" s="4">
        <v>5</v>
      </c>
      <c r="P212" s="4">
        <v>667</v>
      </c>
      <c r="Q212" s="4">
        <v>0</v>
      </c>
      <c r="R212" s="4">
        <v>0</v>
      </c>
      <c r="S212" s="4">
        <v>0</v>
      </c>
      <c r="T212" s="4">
        <v>0</v>
      </c>
      <c r="U212" s="4">
        <v>536</v>
      </c>
      <c r="V212" s="4">
        <v>614</v>
      </c>
      <c r="W212" s="4">
        <v>481</v>
      </c>
      <c r="X212" s="4">
        <v>55</v>
      </c>
      <c r="Y212" s="4">
        <v>0</v>
      </c>
      <c r="Z212" s="4">
        <v>100</v>
      </c>
      <c r="AA212" s="4">
        <v>35</v>
      </c>
      <c r="AB212" s="4">
        <v>100</v>
      </c>
      <c r="AC212" s="4">
        <v>400</v>
      </c>
      <c r="AD212" s="4">
        <v>500</v>
      </c>
      <c r="AE212" s="4">
        <v>500</v>
      </c>
      <c r="AF212" s="4">
        <v>20</v>
      </c>
      <c r="AG212" s="4">
        <v>20</v>
      </c>
      <c r="AH212" s="4">
        <v>200</v>
      </c>
      <c r="AI212" s="4">
        <v>680</v>
      </c>
      <c r="AJ212" s="4">
        <v>50</v>
      </c>
      <c r="AK212" s="4">
        <v>28</v>
      </c>
      <c r="AL212" s="4">
        <v>100</v>
      </c>
      <c r="AM212" s="3">
        <v>1500</v>
      </c>
      <c r="AN212" s="3">
        <v>2000</v>
      </c>
      <c r="AO212" s="4">
        <v>0</v>
      </c>
      <c r="AP212" s="4">
        <v>0</v>
      </c>
      <c r="AQ212" s="4">
        <v>200</v>
      </c>
      <c r="AR212" s="3">
        <v>1569</v>
      </c>
      <c r="AS212" s="3">
        <v>3087</v>
      </c>
      <c r="AT212" s="3">
        <v>4850</v>
      </c>
      <c r="AU212" s="3">
        <v>5650</v>
      </c>
      <c r="AV212" s="3">
        <v>2120</v>
      </c>
      <c r="AW212" s="4">
        <v>801</v>
      </c>
      <c r="AX212" s="4">
        <v>94</v>
      </c>
      <c r="AY212" s="4">
        <v>49</v>
      </c>
      <c r="AZ212" s="4">
        <v>23</v>
      </c>
      <c r="BA212" s="4">
        <v>58</v>
      </c>
      <c r="BB212" s="4">
        <v>200</v>
      </c>
      <c r="BC212" s="13">
        <v>0</v>
      </c>
      <c r="BD212" s="20">
        <f t="shared" si="55"/>
        <v>6.8470316707270164E-3</v>
      </c>
      <c r="BE212" s="20">
        <f t="shared" si="55"/>
        <v>8.4059915045830535E-4</v>
      </c>
      <c r="BF212" s="20">
        <f t="shared" si="55"/>
        <v>4.177964222983919E-4</v>
      </c>
      <c r="BG212" s="20">
        <f t="shared" si="55"/>
        <v>1.6010023666991507E-4</v>
      </c>
      <c r="BH212" s="20">
        <f t="shared" si="55"/>
        <v>4.2709552948800081E-4</v>
      </c>
      <c r="BI212" s="20">
        <f t="shared" si="55"/>
        <v>1.6108636645537505E-3</v>
      </c>
      <c r="BJ212" s="23">
        <f t="shared" si="50"/>
        <v>7.3268647690388885E-4</v>
      </c>
    </row>
    <row r="213" spans="1:62" s="5" customFormat="1" x14ac:dyDescent="0.25">
      <c r="A213" s="14"/>
      <c r="B213" s="6"/>
      <c r="C213" s="6" t="s">
        <v>9</v>
      </c>
      <c r="D213" s="8">
        <v>14218</v>
      </c>
      <c r="E213" s="8">
        <v>13893</v>
      </c>
      <c r="F213" s="8">
        <v>14822</v>
      </c>
      <c r="G213" s="8">
        <v>16054</v>
      </c>
      <c r="H213" s="8">
        <v>16531</v>
      </c>
      <c r="I213" s="8">
        <v>18115</v>
      </c>
      <c r="J213" s="8">
        <v>19324</v>
      </c>
      <c r="K213" s="8">
        <v>17786</v>
      </c>
      <c r="L213" s="8">
        <v>19294</v>
      </c>
      <c r="M213" s="8">
        <v>21725</v>
      </c>
      <c r="N213" s="8">
        <v>22007</v>
      </c>
      <c r="O213" s="8">
        <v>23576</v>
      </c>
      <c r="P213" s="8">
        <v>28245</v>
      </c>
      <c r="Q213" s="8">
        <v>30178</v>
      </c>
      <c r="R213" s="8">
        <v>27048</v>
      </c>
      <c r="S213" s="8">
        <v>27004</v>
      </c>
      <c r="T213" s="8">
        <v>28412</v>
      </c>
      <c r="U213" s="8">
        <v>30772</v>
      </c>
      <c r="V213" s="8">
        <v>33685</v>
      </c>
      <c r="W213" s="8">
        <v>36027</v>
      </c>
      <c r="X213" s="8">
        <v>34325</v>
      </c>
      <c r="Y213" s="8">
        <v>36313</v>
      </c>
      <c r="Z213" s="8">
        <v>37838</v>
      </c>
      <c r="AA213" s="8">
        <v>42029</v>
      </c>
      <c r="AB213" s="8">
        <v>43076</v>
      </c>
      <c r="AC213" s="8">
        <v>43719</v>
      </c>
      <c r="AD213" s="8">
        <v>45567</v>
      </c>
      <c r="AE213" s="8">
        <v>56492</v>
      </c>
      <c r="AF213" s="8">
        <v>48929</v>
      </c>
      <c r="AG213" s="8">
        <v>53201</v>
      </c>
      <c r="AH213" s="8">
        <v>47595</v>
      </c>
      <c r="AI213" s="8">
        <v>58009</v>
      </c>
      <c r="AJ213" s="8">
        <v>57515</v>
      </c>
      <c r="AK213" s="8">
        <v>53377</v>
      </c>
      <c r="AL213" s="8">
        <v>58330</v>
      </c>
      <c r="AM213" s="8">
        <v>64978</v>
      </c>
      <c r="AN213" s="8">
        <v>66064</v>
      </c>
      <c r="AO213" s="8">
        <v>69246</v>
      </c>
      <c r="AP213" s="8">
        <v>63707</v>
      </c>
      <c r="AQ213" s="8">
        <v>68793</v>
      </c>
      <c r="AR213" s="8">
        <v>66821</v>
      </c>
      <c r="AS213" s="8">
        <v>65125</v>
      </c>
      <c r="AT213" s="8">
        <v>74294</v>
      </c>
      <c r="AU213" s="8">
        <v>68258</v>
      </c>
      <c r="AV213" s="8">
        <v>72838</v>
      </c>
      <c r="AW213" s="8">
        <v>69980</v>
      </c>
      <c r="AX213" s="8">
        <v>73477</v>
      </c>
      <c r="AY213" s="8">
        <v>76423</v>
      </c>
      <c r="AZ213" s="8">
        <v>70924</v>
      </c>
      <c r="BA213" s="8">
        <v>78150</v>
      </c>
      <c r="BB213" s="8">
        <v>82525</v>
      </c>
      <c r="BC213" s="15">
        <v>0</v>
      </c>
      <c r="BD213" s="21">
        <f t="shared" si="55"/>
        <v>0.11347623533913957</v>
      </c>
      <c r="BE213" s="21">
        <f t="shared" si="55"/>
        <v>0.11883867169557426</v>
      </c>
      <c r="BF213" s="21">
        <f t="shared" si="55"/>
        <v>0.12461355335246543</v>
      </c>
      <c r="BG213" s="21">
        <f t="shared" si="55"/>
        <v>0.11173444872431096</v>
      </c>
      <c r="BH213" s="21">
        <f t="shared" si="55"/>
        <v>0.12019212284050206</v>
      </c>
      <c r="BI213" s="21">
        <f t="shared" si="55"/>
        <v>0.12489141521912182</v>
      </c>
      <c r="BJ213" s="23">
        <f t="shared" si="50"/>
        <v>0.11893932892797827</v>
      </c>
    </row>
    <row r="214" spans="1:62" x14ac:dyDescent="0.25">
      <c r="A214" s="12" t="s">
        <v>23</v>
      </c>
      <c r="B214" s="2" t="s">
        <v>5</v>
      </c>
      <c r="C214" s="2" t="s">
        <v>6</v>
      </c>
      <c r="D214" s="3">
        <v>2460</v>
      </c>
      <c r="E214" s="3">
        <v>2283</v>
      </c>
      <c r="F214" s="3">
        <v>3243</v>
      </c>
      <c r="G214" s="3">
        <v>2358</v>
      </c>
      <c r="H214" s="3">
        <v>3769</v>
      </c>
      <c r="I214" s="3">
        <v>2365</v>
      </c>
      <c r="J214" s="3">
        <v>3717</v>
      </c>
      <c r="K214" s="3">
        <v>2369</v>
      </c>
      <c r="L214" s="3">
        <v>3166</v>
      </c>
      <c r="M214" s="3">
        <v>2293</v>
      </c>
      <c r="N214" s="3">
        <v>2825</v>
      </c>
      <c r="O214" s="3">
        <v>2606</v>
      </c>
      <c r="P214" s="3">
        <v>2254</v>
      </c>
      <c r="Q214" s="3">
        <v>3690</v>
      </c>
      <c r="R214" s="3">
        <v>3011</v>
      </c>
      <c r="S214" s="3">
        <v>2903</v>
      </c>
      <c r="T214" s="3">
        <v>2572</v>
      </c>
      <c r="U214" s="3">
        <v>3143</v>
      </c>
      <c r="V214" s="3">
        <v>4029</v>
      </c>
      <c r="W214" s="3">
        <v>3606</v>
      </c>
      <c r="X214" s="3">
        <v>3991</v>
      </c>
      <c r="Y214" s="3">
        <v>4509</v>
      </c>
      <c r="Z214" s="3">
        <v>3235</v>
      </c>
      <c r="AA214" s="3">
        <v>5087</v>
      </c>
      <c r="AB214" s="3">
        <v>5288</v>
      </c>
      <c r="AC214" s="3">
        <v>4330</v>
      </c>
      <c r="AD214" s="3">
        <v>5000</v>
      </c>
      <c r="AE214" s="3">
        <v>4800</v>
      </c>
      <c r="AF214" s="3">
        <v>5200</v>
      </c>
      <c r="AG214" s="3">
        <v>5000</v>
      </c>
      <c r="AH214" s="3">
        <v>5000</v>
      </c>
      <c r="AI214" s="3">
        <v>5400</v>
      </c>
      <c r="AJ214" s="3">
        <v>5650</v>
      </c>
      <c r="AK214" s="3">
        <v>5400</v>
      </c>
      <c r="AL214" s="3">
        <v>6100</v>
      </c>
      <c r="AM214" s="3">
        <v>6000</v>
      </c>
      <c r="AN214" s="3">
        <v>5950</v>
      </c>
      <c r="AO214" s="3">
        <v>5700</v>
      </c>
      <c r="AP214" s="3">
        <v>6500</v>
      </c>
      <c r="AQ214" s="3">
        <v>6200</v>
      </c>
      <c r="AR214" s="3">
        <v>5900</v>
      </c>
      <c r="AS214" s="3">
        <v>6000</v>
      </c>
      <c r="AT214" s="3">
        <v>6100</v>
      </c>
      <c r="AU214" s="3">
        <v>6350</v>
      </c>
      <c r="AV214" s="3">
        <v>7200</v>
      </c>
      <c r="AW214" s="3">
        <v>6800</v>
      </c>
      <c r="AX214" s="3">
        <v>7850</v>
      </c>
      <c r="AY214" s="3">
        <v>8500</v>
      </c>
      <c r="AZ214" s="3">
        <v>8700</v>
      </c>
      <c r="BA214" s="3">
        <v>6900</v>
      </c>
      <c r="BB214" s="3">
        <v>6750</v>
      </c>
      <c r="BC214" s="13">
        <v>0</v>
      </c>
      <c r="BD214" s="20">
        <f t="shared" ref="BD214:BI229" si="56">AW214/AW547</f>
        <v>9.7218131753443373E-3</v>
      </c>
      <c r="BE214" s="20">
        <f t="shared" si="56"/>
        <v>1.1001007608212777E-2</v>
      </c>
      <c r="BF214" s="20">
        <f t="shared" si="56"/>
        <v>1.0698929603560604E-2</v>
      </c>
      <c r="BG214" s="20">
        <f t="shared" si="56"/>
        <v>1.0891009784383043E-2</v>
      </c>
      <c r="BH214" s="20">
        <f t="shared" si="56"/>
        <v>8.4930707620500066E-3</v>
      </c>
      <c r="BI214" s="20">
        <f t="shared" si="56"/>
        <v>8.2828082032932442E-3</v>
      </c>
      <c r="BJ214" s="23">
        <f t="shared" si="50"/>
        <v>9.2222962499087652E-3</v>
      </c>
    </row>
    <row r="215" spans="1:62" s="5" customFormat="1" x14ac:dyDescent="0.25">
      <c r="A215" s="14"/>
      <c r="B215" s="6"/>
      <c r="C215" s="6" t="s">
        <v>7</v>
      </c>
      <c r="D215" s="7">
        <v>0</v>
      </c>
      <c r="E215" s="7">
        <v>0</v>
      </c>
      <c r="F215" s="7">
        <v>0</v>
      </c>
      <c r="G215" s="7">
        <v>0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5</v>
      </c>
      <c r="Q215" s="7">
        <v>142</v>
      </c>
      <c r="R215" s="7">
        <v>0</v>
      </c>
      <c r="S215" s="7">
        <v>0</v>
      </c>
      <c r="T215" s="7">
        <v>69</v>
      </c>
      <c r="U215" s="7">
        <v>14</v>
      </c>
      <c r="V215" s="7">
        <v>46</v>
      </c>
      <c r="W215" s="7">
        <v>70</v>
      </c>
      <c r="X215" s="7">
        <v>34</v>
      </c>
      <c r="Y215" s="7">
        <v>2</v>
      </c>
      <c r="Z215" s="7">
        <v>198</v>
      </c>
      <c r="AA215" s="7">
        <v>51</v>
      </c>
      <c r="AB215" s="7">
        <v>59</v>
      </c>
      <c r="AC215" s="7">
        <v>50</v>
      </c>
      <c r="AD215" s="7">
        <v>61</v>
      </c>
      <c r="AE215" s="7">
        <v>200</v>
      </c>
      <c r="AF215" s="7">
        <v>15</v>
      </c>
      <c r="AG215" s="7">
        <v>0</v>
      </c>
      <c r="AH215" s="7">
        <v>135</v>
      </c>
      <c r="AI215" s="7">
        <v>228</v>
      </c>
      <c r="AJ215" s="7">
        <v>357</v>
      </c>
      <c r="AK215" s="8">
        <v>1082</v>
      </c>
      <c r="AL215" s="8">
        <v>1736</v>
      </c>
      <c r="AM215" s="7">
        <v>842</v>
      </c>
      <c r="AN215" s="7">
        <v>895</v>
      </c>
      <c r="AO215" s="7">
        <v>516</v>
      </c>
      <c r="AP215" s="7">
        <v>455</v>
      </c>
      <c r="AQ215" s="8">
        <v>1229</v>
      </c>
      <c r="AR215" s="8">
        <v>1280</v>
      </c>
      <c r="AS215" s="8">
        <v>1149</v>
      </c>
      <c r="AT215" s="8">
        <v>1633</v>
      </c>
      <c r="AU215" s="8">
        <v>1436</v>
      </c>
      <c r="AV215" s="7">
        <v>541</v>
      </c>
      <c r="AW215" s="8">
        <v>1443</v>
      </c>
      <c r="AX215" s="8">
        <v>1069</v>
      </c>
      <c r="AY215" s="7">
        <v>294</v>
      </c>
      <c r="AZ215" s="7">
        <v>317</v>
      </c>
      <c r="BA215" s="8">
        <v>1321</v>
      </c>
      <c r="BB215" s="8">
        <v>2000</v>
      </c>
      <c r="BC215" s="15">
        <v>0</v>
      </c>
      <c r="BD215" s="21">
        <f t="shared" si="56"/>
        <v>1.7895676761663815E-2</v>
      </c>
      <c r="BE215" s="21">
        <f t="shared" si="56"/>
        <v>1.1802504029854041E-2</v>
      </c>
      <c r="BF215" s="21">
        <f t="shared" si="56"/>
        <v>2.9842565242546972E-3</v>
      </c>
      <c r="BG215" s="21">
        <f t="shared" si="56"/>
        <v>3.8383764999334034E-3</v>
      </c>
      <c r="BH215" s="21">
        <f t="shared" si="56"/>
        <v>1.47035907482024E-2</v>
      </c>
      <c r="BI215" s="21">
        <f t="shared" si="56"/>
        <v>2.1809537310665955E-2</v>
      </c>
      <c r="BJ215" s="23">
        <f t="shared" si="50"/>
        <v>1.3450501519600587E-2</v>
      </c>
    </row>
    <row r="216" spans="1:62" x14ac:dyDescent="0.25">
      <c r="A216" s="12"/>
      <c r="B216" s="2"/>
      <c r="C216" s="2" t="s">
        <v>8</v>
      </c>
      <c r="D216" s="4">
        <v>0</v>
      </c>
      <c r="E216" s="4">
        <v>0</v>
      </c>
      <c r="F216" s="4">
        <v>0</v>
      </c>
      <c r="G216" s="4">
        <v>0</v>
      </c>
      <c r="H216" s="4">
        <v>0</v>
      </c>
      <c r="I216" s="4">
        <v>5</v>
      </c>
      <c r="J216" s="4">
        <v>86</v>
      </c>
      <c r="K216" s="4">
        <v>159</v>
      </c>
      <c r="L216" s="4">
        <v>66</v>
      </c>
      <c r="M216" s="4">
        <v>156</v>
      </c>
      <c r="N216" s="4">
        <v>286</v>
      </c>
      <c r="O216" s="4">
        <v>219</v>
      </c>
      <c r="P216" s="4">
        <v>80</v>
      </c>
      <c r="Q216" s="4">
        <v>181</v>
      </c>
      <c r="R216" s="4">
        <v>197</v>
      </c>
      <c r="S216" s="4">
        <v>51</v>
      </c>
      <c r="T216" s="4">
        <v>4</v>
      </c>
      <c r="U216" s="4">
        <v>10</v>
      </c>
      <c r="V216" s="4">
        <v>21</v>
      </c>
      <c r="W216" s="4">
        <v>7</v>
      </c>
      <c r="X216" s="4">
        <v>15</v>
      </c>
      <c r="Y216" s="4">
        <v>5</v>
      </c>
      <c r="Z216" s="4">
        <v>1</v>
      </c>
      <c r="AA216" s="4">
        <v>18</v>
      </c>
      <c r="AB216" s="4">
        <v>160</v>
      </c>
      <c r="AC216" s="4">
        <v>5</v>
      </c>
      <c r="AD216" s="4">
        <v>4</v>
      </c>
      <c r="AE216" s="4">
        <v>77</v>
      </c>
      <c r="AF216" s="4">
        <v>230</v>
      </c>
      <c r="AG216" s="4">
        <v>125</v>
      </c>
      <c r="AH216" s="4">
        <v>28</v>
      </c>
      <c r="AI216" s="4">
        <v>145</v>
      </c>
      <c r="AJ216" s="4">
        <v>81</v>
      </c>
      <c r="AK216" s="4">
        <v>35</v>
      </c>
      <c r="AL216" s="4">
        <v>60</v>
      </c>
      <c r="AM216" s="4">
        <v>37</v>
      </c>
      <c r="AN216" s="4">
        <v>20</v>
      </c>
      <c r="AO216" s="4">
        <v>559</v>
      </c>
      <c r="AP216" s="4">
        <v>144</v>
      </c>
      <c r="AQ216" s="4">
        <v>29</v>
      </c>
      <c r="AR216" s="4">
        <v>90</v>
      </c>
      <c r="AS216" s="4">
        <v>19</v>
      </c>
      <c r="AT216" s="4">
        <v>19</v>
      </c>
      <c r="AU216" s="4">
        <v>41</v>
      </c>
      <c r="AV216" s="4">
        <v>46</v>
      </c>
      <c r="AW216" s="4">
        <v>42</v>
      </c>
      <c r="AX216" s="4">
        <v>79</v>
      </c>
      <c r="AY216" s="4">
        <v>91</v>
      </c>
      <c r="AZ216" s="4">
        <v>101</v>
      </c>
      <c r="BA216" s="4">
        <v>37</v>
      </c>
      <c r="BB216" s="4">
        <v>25</v>
      </c>
      <c r="BC216" s="13">
        <v>0</v>
      </c>
      <c r="BD216" s="20">
        <f t="shared" si="56"/>
        <v>5.1805802249851982E-4</v>
      </c>
      <c r="BE216" s="20">
        <f t="shared" si="56"/>
        <v>8.3991622101491645E-4</v>
      </c>
      <c r="BF216" s="20">
        <f t="shared" si="56"/>
        <v>9.226214615946143E-4</v>
      </c>
      <c r="BG216" s="20">
        <f t="shared" si="56"/>
        <v>1.1957332449358921E-3</v>
      </c>
      <c r="BH216" s="20">
        <f t="shared" si="56"/>
        <v>3.8151016157470896E-4</v>
      </c>
      <c r="BI216" s="20">
        <f t="shared" si="56"/>
        <v>2.753394935956034E-4</v>
      </c>
      <c r="BJ216" s="23">
        <f t="shared" si="50"/>
        <v>6.1752763336873483E-4</v>
      </c>
    </row>
    <row r="217" spans="1:62" s="5" customFormat="1" x14ac:dyDescent="0.25">
      <c r="A217" s="14"/>
      <c r="B217" s="6"/>
      <c r="C217" s="6" t="s">
        <v>9</v>
      </c>
      <c r="D217" s="8">
        <v>2460</v>
      </c>
      <c r="E217" s="8">
        <v>2283</v>
      </c>
      <c r="F217" s="8">
        <v>3243</v>
      </c>
      <c r="G217" s="8">
        <v>2358</v>
      </c>
      <c r="H217" s="8">
        <v>3769</v>
      </c>
      <c r="I217" s="8">
        <v>2360</v>
      </c>
      <c r="J217" s="8">
        <v>3631</v>
      </c>
      <c r="K217" s="8">
        <v>2210</v>
      </c>
      <c r="L217" s="8">
        <v>3100</v>
      </c>
      <c r="M217" s="8">
        <v>2137</v>
      </c>
      <c r="N217" s="8">
        <v>2539</v>
      </c>
      <c r="O217" s="8">
        <v>2387</v>
      </c>
      <c r="P217" s="8">
        <v>2179</v>
      </c>
      <c r="Q217" s="8">
        <v>3651</v>
      </c>
      <c r="R217" s="8">
        <v>2814</v>
      </c>
      <c r="S217" s="8">
        <v>2852</v>
      </c>
      <c r="T217" s="8">
        <v>2637</v>
      </c>
      <c r="U217" s="8">
        <v>3147</v>
      </c>
      <c r="V217" s="8">
        <v>4054</v>
      </c>
      <c r="W217" s="8">
        <v>3669</v>
      </c>
      <c r="X217" s="8">
        <v>4010</v>
      </c>
      <c r="Y217" s="8">
        <v>4406</v>
      </c>
      <c r="Z217" s="8">
        <v>3432</v>
      </c>
      <c r="AA217" s="8">
        <v>4920</v>
      </c>
      <c r="AB217" s="8">
        <v>5187</v>
      </c>
      <c r="AC217" s="8">
        <v>4575</v>
      </c>
      <c r="AD217" s="8">
        <v>4957</v>
      </c>
      <c r="AE217" s="8">
        <v>4923</v>
      </c>
      <c r="AF217" s="8">
        <v>4910</v>
      </c>
      <c r="AG217" s="8">
        <v>4975</v>
      </c>
      <c r="AH217" s="8">
        <v>5182</v>
      </c>
      <c r="AI217" s="8">
        <v>5420</v>
      </c>
      <c r="AJ217" s="8">
        <v>5900</v>
      </c>
      <c r="AK217" s="8">
        <v>6271</v>
      </c>
      <c r="AL217" s="8">
        <v>7041</v>
      </c>
      <c r="AM217" s="8">
        <v>7305</v>
      </c>
      <c r="AN217" s="8">
        <v>6825</v>
      </c>
      <c r="AO217" s="8">
        <v>5707</v>
      </c>
      <c r="AP217" s="8">
        <v>6711</v>
      </c>
      <c r="AQ217" s="8">
        <v>7300</v>
      </c>
      <c r="AR217" s="8">
        <v>7300</v>
      </c>
      <c r="AS217" s="8">
        <v>7300</v>
      </c>
      <c r="AT217" s="8">
        <v>7500</v>
      </c>
      <c r="AU217" s="8">
        <v>7800</v>
      </c>
      <c r="AV217" s="8">
        <v>7800</v>
      </c>
      <c r="AW217" s="8">
        <v>8300</v>
      </c>
      <c r="AX217" s="8">
        <v>8100</v>
      </c>
      <c r="AY217" s="8">
        <v>8500</v>
      </c>
      <c r="AZ217" s="8">
        <v>8900</v>
      </c>
      <c r="BA217" s="8">
        <v>8800</v>
      </c>
      <c r="BB217" s="8">
        <v>9000</v>
      </c>
      <c r="BC217" s="15">
        <v>0</v>
      </c>
      <c r="BD217" s="21">
        <f t="shared" si="56"/>
        <v>1.175682356124101E-2</v>
      </c>
      <c r="BE217" s="21">
        <f t="shared" si="56"/>
        <v>1.1176853701884334E-2</v>
      </c>
      <c r="BF217" s="21">
        <f t="shared" si="56"/>
        <v>1.1006869581544718E-2</v>
      </c>
      <c r="BG217" s="21">
        <f t="shared" si="56"/>
        <v>1.1408135667087529E-2</v>
      </c>
      <c r="BH217" s="21">
        <f t="shared" si="56"/>
        <v>1.088364028084739E-2</v>
      </c>
      <c r="BI217" s="21">
        <f t="shared" si="56"/>
        <v>1.072420560446985E-2</v>
      </c>
      <c r="BJ217" s="23">
        <f t="shared" si="50"/>
        <v>1.1005327184134923E-2</v>
      </c>
    </row>
    <row r="218" spans="1:62" x14ac:dyDescent="0.25">
      <c r="A218" s="12"/>
      <c r="B218" s="2" t="s">
        <v>10</v>
      </c>
      <c r="C218" s="2" t="s">
        <v>6</v>
      </c>
      <c r="D218" s="4">
        <v>2</v>
      </c>
      <c r="E218" s="4">
        <v>4</v>
      </c>
      <c r="F218" s="4">
        <v>5</v>
      </c>
      <c r="G218" s="4">
        <v>5</v>
      </c>
      <c r="H218" s="4">
        <v>3</v>
      </c>
      <c r="I218" s="4">
        <v>3</v>
      </c>
      <c r="J218" s="4">
        <v>3</v>
      </c>
      <c r="K218" s="4">
        <v>3</v>
      </c>
      <c r="L218" s="4">
        <v>3</v>
      </c>
      <c r="M218" s="4">
        <v>3</v>
      </c>
      <c r="N218" s="4">
        <v>4</v>
      </c>
      <c r="O218" s="4">
        <v>7</v>
      </c>
      <c r="P218" s="4">
        <v>12</v>
      </c>
      <c r="Q218" s="4">
        <v>7</v>
      </c>
      <c r="R218" s="4">
        <v>6</v>
      </c>
      <c r="S218" s="4">
        <v>3</v>
      </c>
      <c r="T218" s="4">
        <v>2</v>
      </c>
      <c r="U218" s="4">
        <v>1</v>
      </c>
      <c r="V218" s="4">
        <v>0</v>
      </c>
      <c r="W218" s="4">
        <v>4</v>
      </c>
      <c r="X218" s="4">
        <v>15</v>
      </c>
      <c r="Y218" s="4">
        <v>23</v>
      </c>
      <c r="Z218" s="4">
        <v>30</v>
      </c>
      <c r="AA218" s="4">
        <v>22</v>
      </c>
      <c r="AB218" s="4">
        <v>24</v>
      </c>
      <c r="AC218" s="4">
        <v>29</v>
      </c>
      <c r="AD218" s="4">
        <v>14</v>
      </c>
      <c r="AE218" s="4">
        <v>14</v>
      </c>
      <c r="AF218" s="4">
        <v>14</v>
      </c>
      <c r="AG218" s="4">
        <v>15</v>
      </c>
      <c r="AH218" s="4">
        <v>15</v>
      </c>
      <c r="AI218" s="4">
        <v>14</v>
      </c>
      <c r="AJ218" s="4">
        <v>14</v>
      </c>
      <c r="AK218" s="4">
        <v>15</v>
      </c>
      <c r="AL218" s="4">
        <v>16</v>
      </c>
      <c r="AM218" s="4">
        <v>17</v>
      </c>
      <c r="AN218" s="4">
        <v>17</v>
      </c>
      <c r="AO218" s="4">
        <v>17</v>
      </c>
      <c r="AP218" s="4">
        <v>14</v>
      </c>
      <c r="AQ218" s="4">
        <v>14</v>
      </c>
      <c r="AR218" s="4">
        <v>32</v>
      </c>
      <c r="AS218" s="4">
        <v>55</v>
      </c>
      <c r="AT218" s="4">
        <v>37</v>
      </c>
      <c r="AU218" s="4">
        <v>32</v>
      </c>
      <c r="AV218" s="4">
        <v>32</v>
      </c>
      <c r="AW218" s="4">
        <v>32</v>
      </c>
      <c r="AX218" s="4">
        <v>32</v>
      </c>
      <c r="AY218" s="4">
        <v>32</v>
      </c>
      <c r="AZ218" s="4">
        <v>30</v>
      </c>
      <c r="BA218" s="4">
        <v>30</v>
      </c>
      <c r="BB218" s="4">
        <v>30</v>
      </c>
      <c r="BC218" s="13">
        <v>0</v>
      </c>
      <c r="BD218" s="20">
        <f t="shared" si="56"/>
        <v>2.7483617187567101E-4</v>
      </c>
      <c r="BE218" s="20">
        <f t="shared" si="56"/>
        <v>2.6269989820378942E-4</v>
      </c>
      <c r="BF218" s="20">
        <f t="shared" si="56"/>
        <v>2.6737297694743613E-4</v>
      </c>
      <c r="BG218" s="20">
        <f t="shared" si="56"/>
        <v>2.8010681406509682E-4</v>
      </c>
      <c r="BH218" s="20">
        <f t="shared" si="56"/>
        <v>2.9602147142406064E-4</v>
      </c>
      <c r="BI218" s="20">
        <f t="shared" si="56"/>
        <v>2.6193324194773561E-4</v>
      </c>
      <c r="BJ218" s="23">
        <f t="shared" si="50"/>
        <v>2.7935384247896434E-4</v>
      </c>
    </row>
    <row r="219" spans="1:62" s="5" customFormat="1" x14ac:dyDescent="0.25">
      <c r="A219" s="14"/>
      <c r="B219" s="6"/>
      <c r="C219" s="6" t="s">
        <v>7</v>
      </c>
      <c r="D219" s="7">
        <v>34</v>
      </c>
      <c r="E219" s="7">
        <v>38</v>
      </c>
      <c r="F219" s="7">
        <v>46</v>
      </c>
      <c r="G219" s="7">
        <v>45</v>
      </c>
      <c r="H219" s="7">
        <v>50</v>
      </c>
      <c r="I219" s="7">
        <v>0</v>
      </c>
      <c r="J219" s="7">
        <v>160</v>
      </c>
      <c r="K219" s="7">
        <v>62</v>
      </c>
      <c r="L219" s="7">
        <v>107</v>
      </c>
      <c r="M219" s="7">
        <v>160</v>
      </c>
      <c r="N219" s="7">
        <v>180</v>
      </c>
      <c r="O219" s="7">
        <v>230</v>
      </c>
      <c r="P219" s="7">
        <v>279</v>
      </c>
      <c r="Q219" s="7">
        <v>250</v>
      </c>
      <c r="R219" s="7">
        <v>157</v>
      </c>
      <c r="S219" s="7">
        <v>351</v>
      </c>
      <c r="T219" s="7">
        <v>287</v>
      </c>
      <c r="U219" s="7">
        <v>394</v>
      </c>
      <c r="V219" s="7">
        <v>404</v>
      </c>
      <c r="W219" s="7">
        <v>474</v>
      </c>
      <c r="X219" s="7">
        <v>490</v>
      </c>
      <c r="Y219" s="7">
        <v>490</v>
      </c>
      <c r="Z219" s="7">
        <v>492</v>
      </c>
      <c r="AA219" s="7">
        <v>603</v>
      </c>
      <c r="AB219" s="7">
        <v>538</v>
      </c>
      <c r="AC219" s="7">
        <v>808</v>
      </c>
      <c r="AD219" s="7">
        <v>919</v>
      </c>
      <c r="AE219" s="7">
        <v>882</v>
      </c>
      <c r="AF219" s="8">
        <v>1112</v>
      </c>
      <c r="AG219" s="8">
        <v>1292</v>
      </c>
      <c r="AH219" s="8">
        <v>1490</v>
      </c>
      <c r="AI219" s="8">
        <v>1873</v>
      </c>
      <c r="AJ219" s="8">
        <v>1989</v>
      </c>
      <c r="AK219" s="8">
        <v>2039</v>
      </c>
      <c r="AL219" s="8">
        <v>2075</v>
      </c>
      <c r="AM219" s="8">
        <v>2139</v>
      </c>
      <c r="AN219" s="8">
        <v>2147</v>
      </c>
      <c r="AO219" s="8">
        <v>1910</v>
      </c>
      <c r="AP219" s="8">
        <v>2323</v>
      </c>
      <c r="AQ219" s="8">
        <v>2076</v>
      </c>
      <c r="AR219" s="8">
        <v>2650</v>
      </c>
      <c r="AS219" s="8">
        <v>2356</v>
      </c>
      <c r="AT219" s="8">
        <v>2228</v>
      </c>
      <c r="AU219" s="8">
        <v>2150</v>
      </c>
      <c r="AV219" s="8">
        <v>2200</v>
      </c>
      <c r="AW219" s="8">
        <v>2200</v>
      </c>
      <c r="AX219" s="8">
        <v>2200</v>
      </c>
      <c r="AY219" s="8">
        <v>2300</v>
      </c>
      <c r="AZ219" s="8">
        <v>2000</v>
      </c>
      <c r="BA219" s="8">
        <v>2100</v>
      </c>
      <c r="BB219" s="8">
        <v>1925</v>
      </c>
      <c r="BC219" s="15">
        <v>0</v>
      </c>
      <c r="BD219" s="21">
        <f t="shared" si="56"/>
        <v>4.9138951553460944E-2</v>
      </c>
      <c r="BE219" s="21">
        <f t="shared" si="56"/>
        <v>5.7850587709379682E-2</v>
      </c>
      <c r="BF219" s="21">
        <f t="shared" si="56"/>
        <v>5.9036422906132084E-2</v>
      </c>
      <c r="BG219" s="21">
        <f t="shared" si="56"/>
        <v>6.6350396443618745E-2</v>
      </c>
      <c r="BH219" s="21">
        <f t="shared" si="56"/>
        <v>5.806879769936954E-2</v>
      </c>
      <c r="BI219" s="21">
        <f t="shared" si="56"/>
        <v>5.048783046579941E-2</v>
      </c>
      <c r="BJ219" s="23">
        <f t="shared" si="50"/>
        <v>5.830234153626257E-2</v>
      </c>
    </row>
    <row r="220" spans="1:62" x14ac:dyDescent="0.25">
      <c r="A220" s="12"/>
      <c r="B220" s="2"/>
      <c r="C220" s="2" t="s">
        <v>8</v>
      </c>
      <c r="D220" s="4">
        <v>0</v>
      </c>
      <c r="E220" s="4">
        <v>0</v>
      </c>
      <c r="F220" s="4">
        <v>0</v>
      </c>
      <c r="G220" s="4">
        <v>0</v>
      </c>
      <c r="H220" s="4">
        <v>0</v>
      </c>
      <c r="I220" s="4">
        <v>0</v>
      </c>
      <c r="J220" s="4">
        <v>0</v>
      </c>
      <c r="K220" s="4">
        <v>0</v>
      </c>
      <c r="L220" s="4">
        <v>0</v>
      </c>
      <c r="M220" s="4">
        <v>0</v>
      </c>
      <c r="N220" s="4">
        <v>0</v>
      </c>
      <c r="O220" s="4">
        <v>0</v>
      </c>
      <c r="P220" s="4">
        <v>0</v>
      </c>
      <c r="Q220" s="4">
        <v>0</v>
      </c>
      <c r="R220" s="4">
        <v>0</v>
      </c>
      <c r="S220" s="4">
        <v>0</v>
      </c>
      <c r="T220" s="4">
        <v>0</v>
      </c>
      <c r="U220" s="4">
        <v>0</v>
      </c>
      <c r="V220" s="4">
        <v>0</v>
      </c>
      <c r="W220" s="4">
        <v>0</v>
      </c>
      <c r="X220" s="4">
        <v>0</v>
      </c>
      <c r="Y220" s="4">
        <v>0</v>
      </c>
      <c r="Z220" s="4">
        <v>0</v>
      </c>
      <c r="AA220" s="4">
        <v>0</v>
      </c>
      <c r="AB220" s="4">
        <v>0</v>
      </c>
      <c r="AC220" s="4">
        <v>0</v>
      </c>
      <c r="AD220" s="4">
        <v>0</v>
      </c>
      <c r="AE220" s="4">
        <v>0</v>
      </c>
      <c r="AF220" s="4">
        <v>0</v>
      </c>
      <c r="AG220" s="4">
        <v>0</v>
      </c>
      <c r="AH220" s="4">
        <v>0</v>
      </c>
      <c r="AI220" s="4">
        <v>0</v>
      </c>
      <c r="AJ220" s="4">
        <v>0</v>
      </c>
      <c r="AK220" s="4">
        <v>0</v>
      </c>
      <c r="AL220" s="4">
        <v>0</v>
      </c>
      <c r="AM220" s="4">
        <v>0</v>
      </c>
      <c r="AN220" s="4">
        <v>0</v>
      </c>
      <c r="AO220" s="4">
        <v>2</v>
      </c>
      <c r="AP220" s="4">
        <v>5</v>
      </c>
      <c r="AQ220" s="4">
        <v>17</v>
      </c>
      <c r="AR220" s="4">
        <v>15</v>
      </c>
      <c r="AS220" s="4">
        <v>15</v>
      </c>
      <c r="AT220" s="4">
        <v>15</v>
      </c>
      <c r="AU220" s="4">
        <v>20</v>
      </c>
      <c r="AV220" s="4">
        <v>20</v>
      </c>
      <c r="AW220" s="4">
        <v>20</v>
      </c>
      <c r="AX220" s="4">
        <v>20</v>
      </c>
      <c r="AY220" s="4">
        <v>20</v>
      </c>
      <c r="AZ220" s="4">
        <v>20</v>
      </c>
      <c r="BA220" s="4">
        <v>15</v>
      </c>
      <c r="BB220" s="4">
        <v>20</v>
      </c>
      <c r="BC220" s="13">
        <v>0</v>
      </c>
      <c r="BD220" s="20">
        <f t="shared" si="56"/>
        <v>4.4589111339011014E-4</v>
      </c>
      <c r="BE220" s="20">
        <f t="shared" si="56"/>
        <v>5.3367488525989971E-4</v>
      </c>
      <c r="BF220" s="20">
        <f t="shared" si="56"/>
        <v>5.1275477502884246E-4</v>
      </c>
      <c r="BG220" s="20">
        <f t="shared" si="56"/>
        <v>6.6522534508564775E-4</v>
      </c>
      <c r="BH220" s="20">
        <f t="shared" si="56"/>
        <v>4.2158516020236085E-4</v>
      </c>
      <c r="BI220" s="20">
        <f t="shared" si="56"/>
        <v>5.2452137424600052E-4</v>
      </c>
      <c r="BJ220" s="23">
        <f t="shared" si="50"/>
        <v>5.3711062651133634E-4</v>
      </c>
    </row>
    <row r="221" spans="1:62" s="5" customFormat="1" x14ac:dyDescent="0.25">
      <c r="A221" s="14"/>
      <c r="B221" s="6"/>
      <c r="C221" s="6" t="s">
        <v>9</v>
      </c>
      <c r="D221" s="7">
        <v>45</v>
      </c>
      <c r="E221" s="7">
        <v>50</v>
      </c>
      <c r="F221" s="7">
        <v>51</v>
      </c>
      <c r="G221" s="7">
        <v>50</v>
      </c>
      <c r="H221" s="7">
        <v>40</v>
      </c>
      <c r="I221" s="7">
        <v>20</v>
      </c>
      <c r="J221" s="7">
        <v>80</v>
      </c>
      <c r="K221" s="7">
        <v>100</v>
      </c>
      <c r="L221" s="7">
        <v>130</v>
      </c>
      <c r="M221" s="7">
        <v>150</v>
      </c>
      <c r="N221" s="7">
        <v>200</v>
      </c>
      <c r="O221" s="7">
        <v>200</v>
      </c>
      <c r="P221" s="7">
        <v>220</v>
      </c>
      <c r="Q221" s="7">
        <v>245</v>
      </c>
      <c r="R221" s="7">
        <v>275</v>
      </c>
      <c r="S221" s="7">
        <v>325</v>
      </c>
      <c r="T221" s="7">
        <v>300</v>
      </c>
      <c r="U221" s="7">
        <v>370</v>
      </c>
      <c r="V221" s="7">
        <v>410</v>
      </c>
      <c r="W221" s="7">
        <v>495</v>
      </c>
      <c r="X221" s="7">
        <v>476</v>
      </c>
      <c r="Y221" s="7">
        <v>510</v>
      </c>
      <c r="Z221" s="7">
        <v>529</v>
      </c>
      <c r="AA221" s="7">
        <v>613</v>
      </c>
      <c r="AB221" s="7">
        <v>625</v>
      </c>
      <c r="AC221" s="7">
        <v>750</v>
      </c>
      <c r="AD221" s="7">
        <v>825</v>
      </c>
      <c r="AE221" s="7">
        <v>910</v>
      </c>
      <c r="AF221" s="8">
        <v>1148</v>
      </c>
      <c r="AG221" s="8">
        <v>1332</v>
      </c>
      <c r="AH221" s="8">
        <v>1541</v>
      </c>
      <c r="AI221" s="8">
        <v>1793</v>
      </c>
      <c r="AJ221" s="8">
        <v>1977</v>
      </c>
      <c r="AK221" s="8">
        <v>2097</v>
      </c>
      <c r="AL221" s="8">
        <v>2143</v>
      </c>
      <c r="AM221" s="8">
        <v>2184</v>
      </c>
      <c r="AN221" s="8">
        <v>2186</v>
      </c>
      <c r="AO221" s="8">
        <v>1900</v>
      </c>
      <c r="AP221" s="8">
        <v>2241</v>
      </c>
      <c r="AQ221" s="8">
        <v>2050</v>
      </c>
      <c r="AR221" s="8">
        <v>2500</v>
      </c>
      <c r="AS221" s="8">
        <v>2350</v>
      </c>
      <c r="AT221" s="8">
        <v>2300</v>
      </c>
      <c r="AU221" s="8">
        <v>2200</v>
      </c>
      <c r="AV221" s="8">
        <v>2200</v>
      </c>
      <c r="AW221" s="8">
        <v>2225</v>
      </c>
      <c r="AX221" s="8">
        <v>2225</v>
      </c>
      <c r="AY221" s="8">
        <v>2275</v>
      </c>
      <c r="AZ221" s="8">
        <v>2050</v>
      </c>
      <c r="BA221" s="8">
        <v>2100</v>
      </c>
      <c r="BB221" s="8">
        <v>1950</v>
      </c>
      <c r="BC221" s="15">
        <v>0</v>
      </c>
      <c r="BD221" s="21">
        <f t="shared" si="56"/>
        <v>1.9341435004085607E-2</v>
      </c>
      <c r="BE221" s="21">
        <f t="shared" si="56"/>
        <v>1.823979800960766E-2</v>
      </c>
      <c r="BF221" s="21">
        <f t="shared" si="56"/>
        <v>1.8774499690530223E-2</v>
      </c>
      <c r="BG221" s="21">
        <f t="shared" si="56"/>
        <v>1.9089122924639868E-2</v>
      </c>
      <c r="BH221" s="21">
        <f t="shared" si="56"/>
        <v>1.7728849904179788E-2</v>
      </c>
      <c r="BI221" s="21">
        <f t="shared" si="56"/>
        <v>1.6670513708291656E-2</v>
      </c>
      <c r="BJ221" s="23">
        <f t="shared" si="50"/>
        <v>1.7829495512370439E-2</v>
      </c>
    </row>
    <row r="222" spans="1:62" x14ac:dyDescent="0.25">
      <c r="A222" s="12"/>
      <c r="B222" s="2" t="s">
        <v>11</v>
      </c>
      <c r="C222" s="2" t="s">
        <v>6</v>
      </c>
      <c r="D222" s="4">
        <v>0</v>
      </c>
      <c r="E222" s="4">
        <v>0</v>
      </c>
      <c r="F222" s="4">
        <v>0</v>
      </c>
      <c r="G222" s="4">
        <v>0</v>
      </c>
      <c r="H222" s="4">
        <v>410</v>
      </c>
      <c r="I222" s="4">
        <v>417</v>
      </c>
      <c r="J222" s="4">
        <v>416</v>
      </c>
      <c r="K222" s="4">
        <v>420</v>
      </c>
      <c r="L222" s="4">
        <v>389</v>
      </c>
      <c r="M222" s="4">
        <v>498</v>
      </c>
      <c r="N222" s="4">
        <v>516</v>
      </c>
      <c r="O222" s="4">
        <v>518</v>
      </c>
      <c r="P222" s="4">
        <v>541</v>
      </c>
      <c r="Q222" s="4">
        <v>589</v>
      </c>
      <c r="R222" s="4">
        <v>590</v>
      </c>
      <c r="S222" s="4">
        <v>522</v>
      </c>
      <c r="T222" s="4">
        <v>523</v>
      </c>
      <c r="U222" s="4">
        <v>617</v>
      </c>
      <c r="V222" s="4">
        <v>680</v>
      </c>
      <c r="W222" s="4">
        <v>653</v>
      </c>
      <c r="X222" s="4">
        <v>704</v>
      </c>
      <c r="Y222" s="4">
        <v>521</v>
      </c>
      <c r="Z222" s="4">
        <v>536</v>
      </c>
      <c r="AA222" s="4">
        <v>769</v>
      </c>
      <c r="AB222" s="4">
        <v>870</v>
      </c>
      <c r="AC222" s="4">
        <v>950</v>
      </c>
      <c r="AD222" s="4">
        <v>900</v>
      </c>
      <c r="AE222" s="3">
        <v>1100</v>
      </c>
      <c r="AF222" s="3">
        <v>1285</v>
      </c>
      <c r="AG222" s="3">
        <v>1315</v>
      </c>
      <c r="AH222" s="3">
        <v>1400</v>
      </c>
      <c r="AI222" s="3">
        <v>1750</v>
      </c>
      <c r="AJ222" s="3">
        <v>1700</v>
      </c>
      <c r="AK222" s="3">
        <v>1565</v>
      </c>
      <c r="AL222" s="3">
        <v>1680</v>
      </c>
      <c r="AM222" s="3">
        <v>1517</v>
      </c>
      <c r="AN222" s="3">
        <v>1460</v>
      </c>
      <c r="AO222" s="3">
        <v>1306</v>
      </c>
      <c r="AP222" s="3">
        <v>1300</v>
      </c>
      <c r="AQ222" s="3">
        <v>1300</v>
      </c>
      <c r="AR222" s="3">
        <v>1020</v>
      </c>
      <c r="AS222" s="4">
        <v>870</v>
      </c>
      <c r="AT222" s="4">
        <v>780</v>
      </c>
      <c r="AU222" s="4">
        <v>820</v>
      </c>
      <c r="AV222" s="4">
        <v>825</v>
      </c>
      <c r="AW222" s="4">
        <v>832</v>
      </c>
      <c r="AX222" s="4">
        <v>815</v>
      </c>
      <c r="AY222" s="4">
        <v>780</v>
      </c>
      <c r="AZ222" s="4">
        <v>800</v>
      </c>
      <c r="BA222" s="4">
        <v>700</v>
      </c>
      <c r="BB222" s="4">
        <v>720</v>
      </c>
      <c r="BC222" s="13">
        <v>0</v>
      </c>
      <c r="BD222" s="20">
        <f t="shared" si="56"/>
        <v>3.7704212267464254E-3</v>
      </c>
      <c r="BE222" s="20">
        <f t="shared" si="56"/>
        <v>3.4499837025309759E-3</v>
      </c>
      <c r="BF222" s="20">
        <f t="shared" si="56"/>
        <v>3.5390199637023593E-3</v>
      </c>
      <c r="BG222" s="20">
        <f t="shared" si="56"/>
        <v>3.7744394957348834E-3</v>
      </c>
      <c r="BH222" s="20">
        <f t="shared" si="56"/>
        <v>2.6900108369008E-3</v>
      </c>
      <c r="BI222" s="20">
        <f t="shared" si="56"/>
        <v>2.7589166653893904E-3</v>
      </c>
      <c r="BJ222" s="23">
        <f t="shared" si="50"/>
        <v>3.0744556660083581E-3</v>
      </c>
    </row>
    <row r="223" spans="1:62" s="5" customFormat="1" x14ac:dyDescent="0.25">
      <c r="A223" s="14"/>
      <c r="B223" s="6"/>
      <c r="C223" s="6" t="s">
        <v>7</v>
      </c>
      <c r="D223" s="7">
        <v>0</v>
      </c>
      <c r="E223" s="7">
        <v>0</v>
      </c>
      <c r="F223" s="7">
        <v>0</v>
      </c>
      <c r="G223" s="7">
        <v>0</v>
      </c>
      <c r="H223" s="7">
        <v>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  <c r="Q223" s="7">
        <v>0</v>
      </c>
      <c r="R223" s="7">
        <v>18</v>
      </c>
      <c r="S223" s="7">
        <v>172</v>
      </c>
      <c r="T223" s="7">
        <v>89</v>
      </c>
      <c r="U223" s="7">
        <v>130</v>
      </c>
      <c r="V223" s="7">
        <v>177</v>
      </c>
      <c r="W223" s="7">
        <v>101</v>
      </c>
      <c r="X223" s="7">
        <v>361</v>
      </c>
      <c r="Y223" s="7">
        <v>361</v>
      </c>
      <c r="Z223" s="7">
        <v>485</v>
      </c>
      <c r="AA223" s="7">
        <v>323</v>
      </c>
      <c r="AB223" s="7">
        <v>315</v>
      </c>
      <c r="AC223" s="7">
        <v>375</v>
      </c>
      <c r="AD223" s="7">
        <v>324</v>
      </c>
      <c r="AE223" s="7">
        <v>628</v>
      </c>
      <c r="AF223" s="7">
        <v>369</v>
      </c>
      <c r="AG223" s="7">
        <v>525</v>
      </c>
      <c r="AH223" s="7">
        <v>524</v>
      </c>
      <c r="AI223" s="7">
        <v>492</v>
      </c>
      <c r="AJ223" s="7">
        <v>527</v>
      </c>
      <c r="AK223" s="7">
        <v>709</v>
      </c>
      <c r="AL223" s="7">
        <v>619</v>
      </c>
      <c r="AM223" s="7">
        <v>718</v>
      </c>
      <c r="AN223" s="7">
        <v>684</v>
      </c>
      <c r="AO223" s="7">
        <v>826</v>
      </c>
      <c r="AP223" s="8">
        <v>1128</v>
      </c>
      <c r="AQ223" s="8">
        <v>1153</v>
      </c>
      <c r="AR223" s="8">
        <v>1127</v>
      </c>
      <c r="AS223" s="8">
        <v>1414</v>
      </c>
      <c r="AT223" s="8">
        <v>1238</v>
      </c>
      <c r="AU223" s="8">
        <v>1059</v>
      </c>
      <c r="AV223" s="8">
        <v>1112</v>
      </c>
      <c r="AW223" s="8">
        <v>1187</v>
      </c>
      <c r="AX223" s="8">
        <v>1309</v>
      </c>
      <c r="AY223" s="8">
        <v>1147</v>
      </c>
      <c r="AZ223" s="8">
        <v>1393</v>
      </c>
      <c r="BA223" s="8">
        <v>1620</v>
      </c>
      <c r="BB223" s="8">
        <v>1635</v>
      </c>
      <c r="BC223" s="15">
        <v>0</v>
      </c>
      <c r="BD223" s="21">
        <f t="shared" si="56"/>
        <v>1.8509566654711596E-2</v>
      </c>
      <c r="BE223" s="21">
        <f t="shared" si="56"/>
        <v>1.895370893242402E-2</v>
      </c>
      <c r="BF223" s="21">
        <f t="shared" si="56"/>
        <v>1.4684231414269437E-2</v>
      </c>
      <c r="BG223" s="21">
        <f t="shared" si="56"/>
        <v>1.8002998345740283E-2</v>
      </c>
      <c r="BH223" s="21">
        <f t="shared" si="56"/>
        <v>1.8681888946549041E-2</v>
      </c>
      <c r="BI223" s="21">
        <f t="shared" si="56"/>
        <v>1.7143755898081158E-2</v>
      </c>
      <c r="BJ223" s="23">
        <f t="shared" si="50"/>
        <v>1.7942881063456827E-2</v>
      </c>
    </row>
    <row r="224" spans="1:62" x14ac:dyDescent="0.25">
      <c r="A224" s="12"/>
      <c r="B224" s="2"/>
      <c r="C224" s="2" t="s">
        <v>8</v>
      </c>
      <c r="D224" s="4">
        <v>0</v>
      </c>
      <c r="E224" s="4">
        <v>0</v>
      </c>
      <c r="F224" s="4">
        <v>0</v>
      </c>
      <c r="G224" s="4">
        <v>0</v>
      </c>
      <c r="H224" s="4">
        <v>0</v>
      </c>
      <c r="I224" s="4">
        <v>0</v>
      </c>
      <c r="J224" s="4">
        <v>7</v>
      </c>
      <c r="K224" s="4">
        <v>8</v>
      </c>
      <c r="L224" s="4">
        <v>1</v>
      </c>
      <c r="M224" s="4">
        <v>3</v>
      </c>
      <c r="N224" s="4">
        <v>1</v>
      </c>
      <c r="O224" s="4">
        <v>3</v>
      </c>
      <c r="P224" s="4">
        <v>34</v>
      </c>
      <c r="Q224" s="4">
        <v>4</v>
      </c>
      <c r="R224" s="4">
        <v>0</v>
      </c>
      <c r="S224" s="4">
        <v>1</v>
      </c>
      <c r="T224" s="4">
        <v>0</v>
      </c>
      <c r="U224" s="4">
        <v>0</v>
      </c>
      <c r="V224" s="4">
        <v>0</v>
      </c>
      <c r="W224" s="4">
        <v>0</v>
      </c>
      <c r="X224" s="4">
        <v>0</v>
      </c>
      <c r="Y224" s="4">
        <v>0</v>
      </c>
      <c r="Z224" s="4">
        <v>0</v>
      </c>
      <c r="AA224" s="4">
        <v>0</v>
      </c>
      <c r="AB224" s="4">
        <v>0</v>
      </c>
      <c r="AC224" s="4">
        <v>0</v>
      </c>
      <c r="AD224" s="4">
        <v>0</v>
      </c>
      <c r="AE224" s="4">
        <v>0</v>
      </c>
      <c r="AF224" s="4">
        <v>0</v>
      </c>
      <c r="AG224" s="4">
        <v>0</v>
      </c>
      <c r="AH224" s="4">
        <v>0</v>
      </c>
      <c r="AI224" s="4">
        <v>0</v>
      </c>
      <c r="AJ224" s="4">
        <v>0</v>
      </c>
      <c r="AK224" s="4">
        <v>0</v>
      </c>
      <c r="AL224" s="4">
        <v>0</v>
      </c>
      <c r="AM224" s="4">
        <v>0</v>
      </c>
      <c r="AN224" s="4">
        <v>0</v>
      </c>
      <c r="AO224" s="4">
        <v>0</v>
      </c>
      <c r="AP224" s="4">
        <v>0</v>
      </c>
      <c r="AQ224" s="4">
        <v>0</v>
      </c>
      <c r="AR224" s="4">
        <v>0</v>
      </c>
      <c r="AS224" s="4">
        <v>0</v>
      </c>
      <c r="AT224" s="4">
        <v>0</v>
      </c>
      <c r="AU224" s="4">
        <v>1</v>
      </c>
      <c r="AV224" s="4">
        <v>1</v>
      </c>
      <c r="AW224" s="4">
        <v>1</v>
      </c>
      <c r="AX224" s="4">
        <v>2</v>
      </c>
      <c r="AY224" s="4">
        <v>1</v>
      </c>
      <c r="AZ224" s="4">
        <v>0</v>
      </c>
      <c r="BA224" s="4">
        <v>0</v>
      </c>
      <c r="BB224" s="4">
        <v>0</v>
      </c>
      <c r="BC224" s="13">
        <v>0</v>
      </c>
      <c r="BD224" s="20">
        <f t="shared" si="56"/>
        <v>1.5764913608273425E-5</v>
      </c>
      <c r="BE224" s="20">
        <f t="shared" si="56"/>
        <v>2.8224270049815835E-5</v>
      </c>
      <c r="BF224" s="20">
        <f t="shared" si="56"/>
        <v>1.2694382735639479E-5</v>
      </c>
      <c r="BG224" s="20">
        <f t="shared" si="56"/>
        <v>0</v>
      </c>
      <c r="BH224" s="20">
        <f t="shared" si="56"/>
        <v>0</v>
      </c>
      <c r="BI224" s="20">
        <f t="shared" si="56"/>
        <v>0</v>
      </c>
      <c r="BJ224" s="23">
        <f t="shared" si="50"/>
        <v>0</v>
      </c>
    </row>
    <row r="225" spans="1:62" s="5" customFormat="1" x14ac:dyDescent="0.25">
      <c r="A225" s="14"/>
      <c r="B225" s="6"/>
      <c r="C225" s="6" t="s">
        <v>9</v>
      </c>
      <c r="D225" s="7">
        <v>0</v>
      </c>
      <c r="E225" s="7">
        <v>0</v>
      </c>
      <c r="F225" s="7">
        <v>0</v>
      </c>
      <c r="G225" s="7">
        <v>0</v>
      </c>
      <c r="H225" s="7">
        <v>410</v>
      </c>
      <c r="I225" s="7">
        <v>417</v>
      </c>
      <c r="J225" s="7">
        <v>409</v>
      </c>
      <c r="K225" s="7">
        <v>412</v>
      </c>
      <c r="L225" s="7">
        <v>388</v>
      </c>
      <c r="M225" s="7">
        <v>495</v>
      </c>
      <c r="N225" s="7">
        <v>515</v>
      </c>
      <c r="O225" s="7">
        <v>515</v>
      </c>
      <c r="P225" s="7">
        <v>507</v>
      </c>
      <c r="Q225" s="7">
        <v>585</v>
      </c>
      <c r="R225" s="7">
        <v>608</v>
      </c>
      <c r="S225" s="7">
        <v>693</v>
      </c>
      <c r="T225" s="7">
        <v>612</v>
      </c>
      <c r="U225" s="7">
        <v>747</v>
      </c>
      <c r="V225" s="7">
        <v>857</v>
      </c>
      <c r="W225" s="7">
        <v>754</v>
      </c>
      <c r="X225" s="8">
        <v>1065</v>
      </c>
      <c r="Y225" s="7">
        <v>851</v>
      </c>
      <c r="Z225" s="8">
        <v>1001</v>
      </c>
      <c r="AA225" s="8">
        <v>1118</v>
      </c>
      <c r="AB225" s="8">
        <v>1173</v>
      </c>
      <c r="AC225" s="8">
        <v>1267</v>
      </c>
      <c r="AD225" s="8">
        <v>1279</v>
      </c>
      <c r="AE225" s="8">
        <v>1595</v>
      </c>
      <c r="AF225" s="8">
        <v>1770</v>
      </c>
      <c r="AG225" s="8">
        <v>1765</v>
      </c>
      <c r="AH225" s="8">
        <v>1930</v>
      </c>
      <c r="AI225" s="8">
        <v>2215</v>
      </c>
      <c r="AJ225" s="8">
        <v>2300</v>
      </c>
      <c r="AK225" s="8">
        <v>2250</v>
      </c>
      <c r="AL225" s="8">
        <v>2300</v>
      </c>
      <c r="AM225" s="8">
        <v>2220</v>
      </c>
      <c r="AN225" s="8">
        <v>2182</v>
      </c>
      <c r="AO225" s="8">
        <v>2182</v>
      </c>
      <c r="AP225" s="8">
        <v>2435</v>
      </c>
      <c r="AQ225" s="8">
        <v>2360</v>
      </c>
      <c r="AR225" s="8">
        <v>2153</v>
      </c>
      <c r="AS225" s="8">
        <v>2281</v>
      </c>
      <c r="AT225" s="8">
        <v>2031</v>
      </c>
      <c r="AU225" s="8">
        <v>1873</v>
      </c>
      <c r="AV225" s="8">
        <v>1939</v>
      </c>
      <c r="AW225" s="8">
        <v>2029</v>
      </c>
      <c r="AX225" s="8">
        <v>2074</v>
      </c>
      <c r="AY225" s="8">
        <v>2042</v>
      </c>
      <c r="AZ225" s="8">
        <v>2116</v>
      </c>
      <c r="BA225" s="8">
        <v>2350</v>
      </c>
      <c r="BB225" s="8">
        <v>2375</v>
      </c>
      <c r="BC225" s="15">
        <v>0</v>
      </c>
      <c r="BD225" s="21">
        <f t="shared" si="56"/>
        <v>9.3876078024947261E-3</v>
      </c>
      <c r="BE225" s="21">
        <f t="shared" si="56"/>
        <v>9.1942405220413522E-3</v>
      </c>
      <c r="BF225" s="21">
        <f t="shared" si="56"/>
        <v>8.8571577285424287E-3</v>
      </c>
      <c r="BG225" s="21">
        <f t="shared" si="56"/>
        <v>9.5600825889932545E-3</v>
      </c>
      <c r="BH225" s="21">
        <f t="shared" si="56"/>
        <v>9.8754433443714179E-3</v>
      </c>
      <c r="BI225" s="21">
        <f t="shared" si="56"/>
        <v>9.2856137497458677E-3</v>
      </c>
      <c r="BJ225" s="23">
        <f t="shared" si="50"/>
        <v>9.5737132277035134E-3</v>
      </c>
    </row>
    <row r="226" spans="1:62" x14ac:dyDescent="0.25">
      <c r="A226" s="12"/>
      <c r="B226" s="2" t="s">
        <v>12</v>
      </c>
      <c r="C226" s="2" t="s">
        <v>6</v>
      </c>
      <c r="D226" s="3">
        <v>10168</v>
      </c>
      <c r="E226" s="3">
        <v>9585</v>
      </c>
      <c r="F226" s="3">
        <v>10284</v>
      </c>
      <c r="G226" s="3">
        <v>9158</v>
      </c>
      <c r="H226" s="3">
        <v>9611</v>
      </c>
      <c r="I226" s="3">
        <v>10243</v>
      </c>
      <c r="J226" s="3">
        <v>10752</v>
      </c>
      <c r="K226" s="3">
        <v>10402</v>
      </c>
      <c r="L226" s="3">
        <v>11666</v>
      </c>
      <c r="M226" s="3">
        <v>12249</v>
      </c>
      <c r="N226" s="3">
        <v>13140</v>
      </c>
      <c r="O226" s="3">
        <v>13724</v>
      </c>
      <c r="P226" s="3">
        <v>13183</v>
      </c>
      <c r="Q226" s="3">
        <v>14607</v>
      </c>
      <c r="R226" s="3">
        <v>15276</v>
      </c>
      <c r="S226" s="3">
        <v>15185</v>
      </c>
      <c r="T226" s="3">
        <v>15845</v>
      </c>
      <c r="U226" s="3">
        <v>15876</v>
      </c>
      <c r="V226" s="3">
        <v>17525</v>
      </c>
      <c r="W226" s="3">
        <v>17872</v>
      </c>
      <c r="X226" s="3">
        <v>22286</v>
      </c>
      <c r="Y226" s="3">
        <v>22837</v>
      </c>
      <c r="Z226" s="3">
        <v>24006</v>
      </c>
      <c r="AA226" s="3">
        <v>25933</v>
      </c>
      <c r="AB226" s="3">
        <v>26542</v>
      </c>
      <c r="AC226" s="3">
        <v>27014</v>
      </c>
      <c r="AD226" s="3">
        <v>26051</v>
      </c>
      <c r="AE226" s="3">
        <v>27089</v>
      </c>
      <c r="AF226" s="3">
        <v>29072</v>
      </c>
      <c r="AG226" s="3">
        <v>29366</v>
      </c>
      <c r="AH226" s="3">
        <v>29042</v>
      </c>
      <c r="AI226" s="3">
        <v>31350</v>
      </c>
      <c r="AJ226" s="3">
        <v>31318</v>
      </c>
      <c r="AK226" s="3">
        <v>30315</v>
      </c>
      <c r="AL226" s="3">
        <v>32333</v>
      </c>
      <c r="AM226" s="3">
        <v>33215</v>
      </c>
      <c r="AN226" s="3">
        <v>32084</v>
      </c>
      <c r="AO226" s="3">
        <v>31118</v>
      </c>
      <c r="AP226" s="3">
        <v>32147</v>
      </c>
      <c r="AQ226" s="3">
        <v>32800</v>
      </c>
      <c r="AR226" s="3">
        <v>32960</v>
      </c>
      <c r="AS226" s="3">
        <v>32960</v>
      </c>
      <c r="AT226" s="3">
        <v>33411</v>
      </c>
      <c r="AU226" s="3">
        <v>35024</v>
      </c>
      <c r="AV226" s="3">
        <v>34830</v>
      </c>
      <c r="AW226" s="3">
        <v>34959</v>
      </c>
      <c r="AX226" s="3">
        <v>35300</v>
      </c>
      <c r="AY226" s="3">
        <v>37000</v>
      </c>
      <c r="AZ226" s="3">
        <v>38310</v>
      </c>
      <c r="BA226" s="3">
        <v>36370</v>
      </c>
      <c r="BB226" s="3">
        <v>36900</v>
      </c>
      <c r="BC226" s="13">
        <v>0</v>
      </c>
      <c r="BD226" s="20">
        <f t="shared" si="56"/>
        <v>8.3513296576239113E-2</v>
      </c>
      <c r="BE226" s="20">
        <f t="shared" si="56"/>
        <v>8.3990025887010808E-2</v>
      </c>
      <c r="BF226" s="20">
        <f t="shared" si="56"/>
        <v>8.5331512927724215E-2</v>
      </c>
      <c r="BG226" s="20">
        <f t="shared" si="56"/>
        <v>8.5499842658864331E-2</v>
      </c>
      <c r="BH226" s="20">
        <f t="shared" si="56"/>
        <v>8.2592828934968082E-2</v>
      </c>
      <c r="BI226" s="20">
        <f t="shared" si="56"/>
        <v>8.1876094177478084E-2</v>
      </c>
      <c r="BJ226" s="23">
        <f t="shared" si="50"/>
        <v>8.3322921923770166E-2</v>
      </c>
    </row>
    <row r="227" spans="1:62" s="5" customFormat="1" x14ac:dyDescent="0.25">
      <c r="A227" s="14"/>
      <c r="B227" s="6"/>
      <c r="C227" s="6" t="s">
        <v>7</v>
      </c>
      <c r="D227" s="8">
        <v>1064</v>
      </c>
      <c r="E227" s="8">
        <v>1025</v>
      </c>
      <c r="F227" s="8">
        <v>1043</v>
      </c>
      <c r="G227" s="8">
        <v>1010</v>
      </c>
      <c r="H227" s="7">
        <v>203</v>
      </c>
      <c r="I227" s="7">
        <v>308</v>
      </c>
      <c r="J227" s="7">
        <v>354</v>
      </c>
      <c r="K227" s="7">
        <v>628</v>
      </c>
      <c r="L227" s="7">
        <v>604</v>
      </c>
      <c r="M227" s="7">
        <v>956</v>
      </c>
      <c r="N227" s="7">
        <v>516</v>
      </c>
      <c r="O227" s="7">
        <v>762</v>
      </c>
      <c r="P227" s="8">
        <v>1638</v>
      </c>
      <c r="Q227" s="8">
        <v>1056</v>
      </c>
      <c r="R227" s="7">
        <v>671</v>
      </c>
      <c r="S227" s="8">
        <v>1309</v>
      </c>
      <c r="T227" s="8">
        <v>1989</v>
      </c>
      <c r="U227" s="8">
        <v>1824</v>
      </c>
      <c r="V227" s="8">
        <v>1934</v>
      </c>
      <c r="W227" s="8">
        <v>2040</v>
      </c>
      <c r="X227" s="7">
        <v>543</v>
      </c>
      <c r="Y227" s="7">
        <v>364</v>
      </c>
      <c r="Z227" s="8">
        <v>1068</v>
      </c>
      <c r="AA227" s="7">
        <v>419</v>
      </c>
      <c r="AB227" s="7">
        <v>53</v>
      </c>
      <c r="AC227" s="7">
        <v>24</v>
      </c>
      <c r="AD227" s="7">
        <v>131</v>
      </c>
      <c r="AE227" s="7">
        <v>50</v>
      </c>
      <c r="AF227" s="7">
        <v>384</v>
      </c>
      <c r="AG227" s="7">
        <v>77</v>
      </c>
      <c r="AH227" s="7">
        <v>192</v>
      </c>
      <c r="AI227" s="7">
        <v>539</v>
      </c>
      <c r="AJ227" s="7">
        <v>22</v>
      </c>
      <c r="AK227" s="8">
        <v>1120</v>
      </c>
      <c r="AL227" s="8">
        <v>3081</v>
      </c>
      <c r="AM227" s="8">
        <v>1081</v>
      </c>
      <c r="AN227" s="7">
        <v>839</v>
      </c>
      <c r="AO227" s="8">
        <v>5765</v>
      </c>
      <c r="AP227" s="8">
        <v>3729</v>
      </c>
      <c r="AQ227" s="8">
        <v>1500</v>
      </c>
      <c r="AR227" s="8">
        <v>1500</v>
      </c>
      <c r="AS227" s="8">
        <v>3500</v>
      </c>
      <c r="AT227" s="8">
        <v>2750</v>
      </c>
      <c r="AU227" s="7">
        <v>650</v>
      </c>
      <c r="AV227" s="7">
        <v>500</v>
      </c>
      <c r="AW227" s="7">
        <v>539</v>
      </c>
      <c r="AX227" s="8">
        <v>2000</v>
      </c>
      <c r="AY227" s="7">
        <v>350</v>
      </c>
      <c r="AZ227" s="7">
        <v>250</v>
      </c>
      <c r="BA227" s="8">
        <v>1150</v>
      </c>
      <c r="BB227" s="8">
        <v>1750</v>
      </c>
      <c r="BC227" s="15">
        <v>0</v>
      </c>
      <c r="BD227" s="21">
        <f t="shared" si="56"/>
        <v>2.0339622641509434E-2</v>
      </c>
      <c r="BE227" s="21">
        <f t="shared" si="56"/>
        <v>7.0856656982923552E-2</v>
      </c>
      <c r="BF227" s="21">
        <f t="shared" si="56"/>
        <v>1.1889798552841661E-2</v>
      </c>
      <c r="BG227" s="21">
        <f t="shared" si="56"/>
        <v>9.2084422999005495E-3</v>
      </c>
      <c r="BH227" s="21">
        <f t="shared" si="56"/>
        <v>4.0961709706144253E-2</v>
      </c>
      <c r="BI227" s="21">
        <f t="shared" si="56"/>
        <v>5.9865900383141761E-2</v>
      </c>
      <c r="BJ227" s="23">
        <f t="shared" si="50"/>
        <v>3.6678684129728849E-2</v>
      </c>
    </row>
    <row r="228" spans="1:62" x14ac:dyDescent="0.25">
      <c r="A228" s="12"/>
      <c r="B228" s="2"/>
      <c r="C228" s="2" t="s">
        <v>8</v>
      </c>
      <c r="D228" s="4">
        <v>0</v>
      </c>
      <c r="E228" s="4">
        <v>0</v>
      </c>
      <c r="F228" s="4">
        <v>0</v>
      </c>
      <c r="G228" s="4">
        <v>0</v>
      </c>
      <c r="H228" s="4">
        <v>0</v>
      </c>
      <c r="I228" s="4">
        <v>0</v>
      </c>
      <c r="J228" s="4">
        <v>0</v>
      </c>
      <c r="K228" s="4">
        <v>0</v>
      </c>
      <c r="L228" s="4">
        <v>0</v>
      </c>
      <c r="M228" s="4">
        <v>0</v>
      </c>
      <c r="N228" s="4">
        <v>0</v>
      </c>
      <c r="O228" s="4">
        <v>0</v>
      </c>
      <c r="P228" s="4">
        <v>0</v>
      </c>
      <c r="Q228" s="4">
        <v>0</v>
      </c>
      <c r="R228" s="4">
        <v>0</v>
      </c>
      <c r="S228" s="4">
        <v>0</v>
      </c>
      <c r="T228" s="4">
        <v>0</v>
      </c>
      <c r="U228" s="4">
        <v>0</v>
      </c>
      <c r="V228" s="4">
        <v>0</v>
      </c>
      <c r="W228" s="4">
        <v>14</v>
      </c>
      <c r="X228" s="4">
        <v>64</v>
      </c>
      <c r="Y228" s="4">
        <v>0</v>
      </c>
      <c r="Z228" s="4">
        <v>0</v>
      </c>
      <c r="AA228" s="4">
        <v>0</v>
      </c>
      <c r="AB228" s="4">
        <v>392</v>
      </c>
      <c r="AC228" s="4">
        <v>212</v>
      </c>
      <c r="AD228" s="4">
        <v>150</v>
      </c>
      <c r="AE228" s="4">
        <v>0</v>
      </c>
      <c r="AF228" s="4">
        <v>104</v>
      </c>
      <c r="AG228" s="4">
        <v>0</v>
      </c>
      <c r="AH228" s="4">
        <v>0</v>
      </c>
      <c r="AI228" s="4">
        <v>0</v>
      </c>
      <c r="AJ228" s="4">
        <v>472</v>
      </c>
      <c r="AK228" s="4">
        <v>222</v>
      </c>
      <c r="AL228" s="4">
        <v>0</v>
      </c>
      <c r="AM228" s="4">
        <v>0</v>
      </c>
      <c r="AN228" s="4">
        <v>0</v>
      </c>
      <c r="AO228" s="4">
        <v>0</v>
      </c>
      <c r="AP228" s="4">
        <v>0</v>
      </c>
      <c r="AQ228" s="4">
        <v>0</v>
      </c>
      <c r="AR228" s="4">
        <v>0</v>
      </c>
      <c r="AS228" s="4">
        <v>0</v>
      </c>
      <c r="AT228" s="4">
        <v>0</v>
      </c>
      <c r="AU228" s="4">
        <v>0</v>
      </c>
      <c r="AV228" s="4">
        <v>50</v>
      </c>
      <c r="AW228" s="4">
        <v>0</v>
      </c>
      <c r="AX228" s="4">
        <v>0</v>
      </c>
      <c r="AY228" s="4">
        <v>0</v>
      </c>
      <c r="AZ228" s="4">
        <v>10</v>
      </c>
      <c r="BA228" s="4">
        <v>0</v>
      </c>
      <c r="BB228" s="4">
        <v>0</v>
      </c>
      <c r="BC228" s="13">
        <v>0</v>
      </c>
      <c r="BD228" s="20">
        <f t="shared" si="56"/>
        <v>0</v>
      </c>
      <c r="BE228" s="20">
        <f t="shared" si="56"/>
        <v>0</v>
      </c>
      <c r="BF228" s="20">
        <f t="shared" si="56"/>
        <v>0</v>
      </c>
      <c r="BG228" s="20">
        <f t="shared" si="56"/>
        <v>3.4587714443829549E-4</v>
      </c>
      <c r="BH228" s="20">
        <f t="shared" si="56"/>
        <v>0</v>
      </c>
      <c r="BI228" s="20">
        <f t="shared" si="56"/>
        <v>0</v>
      </c>
      <c r="BJ228" s="23">
        <f t="shared" si="50"/>
        <v>1.1529238147943183E-4</v>
      </c>
    </row>
    <row r="229" spans="1:62" s="5" customFormat="1" x14ac:dyDescent="0.25">
      <c r="A229" s="14"/>
      <c r="B229" s="6"/>
      <c r="C229" s="6" t="s">
        <v>9</v>
      </c>
      <c r="D229" s="8">
        <v>11204</v>
      </c>
      <c r="E229" s="8">
        <v>10632</v>
      </c>
      <c r="F229" s="8">
        <v>11208</v>
      </c>
      <c r="G229" s="8">
        <v>10164</v>
      </c>
      <c r="H229" s="8">
        <v>9916</v>
      </c>
      <c r="I229" s="8">
        <v>10455</v>
      </c>
      <c r="J229" s="8">
        <v>11131</v>
      </c>
      <c r="K229" s="8">
        <v>10685</v>
      </c>
      <c r="L229" s="8">
        <v>12504</v>
      </c>
      <c r="M229" s="8">
        <v>12937</v>
      </c>
      <c r="N229" s="8">
        <v>13634</v>
      </c>
      <c r="O229" s="8">
        <v>14206</v>
      </c>
      <c r="P229" s="8">
        <v>14742</v>
      </c>
      <c r="Q229" s="8">
        <v>15295</v>
      </c>
      <c r="R229" s="8">
        <v>15994</v>
      </c>
      <c r="S229" s="8">
        <v>16706</v>
      </c>
      <c r="T229" s="8">
        <v>17395</v>
      </c>
      <c r="U229" s="8">
        <v>18083</v>
      </c>
      <c r="V229" s="8">
        <v>18913</v>
      </c>
      <c r="W229" s="8">
        <v>19756</v>
      </c>
      <c r="X229" s="8">
        <v>21504</v>
      </c>
      <c r="Y229" s="8">
        <v>23149</v>
      </c>
      <c r="Z229" s="8">
        <v>24679</v>
      </c>
      <c r="AA229" s="8">
        <v>25460</v>
      </c>
      <c r="AB229" s="8">
        <v>26092</v>
      </c>
      <c r="AC229" s="8">
        <v>26738</v>
      </c>
      <c r="AD229" s="8">
        <v>27392</v>
      </c>
      <c r="AE229" s="8">
        <v>28053</v>
      </c>
      <c r="AF229" s="8">
        <v>28723</v>
      </c>
      <c r="AG229" s="8">
        <v>29410</v>
      </c>
      <c r="AH229" s="8">
        <v>30121</v>
      </c>
      <c r="AI229" s="8">
        <v>30838</v>
      </c>
      <c r="AJ229" s="8">
        <v>31375</v>
      </c>
      <c r="AK229" s="8">
        <v>32097</v>
      </c>
      <c r="AL229" s="8">
        <v>32922</v>
      </c>
      <c r="AM229" s="8">
        <v>33461</v>
      </c>
      <c r="AN229" s="8">
        <v>33911</v>
      </c>
      <c r="AO229" s="8">
        <v>34667</v>
      </c>
      <c r="AP229" s="8">
        <v>35033</v>
      </c>
      <c r="AQ229" s="8">
        <v>35400</v>
      </c>
      <c r="AR229" s="8">
        <v>35877</v>
      </c>
      <c r="AS229" s="8">
        <v>36382</v>
      </c>
      <c r="AT229" s="8">
        <v>36500</v>
      </c>
      <c r="AU229" s="8">
        <v>36000</v>
      </c>
      <c r="AV229" s="8">
        <v>35850</v>
      </c>
      <c r="AW229" s="8">
        <v>35739</v>
      </c>
      <c r="AX229" s="8">
        <v>35900</v>
      </c>
      <c r="AY229" s="8">
        <v>36350</v>
      </c>
      <c r="AZ229" s="8">
        <v>37100</v>
      </c>
      <c r="BA229" s="8">
        <v>38000</v>
      </c>
      <c r="BB229" s="8">
        <v>38850</v>
      </c>
      <c r="BC229" s="15">
        <v>0</v>
      </c>
      <c r="BD229" s="21">
        <f t="shared" si="56"/>
        <v>8.6549149619914126E-2</v>
      </c>
      <c r="BE229" s="21">
        <f t="shared" si="56"/>
        <v>8.5766776483179916E-2</v>
      </c>
      <c r="BF229" s="21">
        <f t="shared" si="56"/>
        <v>8.5273190906382468E-2</v>
      </c>
      <c r="BG229" s="21">
        <f t="shared" si="56"/>
        <v>8.5265794856473079E-2</v>
      </c>
      <c r="BH229" s="21">
        <f t="shared" si="56"/>
        <v>8.7298724749418202E-2</v>
      </c>
      <c r="BI229" s="21">
        <f t="shared" si="56"/>
        <v>8.7062335287473785E-2</v>
      </c>
      <c r="BJ229" s="23">
        <f t="shared" si="50"/>
        <v>8.6542284964455027E-2</v>
      </c>
    </row>
    <row r="230" spans="1:62" s="5" customFormat="1" x14ac:dyDescent="0.25">
      <c r="A230" s="12"/>
      <c r="B230" s="2" t="s">
        <v>14</v>
      </c>
      <c r="C230" s="2" t="s">
        <v>42</v>
      </c>
      <c r="D230" s="4">
        <v>676</v>
      </c>
      <c r="E230" s="4">
        <v>643</v>
      </c>
      <c r="F230" s="4">
        <v>650</v>
      </c>
      <c r="G230" s="4">
        <v>648</v>
      </c>
      <c r="H230" s="4">
        <v>649</v>
      </c>
      <c r="I230" s="4">
        <v>609</v>
      </c>
      <c r="J230" s="4">
        <v>600</v>
      </c>
      <c r="K230" s="4">
        <v>649</v>
      </c>
      <c r="L230" s="4">
        <v>603</v>
      </c>
      <c r="M230" s="4">
        <v>758</v>
      </c>
      <c r="N230" s="4">
        <v>726</v>
      </c>
      <c r="O230" s="4">
        <v>850</v>
      </c>
      <c r="P230" s="4">
        <v>890</v>
      </c>
      <c r="Q230" s="4">
        <v>820</v>
      </c>
      <c r="R230" s="3">
        <v>1096</v>
      </c>
      <c r="S230" s="3">
        <v>1107</v>
      </c>
      <c r="T230" s="3">
        <v>1135</v>
      </c>
      <c r="U230" s="3">
        <v>1203</v>
      </c>
      <c r="V230" s="3">
        <v>1217</v>
      </c>
      <c r="W230" s="3">
        <v>1379</v>
      </c>
      <c r="X230" s="3">
        <v>1337</v>
      </c>
      <c r="Y230" s="3">
        <v>1338</v>
      </c>
      <c r="Z230" s="3">
        <v>1741</v>
      </c>
      <c r="AA230" s="3">
        <v>1762</v>
      </c>
      <c r="AB230" s="3">
        <v>1827</v>
      </c>
      <c r="AC230" s="3">
        <v>1846</v>
      </c>
      <c r="AD230" s="3">
        <v>2024</v>
      </c>
      <c r="AE230" s="3">
        <v>2127</v>
      </c>
      <c r="AF230" s="3">
        <v>1920</v>
      </c>
      <c r="AG230" s="3">
        <v>2080</v>
      </c>
      <c r="AH230" s="3">
        <v>2120</v>
      </c>
      <c r="AI230" s="3">
        <v>2250</v>
      </c>
      <c r="AJ230" s="3">
        <v>2300</v>
      </c>
      <c r="AK230" s="3">
        <v>2480</v>
      </c>
      <c r="AL230" s="3">
        <v>2450</v>
      </c>
      <c r="AM230" s="3">
        <v>2090</v>
      </c>
      <c r="AN230" s="3">
        <v>2094</v>
      </c>
      <c r="AO230" s="3">
        <v>2190</v>
      </c>
      <c r="AP230" s="3">
        <v>1492</v>
      </c>
      <c r="AQ230" s="3">
        <v>1690</v>
      </c>
      <c r="AR230" s="3">
        <v>1800</v>
      </c>
      <c r="AS230" s="3">
        <v>1725</v>
      </c>
      <c r="AT230" s="3">
        <v>1755</v>
      </c>
      <c r="AU230" s="3">
        <v>1730</v>
      </c>
      <c r="AV230" s="3">
        <v>2050</v>
      </c>
      <c r="AW230" s="3">
        <v>2100</v>
      </c>
      <c r="AX230" s="3">
        <v>1900</v>
      </c>
      <c r="AY230" s="3">
        <v>2000</v>
      </c>
      <c r="AZ230" s="3">
        <v>2053</v>
      </c>
      <c r="BA230" s="3">
        <v>1910</v>
      </c>
      <c r="BB230" s="24">
        <v>1911</v>
      </c>
      <c r="BC230" s="21">
        <f t="shared" ref="BC230:BH230" si="57">AW230/AX$83</f>
        <v>0.26259847442791046</v>
      </c>
      <c r="BD230" s="21">
        <f t="shared" si="57"/>
        <v>0.28056704075605432</v>
      </c>
      <c r="BE230" s="21">
        <f t="shared" si="57"/>
        <v>0.31235358425737936</v>
      </c>
      <c r="BF230" s="21">
        <f t="shared" si="57"/>
        <v>0.28809991580129107</v>
      </c>
      <c r="BG230" s="21">
        <f t="shared" si="57"/>
        <v>0.29384615384615387</v>
      </c>
      <c r="BH230" s="21" t="e">
        <f t="shared" si="57"/>
        <v>#DIV/0!</v>
      </c>
      <c r="BI230"/>
      <c r="BJ230" s="23" t="e">
        <f>AVERAGE(BF230,BG230,BH230)</f>
        <v>#DIV/0!</v>
      </c>
    </row>
    <row r="231" spans="1:62" x14ac:dyDescent="0.25">
      <c r="A231" s="12"/>
      <c r="B231" s="6"/>
      <c r="C231" s="6" t="s">
        <v>45</v>
      </c>
      <c r="D231" s="7">
        <v>0</v>
      </c>
      <c r="E231" s="7">
        <v>0</v>
      </c>
      <c r="F231" s="7">
        <v>0</v>
      </c>
      <c r="G231" s="7">
        <v>0</v>
      </c>
      <c r="H231" s="7">
        <v>0</v>
      </c>
      <c r="I231" s="7">
        <v>36</v>
      </c>
      <c r="J231" s="7">
        <v>38</v>
      </c>
      <c r="K231" s="7">
        <v>108</v>
      </c>
      <c r="L231" s="7">
        <v>78</v>
      </c>
      <c r="M231" s="7">
        <v>90</v>
      </c>
      <c r="N231" s="7">
        <v>110</v>
      </c>
      <c r="O231" s="7">
        <v>3</v>
      </c>
      <c r="P231" s="7">
        <v>185</v>
      </c>
      <c r="Q231" s="7">
        <v>208</v>
      </c>
      <c r="R231" s="7">
        <v>190</v>
      </c>
      <c r="S231" s="7">
        <v>161</v>
      </c>
      <c r="T231" s="7">
        <v>180</v>
      </c>
      <c r="U231" s="7">
        <v>515</v>
      </c>
      <c r="V231" s="7">
        <v>523</v>
      </c>
      <c r="W231" s="7">
        <v>368</v>
      </c>
      <c r="X231" s="7">
        <v>574</v>
      </c>
      <c r="Y231" s="7">
        <v>797</v>
      </c>
      <c r="Z231" s="7">
        <v>475</v>
      </c>
      <c r="AA231" s="7">
        <v>17</v>
      </c>
      <c r="AB231" s="7">
        <v>0</v>
      </c>
      <c r="AC231" s="7">
        <v>0</v>
      </c>
      <c r="AD231" s="7">
        <v>179</v>
      </c>
      <c r="AE231" s="7">
        <v>148</v>
      </c>
      <c r="AF231" s="7">
        <v>282</v>
      </c>
      <c r="AG231" s="7">
        <v>369</v>
      </c>
      <c r="AH231" s="7">
        <v>244</v>
      </c>
      <c r="AI231" s="7">
        <v>298</v>
      </c>
      <c r="AJ231" s="7">
        <v>273</v>
      </c>
      <c r="AK231" s="7">
        <v>162</v>
      </c>
      <c r="AL231" s="7">
        <v>301</v>
      </c>
      <c r="AM231" s="7">
        <v>919</v>
      </c>
      <c r="AN231" s="8">
        <v>1091</v>
      </c>
      <c r="AO231" s="7">
        <v>921</v>
      </c>
      <c r="AP231" s="8">
        <v>1702</v>
      </c>
      <c r="AQ231" s="8">
        <v>1949</v>
      </c>
      <c r="AR231" s="8">
        <v>1591</v>
      </c>
      <c r="AS231" s="8">
        <v>1600</v>
      </c>
      <c r="AT231" s="8">
        <v>1600</v>
      </c>
      <c r="AU231" s="8">
        <v>1500</v>
      </c>
      <c r="AV231" s="8">
        <v>1450</v>
      </c>
      <c r="AW231" s="8">
        <v>1800</v>
      </c>
      <c r="AX231" s="8">
        <v>1800</v>
      </c>
      <c r="AY231" s="8">
        <v>2420</v>
      </c>
      <c r="AZ231" s="8">
        <v>2197</v>
      </c>
      <c r="BA231" s="8">
        <v>2600</v>
      </c>
      <c r="BB231" s="25">
        <v>2910</v>
      </c>
      <c r="BC231" s="21">
        <f t="shared" ref="BC231:BH231" si="58">AW231/AX$63</f>
        <v>3.4951456310679609</v>
      </c>
      <c r="BD231" s="21">
        <f t="shared" si="58"/>
        <v>10.975609756097562</v>
      </c>
      <c r="BE231" s="21">
        <f t="shared" si="58"/>
        <v>48.4</v>
      </c>
      <c r="BF231" s="21">
        <f t="shared" si="58"/>
        <v>14.549668874172186</v>
      </c>
      <c r="BG231" s="21">
        <f t="shared" si="58"/>
        <v>4</v>
      </c>
      <c r="BH231" s="21" t="e">
        <f t="shared" si="58"/>
        <v>#DIV/0!</v>
      </c>
      <c r="BI231" s="5"/>
      <c r="BJ231" s="23" t="e">
        <f>AVERAGE(BF231,BG231,BH231)</f>
        <v>#DIV/0!</v>
      </c>
    </row>
    <row r="232" spans="1:62" s="5" customFormat="1" x14ac:dyDescent="0.25">
      <c r="A232" s="12"/>
      <c r="B232" s="2"/>
      <c r="C232" s="2" t="s">
        <v>44</v>
      </c>
      <c r="D232" s="4">
        <v>0</v>
      </c>
      <c r="E232" s="4">
        <v>33</v>
      </c>
      <c r="F232" s="4">
        <v>50</v>
      </c>
      <c r="G232" s="4">
        <v>103</v>
      </c>
      <c r="H232" s="4">
        <v>80</v>
      </c>
      <c r="I232" s="4">
        <v>53</v>
      </c>
      <c r="J232" s="4">
        <v>0</v>
      </c>
      <c r="K232" s="4">
        <v>0</v>
      </c>
      <c r="L232" s="4">
        <v>0</v>
      </c>
      <c r="M232" s="4">
        <v>0</v>
      </c>
      <c r="N232" s="4">
        <v>0</v>
      </c>
      <c r="O232" s="4">
        <v>0</v>
      </c>
      <c r="P232" s="4">
        <v>0</v>
      </c>
      <c r="Q232" s="4">
        <v>0</v>
      </c>
      <c r="R232" s="4">
        <v>0</v>
      </c>
      <c r="S232" s="4">
        <v>0</v>
      </c>
      <c r="T232" s="4">
        <v>0</v>
      </c>
      <c r="U232" s="4">
        <v>0</v>
      </c>
      <c r="V232" s="4">
        <v>0</v>
      </c>
      <c r="W232" s="4">
        <v>0</v>
      </c>
      <c r="X232" s="4">
        <v>0</v>
      </c>
      <c r="Y232" s="4">
        <v>0</v>
      </c>
      <c r="Z232" s="4">
        <v>0</v>
      </c>
      <c r="AA232" s="4">
        <v>0</v>
      </c>
      <c r="AB232" s="4">
        <v>0</v>
      </c>
      <c r="AC232" s="4">
        <v>0</v>
      </c>
      <c r="AD232" s="4">
        <v>0</v>
      </c>
      <c r="AE232" s="4">
        <v>0</v>
      </c>
      <c r="AF232" s="4">
        <v>0</v>
      </c>
      <c r="AG232" s="4">
        <v>0</v>
      </c>
      <c r="AH232" s="4">
        <v>0</v>
      </c>
      <c r="AI232" s="4">
        <v>0</v>
      </c>
      <c r="AJ232" s="4">
        <v>0</v>
      </c>
      <c r="AK232" s="4">
        <v>0</v>
      </c>
      <c r="AL232" s="4">
        <v>0</v>
      </c>
      <c r="AM232" s="4">
        <v>0</v>
      </c>
      <c r="AN232" s="4">
        <v>0</v>
      </c>
      <c r="AO232" s="4">
        <v>0</v>
      </c>
      <c r="AP232" s="4">
        <v>6</v>
      </c>
      <c r="AQ232" s="4">
        <v>17</v>
      </c>
      <c r="AR232" s="4">
        <v>6</v>
      </c>
      <c r="AS232" s="4">
        <v>5</v>
      </c>
      <c r="AT232" s="4">
        <v>0</v>
      </c>
      <c r="AU232" s="4">
        <v>0</v>
      </c>
      <c r="AV232" s="4">
        <v>0</v>
      </c>
      <c r="AW232" s="4">
        <v>0</v>
      </c>
      <c r="AX232" s="4">
        <v>0</v>
      </c>
      <c r="AY232" s="4">
        <v>0</v>
      </c>
      <c r="AZ232" s="4">
        <v>0</v>
      </c>
      <c r="BA232" s="4">
        <v>0</v>
      </c>
      <c r="BB232" s="13">
        <v>0</v>
      </c>
      <c r="BC232" s="21">
        <f t="shared" ref="BC232:BH232" si="59">AW232/AX$42</f>
        <v>0</v>
      </c>
      <c r="BD232" s="21">
        <f t="shared" si="59"/>
        <v>0</v>
      </c>
      <c r="BE232" s="21">
        <f t="shared" si="59"/>
        <v>0</v>
      </c>
      <c r="BF232" s="21">
        <f t="shared" si="59"/>
        <v>0</v>
      </c>
      <c r="BG232" s="21">
        <f t="shared" si="59"/>
        <v>0</v>
      </c>
      <c r="BH232" s="21" t="e">
        <f t="shared" si="59"/>
        <v>#DIV/0!</v>
      </c>
      <c r="BJ232" s="23" t="e">
        <f>AVERAGE(BF232,BG232,BH232)</f>
        <v>#DIV/0!</v>
      </c>
    </row>
    <row r="233" spans="1:62" ht="30" x14ac:dyDescent="0.25">
      <c r="A233" s="12"/>
      <c r="B233" s="6"/>
      <c r="C233" s="6" t="s">
        <v>43</v>
      </c>
      <c r="D233" s="7">
        <v>653</v>
      </c>
      <c r="E233" s="7">
        <v>588</v>
      </c>
      <c r="F233" s="7">
        <v>622</v>
      </c>
      <c r="G233" s="7">
        <v>564</v>
      </c>
      <c r="H233" s="7">
        <v>617</v>
      </c>
      <c r="I233" s="7">
        <v>626</v>
      </c>
      <c r="J233" s="7">
        <v>623</v>
      </c>
      <c r="K233" s="7">
        <v>702</v>
      </c>
      <c r="L233" s="7">
        <v>798</v>
      </c>
      <c r="M233" s="7">
        <v>771</v>
      </c>
      <c r="N233" s="7">
        <v>914</v>
      </c>
      <c r="O233" s="7">
        <v>916</v>
      </c>
      <c r="P233" s="7">
        <v>950</v>
      </c>
      <c r="Q233" s="8">
        <v>1015</v>
      </c>
      <c r="R233" s="8">
        <v>1336</v>
      </c>
      <c r="S233" s="8">
        <v>1318</v>
      </c>
      <c r="T233" s="8">
        <v>1360</v>
      </c>
      <c r="U233" s="8">
        <v>1570</v>
      </c>
      <c r="V233" s="8">
        <v>1736</v>
      </c>
      <c r="W233" s="8">
        <v>1739</v>
      </c>
      <c r="X233" s="8">
        <v>2049</v>
      </c>
      <c r="Y233" s="8">
        <v>1923</v>
      </c>
      <c r="Z233" s="8">
        <v>1847</v>
      </c>
      <c r="AA233" s="8">
        <v>2326</v>
      </c>
      <c r="AB233" s="8">
        <v>1566</v>
      </c>
      <c r="AC233" s="8">
        <v>1971</v>
      </c>
      <c r="AD233" s="8">
        <v>2249</v>
      </c>
      <c r="AE233" s="8">
        <v>2263</v>
      </c>
      <c r="AF233" s="8">
        <v>2308</v>
      </c>
      <c r="AG233" s="8">
        <v>2340</v>
      </c>
      <c r="AH233" s="8">
        <v>2420</v>
      </c>
      <c r="AI233" s="8">
        <v>2500</v>
      </c>
      <c r="AJ233" s="8">
        <v>2585</v>
      </c>
      <c r="AK233" s="8">
        <v>2675</v>
      </c>
      <c r="AL233" s="8">
        <v>2800</v>
      </c>
      <c r="AM233" s="8">
        <v>2900</v>
      </c>
      <c r="AN233" s="8">
        <v>3100</v>
      </c>
      <c r="AO233" s="8">
        <v>3150</v>
      </c>
      <c r="AP233" s="8">
        <v>2800</v>
      </c>
      <c r="AQ233" s="8">
        <v>3200</v>
      </c>
      <c r="AR233" s="8">
        <v>3300</v>
      </c>
      <c r="AS233" s="8">
        <v>3350</v>
      </c>
      <c r="AT233" s="8">
        <v>3400</v>
      </c>
      <c r="AU233" s="8">
        <v>3400</v>
      </c>
      <c r="AV233" s="8">
        <v>3550</v>
      </c>
      <c r="AW233" s="8">
        <v>3850</v>
      </c>
      <c r="AX233" s="8">
        <v>4300</v>
      </c>
      <c r="AY233" s="8">
        <v>4400</v>
      </c>
      <c r="AZ233" s="8">
        <v>4500</v>
      </c>
      <c r="BA233" s="8">
        <v>4400</v>
      </c>
      <c r="BB233" s="25">
        <v>4900</v>
      </c>
      <c r="BC233" s="20">
        <f t="shared" ref="BC233:BH233" si="60">AW233/AW$25</f>
        <v>2.2985074626865671</v>
      </c>
      <c r="BD233" s="20">
        <f t="shared" si="60"/>
        <v>2.5146198830409356</v>
      </c>
      <c r="BE233" s="20">
        <f t="shared" si="60"/>
        <v>2.4512534818941503</v>
      </c>
      <c r="BF233" s="20">
        <f t="shared" si="60"/>
        <v>2.601156069364162</v>
      </c>
      <c r="BG233" s="20">
        <f t="shared" si="60"/>
        <v>2.5433526011560694</v>
      </c>
      <c r="BH233" s="20">
        <f t="shared" si="60"/>
        <v>2.7840909090909092</v>
      </c>
      <c r="BJ233" s="23">
        <f>AVERAGE(BF233,BG233,BH233)</f>
        <v>2.642866526537047</v>
      </c>
    </row>
    <row r="234" spans="1:62" s="5" customFormat="1" x14ac:dyDescent="0.25">
      <c r="A234" s="14"/>
      <c r="B234" s="6" t="s">
        <v>15</v>
      </c>
      <c r="C234" s="6" t="s">
        <v>7</v>
      </c>
      <c r="D234" s="7">
        <v>161</v>
      </c>
      <c r="E234" s="7">
        <v>150</v>
      </c>
      <c r="F234" s="7">
        <v>24</v>
      </c>
      <c r="G234" s="7">
        <v>100</v>
      </c>
      <c r="H234" s="7">
        <v>20</v>
      </c>
      <c r="I234" s="7">
        <v>20</v>
      </c>
      <c r="J234" s="7">
        <v>40</v>
      </c>
      <c r="K234" s="7">
        <v>170</v>
      </c>
      <c r="L234" s="7">
        <v>335</v>
      </c>
      <c r="M234" s="7">
        <v>685</v>
      </c>
      <c r="N234" s="7">
        <v>455</v>
      </c>
      <c r="O234" s="7">
        <v>487</v>
      </c>
      <c r="P234" s="7">
        <v>686</v>
      </c>
      <c r="Q234" s="7">
        <v>576</v>
      </c>
      <c r="R234" s="7">
        <v>846</v>
      </c>
      <c r="S234" s="7">
        <v>834</v>
      </c>
      <c r="T234" s="8">
        <v>1155</v>
      </c>
      <c r="U234" s="8">
        <v>1127</v>
      </c>
      <c r="V234" s="8">
        <v>1257</v>
      </c>
      <c r="W234" s="8">
        <v>1374</v>
      </c>
      <c r="X234" s="8">
        <v>1233</v>
      </c>
      <c r="Y234" s="8">
        <v>1352</v>
      </c>
      <c r="Z234" s="8">
        <v>1484</v>
      </c>
      <c r="AA234" s="8">
        <v>1557</v>
      </c>
      <c r="AB234" s="8">
        <v>1369</v>
      </c>
      <c r="AC234" s="8">
        <v>1543</v>
      </c>
      <c r="AD234" s="8">
        <v>1597</v>
      </c>
      <c r="AE234" s="8">
        <v>1800</v>
      </c>
      <c r="AF234" s="8">
        <v>1717</v>
      </c>
      <c r="AG234" s="8">
        <v>1942</v>
      </c>
      <c r="AH234" s="8">
        <v>2036</v>
      </c>
      <c r="AI234" s="8">
        <v>2550</v>
      </c>
      <c r="AJ234" s="8">
        <v>2672</v>
      </c>
      <c r="AK234" s="8">
        <v>2925</v>
      </c>
      <c r="AL234" s="8">
        <v>3881</v>
      </c>
      <c r="AM234" s="8">
        <v>3632</v>
      </c>
      <c r="AN234" s="8">
        <v>4201</v>
      </c>
      <c r="AO234" s="8">
        <v>3664</v>
      </c>
      <c r="AP234" s="8">
        <v>3117</v>
      </c>
      <c r="AQ234" s="8">
        <v>3744</v>
      </c>
      <c r="AR234" s="8">
        <v>4069</v>
      </c>
      <c r="AS234" s="8">
        <v>3748</v>
      </c>
      <c r="AT234" s="8">
        <v>4008</v>
      </c>
      <c r="AU234" s="8">
        <v>4434</v>
      </c>
      <c r="AV234" s="8">
        <v>4720</v>
      </c>
      <c r="AW234" s="8">
        <v>5072</v>
      </c>
      <c r="AX234" s="8">
        <v>5601</v>
      </c>
      <c r="AY234" s="8">
        <v>5227</v>
      </c>
      <c r="AZ234" s="8">
        <v>5419</v>
      </c>
      <c r="BA234" s="8">
        <v>5364</v>
      </c>
      <c r="BB234" s="8">
        <v>5600</v>
      </c>
      <c r="BC234" s="15">
        <v>0</v>
      </c>
      <c r="BD234" s="21">
        <f t="shared" ref="BD234:BI236" si="61">AW234/AW572</f>
        <v>4.5457397133817905E-2</v>
      </c>
      <c r="BE234" s="21">
        <f t="shared" si="61"/>
        <v>4.912813135920286E-2</v>
      </c>
      <c r="BF234" s="21">
        <f t="shared" si="61"/>
        <v>4.5929440709986377E-2</v>
      </c>
      <c r="BG234" s="21">
        <f t="shared" si="61"/>
        <v>3.9574098281641386E-2</v>
      </c>
      <c r="BH234" s="21">
        <f t="shared" si="61"/>
        <v>4.0193323592222101E-2</v>
      </c>
      <c r="BI234" s="21">
        <f t="shared" si="61"/>
        <v>4.5649444870143635E-2</v>
      </c>
      <c r="BJ234" s="23">
        <f t="shared" si="50"/>
        <v>4.1805622248002376E-2</v>
      </c>
    </row>
    <row r="235" spans="1:62" x14ac:dyDescent="0.25">
      <c r="A235" s="12"/>
      <c r="B235" s="2"/>
      <c r="C235" s="2" t="s">
        <v>8</v>
      </c>
      <c r="D235" s="4">
        <v>0</v>
      </c>
      <c r="E235" s="4">
        <v>0</v>
      </c>
      <c r="F235" s="4">
        <v>0</v>
      </c>
      <c r="G235" s="4">
        <v>0</v>
      </c>
      <c r="H235" s="4">
        <v>0</v>
      </c>
      <c r="I235" s="4">
        <v>0</v>
      </c>
      <c r="J235" s="4">
        <v>0</v>
      </c>
      <c r="K235" s="4">
        <v>0</v>
      </c>
      <c r="L235" s="4">
        <v>0</v>
      </c>
      <c r="M235" s="4">
        <v>0</v>
      </c>
      <c r="N235" s="4">
        <v>0</v>
      </c>
      <c r="O235" s="4">
        <v>0</v>
      </c>
      <c r="P235" s="4">
        <v>0</v>
      </c>
      <c r="Q235" s="4">
        <v>0</v>
      </c>
      <c r="R235" s="4">
        <v>0</v>
      </c>
      <c r="S235" s="4">
        <v>0</v>
      </c>
      <c r="T235" s="4">
        <v>0</v>
      </c>
      <c r="U235" s="4">
        <v>0</v>
      </c>
      <c r="V235" s="4">
        <v>0</v>
      </c>
      <c r="W235" s="4">
        <v>0</v>
      </c>
      <c r="X235" s="4">
        <v>0</v>
      </c>
      <c r="Y235" s="4">
        <v>0</v>
      </c>
      <c r="Z235" s="4">
        <v>0</v>
      </c>
      <c r="AA235" s="4">
        <v>0</v>
      </c>
      <c r="AB235" s="4">
        <v>0</v>
      </c>
      <c r="AC235" s="4">
        <v>0</v>
      </c>
      <c r="AD235" s="4">
        <v>0</v>
      </c>
      <c r="AE235" s="4">
        <v>0</v>
      </c>
      <c r="AF235" s="4">
        <v>0</v>
      </c>
      <c r="AG235" s="4">
        <v>0</v>
      </c>
      <c r="AH235" s="4">
        <v>5</v>
      </c>
      <c r="AI235" s="4">
        <v>7</v>
      </c>
      <c r="AJ235" s="4">
        <v>7</v>
      </c>
      <c r="AK235" s="4">
        <v>8</v>
      </c>
      <c r="AL235" s="4">
        <v>11</v>
      </c>
      <c r="AM235" s="4">
        <v>18</v>
      </c>
      <c r="AN235" s="4">
        <v>49</v>
      </c>
      <c r="AO235" s="4">
        <v>23</v>
      </c>
      <c r="AP235" s="4">
        <v>9</v>
      </c>
      <c r="AQ235" s="4">
        <v>31</v>
      </c>
      <c r="AR235" s="4">
        <v>49</v>
      </c>
      <c r="AS235" s="4">
        <v>45</v>
      </c>
      <c r="AT235" s="4">
        <v>73</v>
      </c>
      <c r="AU235" s="4">
        <v>91</v>
      </c>
      <c r="AV235" s="4">
        <v>221</v>
      </c>
      <c r="AW235" s="4">
        <v>163</v>
      </c>
      <c r="AX235" s="4">
        <v>192</v>
      </c>
      <c r="AY235" s="4">
        <v>221</v>
      </c>
      <c r="AZ235" s="4">
        <v>144</v>
      </c>
      <c r="BA235" s="4">
        <v>200</v>
      </c>
      <c r="BB235" s="4">
        <v>250</v>
      </c>
      <c r="BC235" s="13">
        <v>0</v>
      </c>
      <c r="BD235" s="20">
        <f t="shared" si="61"/>
        <v>1.3933410266273455E-3</v>
      </c>
      <c r="BE235" s="20">
        <f t="shared" si="61"/>
        <v>1.7169684775318577E-3</v>
      </c>
      <c r="BF235" s="20">
        <f t="shared" si="61"/>
        <v>1.8843471291417268E-3</v>
      </c>
      <c r="BG235" s="20">
        <f t="shared" si="61"/>
        <v>1.0023666991507726E-3</v>
      </c>
      <c r="BH235" s="20">
        <f t="shared" si="61"/>
        <v>1.4727432051310373E-3</v>
      </c>
      <c r="BI235" s="20">
        <f t="shared" si="61"/>
        <v>2.0135795806921881E-3</v>
      </c>
      <c r="BJ235" s="23">
        <f t="shared" si="50"/>
        <v>1.4962298283246658E-3</v>
      </c>
    </row>
    <row r="236" spans="1:62" s="5" customFormat="1" x14ac:dyDescent="0.25">
      <c r="A236" s="14"/>
      <c r="B236" s="6"/>
      <c r="C236" s="6" t="s">
        <v>9</v>
      </c>
      <c r="D236" s="7">
        <v>161</v>
      </c>
      <c r="E236" s="7">
        <v>150</v>
      </c>
      <c r="F236" s="7">
        <v>24</v>
      </c>
      <c r="G236" s="7">
        <v>100</v>
      </c>
      <c r="H236" s="7">
        <v>20</v>
      </c>
      <c r="I236" s="7">
        <v>20</v>
      </c>
      <c r="J236" s="7">
        <v>40</v>
      </c>
      <c r="K236" s="7">
        <v>170</v>
      </c>
      <c r="L236" s="7">
        <v>279</v>
      </c>
      <c r="M236" s="7">
        <v>567</v>
      </c>
      <c r="N236" s="7">
        <v>396</v>
      </c>
      <c r="O236" s="7">
        <v>683</v>
      </c>
      <c r="P236" s="7">
        <v>642</v>
      </c>
      <c r="Q236" s="7">
        <v>557</v>
      </c>
      <c r="R236" s="7">
        <v>826</v>
      </c>
      <c r="S236" s="7">
        <v>819</v>
      </c>
      <c r="T236" s="8">
        <v>1090</v>
      </c>
      <c r="U236" s="8">
        <v>1125</v>
      </c>
      <c r="V236" s="8">
        <v>1251</v>
      </c>
      <c r="W236" s="8">
        <v>1285</v>
      </c>
      <c r="X236" s="8">
        <v>1309</v>
      </c>
      <c r="Y236" s="8">
        <v>1339</v>
      </c>
      <c r="Z236" s="8">
        <v>1471</v>
      </c>
      <c r="AA236" s="8">
        <v>1604</v>
      </c>
      <c r="AB236" s="8">
        <v>1419</v>
      </c>
      <c r="AC236" s="8">
        <v>1443</v>
      </c>
      <c r="AD236" s="8">
        <v>1547</v>
      </c>
      <c r="AE236" s="8">
        <v>1800</v>
      </c>
      <c r="AF236" s="8">
        <v>1817</v>
      </c>
      <c r="AG236" s="8">
        <v>1892</v>
      </c>
      <c r="AH236" s="8">
        <v>1967</v>
      </c>
      <c r="AI236" s="8">
        <v>2537</v>
      </c>
      <c r="AJ236" s="8">
        <v>2715</v>
      </c>
      <c r="AK236" s="8">
        <v>3012</v>
      </c>
      <c r="AL236" s="8">
        <v>3595</v>
      </c>
      <c r="AM236" s="8">
        <v>3752</v>
      </c>
      <c r="AN236" s="8">
        <v>4152</v>
      </c>
      <c r="AO236" s="8">
        <v>3703</v>
      </c>
      <c r="AP236" s="8">
        <v>2658</v>
      </c>
      <c r="AQ236" s="8">
        <v>3313</v>
      </c>
      <c r="AR236" s="8">
        <v>4120</v>
      </c>
      <c r="AS236" s="8">
        <v>3832</v>
      </c>
      <c r="AT236" s="8">
        <v>4091</v>
      </c>
      <c r="AU236" s="8">
        <v>4200</v>
      </c>
      <c r="AV236" s="8">
        <v>4450</v>
      </c>
      <c r="AW236" s="8">
        <v>4700</v>
      </c>
      <c r="AX236" s="8">
        <v>5050</v>
      </c>
      <c r="AY236" s="8">
        <v>5150</v>
      </c>
      <c r="AZ236" s="8">
        <v>5200</v>
      </c>
      <c r="BA236" s="8">
        <v>5300</v>
      </c>
      <c r="BB236" s="8">
        <v>5550</v>
      </c>
      <c r="BC236" s="15">
        <v>0</v>
      </c>
      <c r="BD236" s="21">
        <f t="shared" si="61"/>
        <v>7.6212961716769934E-3</v>
      </c>
      <c r="BE236" s="21">
        <f t="shared" si="61"/>
        <v>8.1676618814411316E-3</v>
      </c>
      <c r="BF236" s="21">
        <f t="shared" si="61"/>
        <v>8.3974693451604483E-3</v>
      </c>
      <c r="BG236" s="21">
        <f t="shared" si="61"/>
        <v>8.1921371237721648E-3</v>
      </c>
      <c r="BH236" s="21">
        <f t="shared" si="61"/>
        <v>8.1512252214288022E-3</v>
      </c>
      <c r="BI236" s="21">
        <f t="shared" si="61"/>
        <v>8.3992408902287315E-3</v>
      </c>
      <c r="BJ236" s="23">
        <f t="shared" si="50"/>
        <v>8.2475344118098995E-3</v>
      </c>
    </row>
    <row r="237" spans="1:62" x14ac:dyDescent="0.25">
      <c r="A237" s="12" t="s">
        <v>24</v>
      </c>
      <c r="B237" s="2" t="s">
        <v>5</v>
      </c>
      <c r="C237" s="2" t="s">
        <v>6</v>
      </c>
      <c r="D237" s="4">
        <v>113</v>
      </c>
      <c r="E237" s="4">
        <v>116</v>
      </c>
      <c r="F237" s="4">
        <v>104</v>
      </c>
      <c r="G237" s="4">
        <v>104</v>
      </c>
      <c r="H237" s="4">
        <v>84</v>
      </c>
      <c r="I237" s="4">
        <v>75</v>
      </c>
      <c r="J237" s="4">
        <v>63</v>
      </c>
      <c r="K237" s="4">
        <v>61</v>
      </c>
      <c r="L237" s="4">
        <v>51</v>
      </c>
      <c r="M237" s="4">
        <v>40</v>
      </c>
      <c r="N237" s="4">
        <v>33</v>
      </c>
      <c r="O237" s="4">
        <v>33</v>
      </c>
      <c r="P237" s="4">
        <v>24</v>
      </c>
      <c r="Q237" s="4">
        <v>19</v>
      </c>
      <c r="R237" s="4">
        <v>14</v>
      </c>
      <c r="S237" s="4">
        <v>11</v>
      </c>
      <c r="T237" s="4">
        <v>11</v>
      </c>
      <c r="U237" s="4">
        <v>8</v>
      </c>
      <c r="V237" s="4">
        <v>5</v>
      </c>
      <c r="W237" s="4">
        <v>5</v>
      </c>
      <c r="X237" s="4">
        <v>4</v>
      </c>
      <c r="Y237" s="4">
        <v>3</v>
      </c>
      <c r="Z237" s="4">
        <v>3</v>
      </c>
      <c r="AA237" s="4">
        <v>3</v>
      </c>
      <c r="AB237" s="4">
        <v>3</v>
      </c>
      <c r="AC237" s="4">
        <v>2</v>
      </c>
      <c r="AD237" s="4">
        <v>2</v>
      </c>
      <c r="AE237" s="4">
        <v>2</v>
      </c>
      <c r="AF237" s="4">
        <v>2</v>
      </c>
      <c r="AG237" s="4">
        <v>2</v>
      </c>
      <c r="AH237" s="4">
        <v>2</v>
      </c>
      <c r="AI237" s="4">
        <v>2</v>
      </c>
      <c r="AJ237" s="4">
        <v>2</v>
      </c>
      <c r="AK237" s="4">
        <v>2</v>
      </c>
      <c r="AL237" s="4">
        <v>2</v>
      </c>
      <c r="AM237" s="4">
        <v>2</v>
      </c>
      <c r="AN237" s="4">
        <v>1</v>
      </c>
      <c r="AO237" s="4">
        <v>1</v>
      </c>
      <c r="AP237" s="4">
        <v>1</v>
      </c>
      <c r="AQ237" s="4">
        <v>1</v>
      </c>
      <c r="AR237" s="4">
        <v>1</v>
      </c>
      <c r="AS237" s="4">
        <v>1</v>
      </c>
      <c r="AT237" s="4">
        <v>1</v>
      </c>
      <c r="AU237" s="4">
        <v>1</v>
      </c>
      <c r="AV237" s="4">
        <v>1</v>
      </c>
      <c r="AW237" s="4">
        <v>1</v>
      </c>
      <c r="AX237" s="4">
        <v>1</v>
      </c>
      <c r="AY237" s="4">
        <v>1</v>
      </c>
      <c r="AZ237" s="4">
        <v>1</v>
      </c>
      <c r="BA237" s="4">
        <v>1</v>
      </c>
      <c r="BB237" s="4">
        <v>1</v>
      </c>
      <c r="BC237" s="13">
        <v>0</v>
      </c>
      <c r="BD237" s="20">
        <f t="shared" ref="BD237:BI240" si="62">AW237/AW547</f>
        <v>1.4296784081388732E-6</v>
      </c>
      <c r="BE237" s="20">
        <f t="shared" si="62"/>
        <v>1.4014022430844304E-6</v>
      </c>
      <c r="BF237" s="20">
        <f t="shared" si="62"/>
        <v>1.2586976004188945E-6</v>
      </c>
      <c r="BG237" s="20">
        <f t="shared" si="62"/>
        <v>1.2518402051014992E-6</v>
      </c>
      <c r="BH237" s="20">
        <f t="shared" si="62"/>
        <v>1.2308798205869574E-6</v>
      </c>
      <c r="BI237" s="20">
        <f t="shared" si="62"/>
        <v>1.2270826967841844E-6</v>
      </c>
      <c r="BJ237" s="23">
        <f t="shared" si="50"/>
        <v>1.2366009074908803E-6</v>
      </c>
    </row>
    <row r="238" spans="1:62" s="5" customFormat="1" x14ac:dyDescent="0.25">
      <c r="A238" s="14"/>
      <c r="B238" s="6"/>
      <c r="C238" s="6" t="s">
        <v>7</v>
      </c>
      <c r="D238" s="8">
        <v>1708</v>
      </c>
      <c r="E238" s="8">
        <v>2109</v>
      </c>
      <c r="F238" s="8">
        <v>2396</v>
      </c>
      <c r="G238" s="8">
        <v>3076</v>
      </c>
      <c r="H238" s="8">
        <v>3223</v>
      </c>
      <c r="I238" s="8">
        <v>2887</v>
      </c>
      <c r="J238" s="8">
        <v>3837</v>
      </c>
      <c r="K238" s="8">
        <v>4582</v>
      </c>
      <c r="L238" s="8">
        <v>5287</v>
      </c>
      <c r="M238" s="8">
        <v>5975</v>
      </c>
      <c r="N238" s="8">
        <v>5173</v>
      </c>
      <c r="O238" s="8">
        <v>5416</v>
      </c>
      <c r="P238" s="8">
        <v>6881</v>
      </c>
      <c r="Q238" s="8">
        <v>8210</v>
      </c>
      <c r="R238" s="8">
        <v>7388</v>
      </c>
      <c r="S238" s="8">
        <v>7879</v>
      </c>
      <c r="T238" s="8">
        <v>8874</v>
      </c>
      <c r="U238" s="8">
        <v>9717</v>
      </c>
      <c r="V238" s="8">
        <v>10936</v>
      </c>
      <c r="W238" s="8">
        <v>11876</v>
      </c>
      <c r="X238" s="8">
        <v>13989</v>
      </c>
      <c r="Y238" s="8">
        <v>12953</v>
      </c>
      <c r="Z238" s="8">
        <v>14537</v>
      </c>
      <c r="AA238" s="8">
        <v>14634</v>
      </c>
      <c r="AB238" s="8">
        <v>13955</v>
      </c>
      <c r="AC238" s="8">
        <v>14553</v>
      </c>
      <c r="AD238" s="8">
        <v>15500</v>
      </c>
      <c r="AE238" s="8">
        <v>16697</v>
      </c>
      <c r="AF238" s="8">
        <v>15900</v>
      </c>
      <c r="AG238" s="8">
        <v>15993</v>
      </c>
      <c r="AH238" s="8">
        <v>16345</v>
      </c>
      <c r="AI238" s="8">
        <v>16546</v>
      </c>
      <c r="AJ238" s="8">
        <v>16760</v>
      </c>
      <c r="AK238" s="8">
        <v>16165</v>
      </c>
      <c r="AL238" s="8">
        <v>16481</v>
      </c>
      <c r="AM238" s="8">
        <v>15976</v>
      </c>
      <c r="AN238" s="8">
        <v>15963</v>
      </c>
      <c r="AO238" s="8">
        <v>16422</v>
      </c>
      <c r="AP238" s="8">
        <v>16336</v>
      </c>
      <c r="AQ238" s="8">
        <v>16117</v>
      </c>
      <c r="AR238" s="8">
        <v>16340</v>
      </c>
      <c r="AS238" s="8">
        <v>16395</v>
      </c>
      <c r="AT238" s="8">
        <v>16863</v>
      </c>
      <c r="AU238" s="8">
        <v>16781</v>
      </c>
      <c r="AV238" s="8">
        <v>16485</v>
      </c>
      <c r="AW238" s="8">
        <v>16617</v>
      </c>
      <c r="AX238" s="8">
        <v>16713</v>
      </c>
      <c r="AY238" s="8">
        <v>16614</v>
      </c>
      <c r="AZ238" s="8">
        <v>16533</v>
      </c>
      <c r="BA238" s="8">
        <v>15979</v>
      </c>
      <c r="BB238" s="8">
        <v>16100</v>
      </c>
      <c r="BC238" s="15">
        <v>0</v>
      </c>
      <c r="BD238" s="21">
        <f t="shared" si="62"/>
        <v>0.20607932137807872</v>
      </c>
      <c r="BE238" s="21">
        <f t="shared" si="62"/>
        <v>0.18452315233952349</v>
      </c>
      <c r="BF238" s="21">
        <f t="shared" si="62"/>
        <v>0.16864094521757667</v>
      </c>
      <c r="BG238" s="21">
        <f t="shared" si="62"/>
        <v>0.2001888917141923</v>
      </c>
      <c r="BH238" s="21">
        <f t="shared" si="62"/>
        <v>0.17785668173014849</v>
      </c>
      <c r="BI238" s="21">
        <f t="shared" si="62"/>
        <v>0.17556677535086093</v>
      </c>
      <c r="BJ238" s="23">
        <f t="shared" si="50"/>
        <v>0.18453744959840057</v>
      </c>
    </row>
    <row r="239" spans="1:62" x14ac:dyDescent="0.25">
      <c r="A239" s="12"/>
      <c r="B239" s="2"/>
      <c r="C239" s="2" t="s">
        <v>8</v>
      </c>
      <c r="D239" s="4">
        <v>0</v>
      </c>
      <c r="E239" s="4">
        <v>0</v>
      </c>
      <c r="F239" s="4">
        <v>0</v>
      </c>
      <c r="G239" s="4">
        <v>0</v>
      </c>
      <c r="H239" s="4">
        <v>0</v>
      </c>
      <c r="I239" s="4">
        <v>0</v>
      </c>
      <c r="J239" s="4">
        <v>0</v>
      </c>
      <c r="K239" s="4">
        <v>0</v>
      </c>
      <c r="L239" s="4">
        <v>6</v>
      </c>
      <c r="M239" s="4">
        <v>3</v>
      </c>
      <c r="N239" s="4">
        <v>0</v>
      </c>
      <c r="O239" s="4">
        <v>0</v>
      </c>
      <c r="P239" s="4">
        <v>0</v>
      </c>
      <c r="Q239" s="4">
        <v>0</v>
      </c>
      <c r="R239" s="4">
        <v>0</v>
      </c>
      <c r="S239" s="4">
        <v>0</v>
      </c>
      <c r="T239" s="4">
        <v>0</v>
      </c>
      <c r="U239" s="4">
        <v>0</v>
      </c>
      <c r="V239" s="4">
        <v>0</v>
      </c>
      <c r="W239" s="4">
        <v>0</v>
      </c>
      <c r="X239" s="4">
        <v>0</v>
      </c>
      <c r="Y239" s="4">
        <v>0</v>
      </c>
      <c r="Z239" s="4">
        <v>0</v>
      </c>
      <c r="AA239" s="4">
        <v>0</v>
      </c>
      <c r="AB239" s="4">
        <v>0</v>
      </c>
      <c r="AC239" s="4">
        <v>0</v>
      </c>
      <c r="AD239" s="4">
        <v>0</v>
      </c>
      <c r="AE239" s="4">
        <v>0</v>
      </c>
      <c r="AF239" s="4">
        <v>0</v>
      </c>
      <c r="AG239" s="4">
        <v>0</v>
      </c>
      <c r="AH239" s="4">
        <v>0</v>
      </c>
      <c r="AI239" s="4">
        <v>0</v>
      </c>
      <c r="AJ239" s="4">
        <v>0</v>
      </c>
      <c r="AK239" s="4">
        <v>0</v>
      </c>
      <c r="AL239" s="4">
        <v>0</v>
      </c>
      <c r="AM239" s="4">
        <v>0</v>
      </c>
      <c r="AN239" s="4">
        <v>0</v>
      </c>
      <c r="AO239" s="4">
        <v>0</v>
      </c>
      <c r="AP239" s="4">
        <v>0</v>
      </c>
      <c r="AQ239" s="4">
        <v>0</v>
      </c>
      <c r="AR239" s="4">
        <v>0</v>
      </c>
      <c r="AS239" s="4">
        <v>0</v>
      </c>
      <c r="AT239" s="4">
        <v>0</v>
      </c>
      <c r="AU239" s="4">
        <v>0</v>
      </c>
      <c r="AV239" s="4">
        <v>0</v>
      </c>
      <c r="AW239" s="4">
        <v>6</v>
      </c>
      <c r="AX239" s="4">
        <v>2</v>
      </c>
      <c r="AY239" s="4">
        <v>0</v>
      </c>
      <c r="AZ239" s="4">
        <v>0</v>
      </c>
      <c r="BA239" s="4">
        <v>0</v>
      </c>
      <c r="BB239" s="4">
        <v>0</v>
      </c>
      <c r="BC239" s="13">
        <v>0</v>
      </c>
      <c r="BD239" s="20">
        <f t="shared" si="62"/>
        <v>7.400828892835997E-5</v>
      </c>
      <c r="BE239" s="20">
        <f t="shared" si="62"/>
        <v>2.1263701797845988E-5</v>
      </c>
      <c r="BF239" s="20">
        <f t="shared" si="62"/>
        <v>0</v>
      </c>
      <c r="BG239" s="20">
        <f t="shared" si="62"/>
        <v>0</v>
      </c>
      <c r="BH239" s="20">
        <f t="shared" si="62"/>
        <v>0</v>
      </c>
      <c r="BI239" s="20">
        <f t="shared" si="62"/>
        <v>0</v>
      </c>
      <c r="BJ239" s="23">
        <f t="shared" si="50"/>
        <v>0</v>
      </c>
    </row>
    <row r="240" spans="1:62" s="5" customFormat="1" x14ac:dyDescent="0.25">
      <c r="A240" s="14"/>
      <c r="B240" s="6"/>
      <c r="C240" s="6" t="s">
        <v>9</v>
      </c>
      <c r="D240" s="8">
        <v>1821</v>
      </c>
      <c r="E240" s="8">
        <v>2220</v>
      </c>
      <c r="F240" s="8">
        <v>2495</v>
      </c>
      <c r="G240" s="8">
        <v>3132</v>
      </c>
      <c r="H240" s="8">
        <v>3287</v>
      </c>
      <c r="I240" s="8">
        <v>2956</v>
      </c>
      <c r="J240" s="8">
        <v>3989</v>
      </c>
      <c r="K240" s="8">
        <v>4450</v>
      </c>
      <c r="L240" s="8">
        <v>5375</v>
      </c>
      <c r="M240" s="8">
        <v>5927</v>
      </c>
      <c r="N240" s="8">
        <v>5282</v>
      </c>
      <c r="O240" s="8">
        <v>5460</v>
      </c>
      <c r="P240" s="8">
        <v>6795</v>
      </c>
      <c r="Q240" s="8">
        <v>7825</v>
      </c>
      <c r="R240" s="8">
        <v>7415</v>
      </c>
      <c r="S240" s="8">
        <v>7925</v>
      </c>
      <c r="T240" s="8">
        <v>8764</v>
      </c>
      <c r="U240" s="8">
        <v>9674</v>
      </c>
      <c r="V240" s="8">
        <v>10730</v>
      </c>
      <c r="W240" s="8">
        <v>11795</v>
      </c>
      <c r="X240" s="8">
        <v>13679</v>
      </c>
      <c r="Y240" s="8">
        <v>13557</v>
      </c>
      <c r="Z240" s="8">
        <v>14224</v>
      </c>
      <c r="AA240" s="8">
        <v>14637</v>
      </c>
      <c r="AB240" s="8">
        <v>14192</v>
      </c>
      <c r="AC240" s="8">
        <v>14372</v>
      </c>
      <c r="AD240" s="8">
        <v>15505</v>
      </c>
      <c r="AE240" s="8">
        <v>16600</v>
      </c>
      <c r="AF240" s="8">
        <v>15950</v>
      </c>
      <c r="AG240" s="8">
        <v>15743</v>
      </c>
      <c r="AH240" s="8">
        <v>16379</v>
      </c>
      <c r="AI240" s="8">
        <v>16530</v>
      </c>
      <c r="AJ240" s="8">
        <v>16850</v>
      </c>
      <c r="AK240" s="8">
        <v>16450</v>
      </c>
      <c r="AL240" s="8">
        <v>16450</v>
      </c>
      <c r="AM240" s="8">
        <v>16100</v>
      </c>
      <c r="AN240" s="8">
        <v>16100</v>
      </c>
      <c r="AO240" s="8">
        <v>15900</v>
      </c>
      <c r="AP240" s="8">
        <v>16436</v>
      </c>
      <c r="AQ240" s="8">
        <v>16317</v>
      </c>
      <c r="AR240" s="8">
        <v>16200</v>
      </c>
      <c r="AS240" s="8">
        <v>16300</v>
      </c>
      <c r="AT240" s="8">
        <v>16800</v>
      </c>
      <c r="AU240" s="8">
        <v>17200</v>
      </c>
      <c r="AV240" s="8">
        <v>16500</v>
      </c>
      <c r="AW240" s="8">
        <v>16700</v>
      </c>
      <c r="AX240" s="8">
        <v>16500</v>
      </c>
      <c r="AY240" s="8">
        <v>16600</v>
      </c>
      <c r="AZ240" s="8">
        <v>16700</v>
      </c>
      <c r="BA240" s="8">
        <v>16000</v>
      </c>
      <c r="BB240" s="8">
        <v>16100</v>
      </c>
      <c r="BC240" s="15">
        <v>0</v>
      </c>
      <c r="BD240" s="21">
        <f t="shared" si="62"/>
        <v>2.365529559912348E-2</v>
      </c>
      <c r="BE240" s="21">
        <f t="shared" si="62"/>
        <v>2.2767664948282904E-2</v>
      </c>
      <c r="BF240" s="21">
        <f t="shared" si="62"/>
        <v>2.1495768829840271E-2</v>
      </c>
      <c r="BG240" s="21">
        <f t="shared" si="62"/>
        <v>2.1406277038242889E-2</v>
      </c>
      <c r="BH240" s="21">
        <f t="shared" si="62"/>
        <v>1.9788436874267984E-2</v>
      </c>
      <c r="BI240" s="21">
        <f t="shared" si="62"/>
        <v>1.9184412247996063E-2</v>
      </c>
      <c r="BJ240" s="23">
        <f t="shared" si="50"/>
        <v>2.0126375386835645E-2</v>
      </c>
    </row>
    <row r="241" spans="1:62" x14ac:dyDescent="0.25">
      <c r="A241" s="12"/>
      <c r="B241" s="2" t="s">
        <v>10</v>
      </c>
      <c r="C241" s="2" t="s">
        <v>7</v>
      </c>
      <c r="D241" s="3">
        <v>3535</v>
      </c>
      <c r="E241" s="3">
        <v>2843</v>
      </c>
      <c r="F241" s="3">
        <v>3070</v>
      </c>
      <c r="G241" s="3">
        <v>3167</v>
      </c>
      <c r="H241" s="3">
        <v>3416</v>
      </c>
      <c r="I241" s="3">
        <v>3078</v>
      </c>
      <c r="J241" s="3">
        <v>3556</v>
      </c>
      <c r="K241" s="3">
        <v>3499</v>
      </c>
      <c r="L241" s="3">
        <v>3131</v>
      </c>
      <c r="M241" s="3">
        <v>3448</v>
      </c>
      <c r="N241" s="3">
        <v>3669</v>
      </c>
      <c r="O241" s="3">
        <v>3555</v>
      </c>
      <c r="P241" s="3">
        <v>3883</v>
      </c>
      <c r="Q241" s="3">
        <v>3728</v>
      </c>
      <c r="R241" s="3">
        <v>3228</v>
      </c>
      <c r="S241" s="3">
        <v>3220</v>
      </c>
      <c r="T241" s="3">
        <v>3037</v>
      </c>
      <c r="U241" s="3">
        <v>3150</v>
      </c>
      <c r="V241" s="3">
        <v>3382</v>
      </c>
      <c r="W241" s="3">
        <v>3336</v>
      </c>
      <c r="X241" s="3">
        <v>3207</v>
      </c>
      <c r="Y241" s="3">
        <v>3504</v>
      </c>
      <c r="Z241" s="3">
        <v>3137</v>
      </c>
      <c r="AA241" s="3">
        <v>3338</v>
      </c>
      <c r="AB241" s="3">
        <v>3125</v>
      </c>
      <c r="AC241" s="3">
        <v>3054</v>
      </c>
      <c r="AD241" s="3">
        <v>3688</v>
      </c>
      <c r="AE241" s="3">
        <v>3431</v>
      </c>
      <c r="AF241" s="3">
        <v>3491</v>
      </c>
      <c r="AG241" s="3">
        <v>3165</v>
      </c>
      <c r="AH241" s="3">
        <v>2949</v>
      </c>
      <c r="AI241" s="3">
        <v>2705</v>
      </c>
      <c r="AJ241" s="3">
        <v>2228</v>
      </c>
      <c r="AK241" s="3">
        <v>1993</v>
      </c>
      <c r="AL241" s="3">
        <v>1650</v>
      </c>
      <c r="AM241" s="3">
        <v>1514</v>
      </c>
      <c r="AN241" s="3">
        <v>1342</v>
      </c>
      <c r="AO241" s="3">
        <v>1341</v>
      </c>
      <c r="AP241" s="3">
        <v>1263</v>
      </c>
      <c r="AQ241" s="3">
        <v>1280</v>
      </c>
      <c r="AR241" s="3">
        <v>1138</v>
      </c>
      <c r="AS241" s="3">
        <v>1063</v>
      </c>
      <c r="AT241" s="3">
        <v>1013</v>
      </c>
      <c r="AU241" s="4">
        <v>778</v>
      </c>
      <c r="AV241" s="4">
        <v>815</v>
      </c>
      <c r="AW241" s="4">
        <v>651</v>
      </c>
      <c r="AX241" s="4">
        <v>610</v>
      </c>
      <c r="AY241" s="4">
        <v>581</v>
      </c>
      <c r="AZ241" s="4">
        <v>430</v>
      </c>
      <c r="BA241" s="4">
        <v>304</v>
      </c>
      <c r="BB241" s="4">
        <v>325</v>
      </c>
      <c r="BC241" s="13">
        <v>0</v>
      </c>
      <c r="BD241" s="20">
        <f t="shared" ref="BD241:BI251" si="63">AW241/AW552</f>
        <v>1.4540662482410489E-2</v>
      </c>
      <c r="BE241" s="20">
        <f t="shared" si="63"/>
        <v>1.604039022850982E-2</v>
      </c>
      <c r="BF241" s="20">
        <f t="shared" si="63"/>
        <v>1.491311378628815E-2</v>
      </c>
      <c r="BG241" s="20">
        <f t="shared" si="63"/>
        <v>1.4265335235378032E-2</v>
      </c>
      <c r="BH241" s="20">
        <f t="shared" si="63"/>
        <v>8.4061497621944481E-3</v>
      </c>
      <c r="BI241" s="20">
        <f t="shared" si="63"/>
        <v>8.5239194292908091E-3</v>
      </c>
      <c r="BJ241" s="23">
        <f t="shared" si="50"/>
        <v>1.0398468142287764E-2</v>
      </c>
    </row>
    <row r="242" spans="1:62" s="5" customFormat="1" x14ac:dyDescent="0.25">
      <c r="A242" s="14"/>
      <c r="B242" s="6"/>
      <c r="C242" s="6" t="s">
        <v>8</v>
      </c>
      <c r="D242" s="7">
        <v>0</v>
      </c>
      <c r="E242" s="7">
        <v>0</v>
      </c>
      <c r="F242" s="7">
        <v>0</v>
      </c>
      <c r="G242" s="7">
        <v>0</v>
      </c>
      <c r="H242" s="7">
        <v>0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7">
        <v>165</v>
      </c>
      <c r="R242" s="7">
        <v>243</v>
      </c>
      <c r="S242" s="7">
        <v>250</v>
      </c>
      <c r="T242" s="7">
        <v>52</v>
      </c>
      <c r="U242" s="7">
        <v>32</v>
      </c>
      <c r="V242" s="7">
        <v>32</v>
      </c>
      <c r="W242" s="7">
        <v>32</v>
      </c>
      <c r="X242" s="7">
        <v>0</v>
      </c>
      <c r="Y242" s="7">
        <v>0</v>
      </c>
      <c r="Z242" s="7">
        <v>0</v>
      </c>
      <c r="AA242" s="7">
        <v>0</v>
      </c>
      <c r="AB242" s="7">
        <v>0</v>
      </c>
      <c r="AC242" s="7">
        <v>0</v>
      </c>
      <c r="AD242" s="7">
        <v>0</v>
      </c>
      <c r="AE242" s="7">
        <v>0</v>
      </c>
      <c r="AF242" s="7">
        <v>0</v>
      </c>
      <c r="AG242" s="7">
        <v>0</v>
      </c>
      <c r="AH242" s="7">
        <v>0</v>
      </c>
      <c r="AI242" s="7">
        <v>0</v>
      </c>
      <c r="AJ242" s="7">
        <v>0</v>
      </c>
      <c r="AK242" s="7">
        <v>0</v>
      </c>
      <c r="AL242" s="7">
        <v>0</v>
      </c>
      <c r="AM242" s="7">
        <v>0</v>
      </c>
      <c r="AN242" s="7">
        <v>0</v>
      </c>
      <c r="AO242" s="7">
        <v>0</v>
      </c>
      <c r="AP242" s="7">
        <v>0</v>
      </c>
      <c r="AQ242" s="7">
        <v>0</v>
      </c>
      <c r="AR242" s="7">
        <v>0</v>
      </c>
      <c r="AS242" s="7">
        <v>0</v>
      </c>
      <c r="AT242" s="7">
        <v>0</v>
      </c>
      <c r="AU242" s="7">
        <v>0</v>
      </c>
      <c r="AV242" s="7">
        <v>0</v>
      </c>
      <c r="AW242" s="7">
        <v>0</v>
      </c>
      <c r="AX242" s="7">
        <v>0</v>
      </c>
      <c r="AY242" s="7">
        <v>0</v>
      </c>
      <c r="AZ242" s="7">
        <v>0</v>
      </c>
      <c r="BA242" s="7">
        <v>0</v>
      </c>
      <c r="BB242" s="7">
        <v>0</v>
      </c>
      <c r="BC242" s="15">
        <v>0</v>
      </c>
      <c r="BD242" s="21">
        <f t="shared" si="63"/>
        <v>0</v>
      </c>
      <c r="BE242" s="21">
        <f t="shared" si="63"/>
        <v>0</v>
      </c>
      <c r="BF242" s="21">
        <f t="shared" si="63"/>
        <v>0</v>
      </c>
      <c r="BG242" s="21">
        <f t="shared" si="63"/>
        <v>0</v>
      </c>
      <c r="BH242" s="21">
        <f t="shared" si="63"/>
        <v>0</v>
      </c>
      <c r="BI242" s="21">
        <f t="shared" si="63"/>
        <v>0</v>
      </c>
      <c r="BJ242" s="23">
        <f t="shared" si="50"/>
        <v>0</v>
      </c>
    </row>
    <row r="243" spans="1:62" x14ac:dyDescent="0.25">
      <c r="A243" s="12"/>
      <c r="B243" s="2"/>
      <c r="C243" s="2" t="s">
        <v>9</v>
      </c>
      <c r="D243" s="3">
        <v>3428</v>
      </c>
      <c r="E243" s="3">
        <v>3270</v>
      </c>
      <c r="F243" s="3">
        <v>3005</v>
      </c>
      <c r="G243" s="3">
        <v>3147</v>
      </c>
      <c r="H243" s="3">
        <v>3386</v>
      </c>
      <c r="I243" s="3">
        <v>3200</v>
      </c>
      <c r="J243" s="3">
        <v>3241</v>
      </c>
      <c r="K243" s="3">
        <v>3339</v>
      </c>
      <c r="L243" s="3">
        <v>3463</v>
      </c>
      <c r="M243" s="3">
        <v>3362</v>
      </c>
      <c r="N243" s="3">
        <v>3541</v>
      </c>
      <c r="O243" s="3">
        <v>3596</v>
      </c>
      <c r="P243" s="3">
        <v>3707</v>
      </c>
      <c r="Q243" s="3">
        <v>3642</v>
      </c>
      <c r="R243" s="3">
        <v>2902</v>
      </c>
      <c r="S243" s="3">
        <v>3190</v>
      </c>
      <c r="T243" s="3">
        <v>3141</v>
      </c>
      <c r="U243" s="3">
        <v>3100</v>
      </c>
      <c r="V243" s="3">
        <v>3325</v>
      </c>
      <c r="W243" s="3">
        <v>3371</v>
      </c>
      <c r="X243" s="3">
        <v>3295</v>
      </c>
      <c r="Y243" s="3">
        <v>3426</v>
      </c>
      <c r="Z243" s="3">
        <v>3290</v>
      </c>
      <c r="AA243" s="3">
        <v>3300</v>
      </c>
      <c r="AB243" s="3">
        <v>3187</v>
      </c>
      <c r="AC243" s="3">
        <v>3146</v>
      </c>
      <c r="AD243" s="3">
        <v>3445</v>
      </c>
      <c r="AE243" s="3">
        <v>3477</v>
      </c>
      <c r="AF243" s="3">
        <v>3408</v>
      </c>
      <c r="AG243" s="3">
        <v>3229</v>
      </c>
      <c r="AH243" s="3">
        <v>3027</v>
      </c>
      <c r="AI243" s="3">
        <v>2783</v>
      </c>
      <c r="AJ243" s="3">
        <v>2301</v>
      </c>
      <c r="AK243" s="3">
        <v>2071</v>
      </c>
      <c r="AL243" s="3">
        <v>1675</v>
      </c>
      <c r="AM243" s="3">
        <v>1529</v>
      </c>
      <c r="AN243" s="3">
        <v>1401</v>
      </c>
      <c r="AO243" s="3">
        <v>1400</v>
      </c>
      <c r="AP243" s="3">
        <v>1250</v>
      </c>
      <c r="AQ243" s="3">
        <v>1320</v>
      </c>
      <c r="AR243" s="3">
        <v>1190</v>
      </c>
      <c r="AS243" s="3">
        <v>1050</v>
      </c>
      <c r="AT243" s="3">
        <v>1025</v>
      </c>
      <c r="AU243" s="4">
        <v>825</v>
      </c>
      <c r="AV243" s="4">
        <v>815</v>
      </c>
      <c r="AW243" s="4">
        <v>685</v>
      </c>
      <c r="AX243" s="4">
        <v>625</v>
      </c>
      <c r="AY243" s="4">
        <v>585</v>
      </c>
      <c r="AZ243" s="4">
        <v>450</v>
      </c>
      <c r="BA243" s="4">
        <v>320</v>
      </c>
      <c r="BB243" s="4">
        <v>325</v>
      </c>
      <c r="BC243" s="13">
        <v>0</v>
      </c>
      <c r="BD243" s="20">
        <f t="shared" si="63"/>
        <v>5.9545541473252318E-3</v>
      </c>
      <c r="BE243" s="20">
        <f t="shared" si="63"/>
        <v>5.1235387667437245E-3</v>
      </c>
      <c r="BF243" s="20">
        <f t="shared" si="63"/>
        <v>4.8277284918506295E-3</v>
      </c>
      <c r="BG243" s="20">
        <f t="shared" si="63"/>
        <v>4.1902952761404587E-3</v>
      </c>
      <c r="BH243" s="20">
        <f t="shared" si="63"/>
        <v>2.7015390330178725E-3</v>
      </c>
      <c r="BI243" s="20">
        <f t="shared" si="63"/>
        <v>2.7784189513819428E-3</v>
      </c>
      <c r="BJ243" s="23">
        <f t="shared" si="50"/>
        <v>3.2234177535134245E-3</v>
      </c>
    </row>
    <row r="244" spans="1:62" s="5" customFormat="1" x14ac:dyDescent="0.25">
      <c r="A244" s="14"/>
      <c r="B244" s="6" t="s">
        <v>11</v>
      </c>
      <c r="C244" s="6" t="s">
        <v>6</v>
      </c>
      <c r="D244" s="7">
        <v>0</v>
      </c>
      <c r="E244" s="7">
        <v>0</v>
      </c>
      <c r="F244" s="7">
        <v>0</v>
      </c>
      <c r="G244" s="7">
        <v>0</v>
      </c>
      <c r="H244" s="7">
        <v>240</v>
      </c>
      <c r="I244" s="7">
        <v>230</v>
      </c>
      <c r="J244" s="7">
        <v>199</v>
      </c>
      <c r="K244" s="7">
        <v>190</v>
      </c>
      <c r="L244" s="7">
        <v>168</v>
      </c>
      <c r="M244" s="7">
        <v>136</v>
      </c>
      <c r="N244" s="7">
        <v>126</v>
      </c>
      <c r="O244" s="7">
        <v>122</v>
      </c>
      <c r="P244" s="7">
        <v>127</v>
      </c>
      <c r="Q244" s="7">
        <v>118</v>
      </c>
      <c r="R244" s="7">
        <v>133</v>
      </c>
      <c r="S244" s="7">
        <v>126</v>
      </c>
      <c r="T244" s="7">
        <v>110</v>
      </c>
      <c r="U244" s="7">
        <v>111</v>
      </c>
      <c r="V244" s="7">
        <v>190</v>
      </c>
      <c r="W244" s="7">
        <v>192</v>
      </c>
      <c r="X244" s="7">
        <v>174</v>
      </c>
      <c r="Y244" s="7">
        <v>212</v>
      </c>
      <c r="Z244" s="7">
        <v>226</v>
      </c>
      <c r="AA244" s="7">
        <v>217</v>
      </c>
      <c r="AB244" s="7">
        <v>238</v>
      </c>
      <c r="AC244" s="7">
        <v>228</v>
      </c>
      <c r="AD244" s="7">
        <v>245</v>
      </c>
      <c r="AE244" s="7">
        <v>287</v>
      </c>
      <c r="AF244" s="7">
        <v>277</v>
      </c>
      <c r="AG244" s="7">
        <v>272</v>
      </c>
      <c r="AH244" s="7">
        <v>220</v>
      </c>
      <c r="AI244" s="7">
        <v>197</v>
      </c>
      <c r="AJ244" s="7">
        <v>188</v>
      </c>
      <c r="AK244" s="7">
        <v>101</v>
      </c>
      <c r="AL244" s="7">
        <v>99</v>
      </c>
      <c r="AM244" s="7">
        <v>119</v>
      </c>
      <c r="AN244" s="7">
        <v>148</v>
      </c>
      <c r="AO244" s="7">
        <v>145</v>
      </c>
      <c r="AP244" s="7">
        <v>158</v>
      </c>
      <c r="AQ244" s="7">
        <v>187</v>
      </c>
      <c r="AR244" s="7">
        <v>235</v>
      </c>
      <c r="AS244" s="7">
        <v>271</v>
      </c>
      <c r="AT244" s="7">
        <v>270</v>
      </c>
      <c r="AU244" s="7">
        <v>232</v>
      </c>
      <c r="AV244" s="7">
        <v>163</v>
      </c>
      <c r="AW244" s="7">
        <v>226</v>
      </c>
      <c r="AX244" s="7">
        <v>225</v>
      </c>
      <c r="AY244" s="7">
        <v>225</v>
      </c>
      <c r="AZ244" s="7">
        <v>262</v>
      </c>
      <c r="BA244" s="7">
        <v>227</v>
      </c>
      <c r="BB244" s="7">
        <v>225</v>
      </c>
      <c r="BC244" s="15">
        <v>0</v>
      </c>
      <c r="BD244" s="21">
        <f t="shared" si="63"/>
        <v>1.024176919765255E-3</v>
      </c>
      <c r="BE244" s="21">
        <f t="shared" si="63"/>
        <v>9.5244948842879704E-4</v>
      </c>
      <c r="BF244" s="21">
        <f t="shared" si="63"/>
        <v>1.0208711433756805E-3</v>
      </c>
      <c r="BG244" s="21">
        <f t="shared" si="63"/>
        <v>1.2361289348531742E-3</v>
      </c>
      <c r="BH244" s="21">
        <f t="shared" si="63"/>
        <v>8.7233208568068799E-4</v>
      </c>
      <c r="BI244" s="21">
        <f t="shared" si="63"/>
        <v>8.6216145793418446E-4</v>
      </c>
      <c r="BJ244" s="23">
        <f t="shared" si="50"/>
        <v>9.9020749282268208E-4</v>
      </c>
    </row>
    <row r="245" spans="1:62" x14ac:dyDescent="0.25">
      <c r="A245" s="12"/>
      <c r="B245" s="2"/>
      <c r="C245" s="2" t="s">
        <v>7</v>
      </c>
      <c r="D245" s="4">
        <v>0</v>
      </c>
      <c r="E245" s="4">
        <v>0</v>
      </c>
      <c r="F245" s="4">
        <v>0</v>
      </c>
      <c r="G245" s="4">
        <v>0</v>
      </c>
      <c r="H245" s="3">
        <v>1864</v>
      </c>
      <c r="I245" s="3">
        <v>2178</v>
      </c>
      <c r="J245" s="3">
        <v>2183</v>
      </c>
      <c r="K245" s="3">
        <v>2435</v>
      </c>
      <c r="L245" s="3">
        <v>2604</v>
      </c>
      <c r="M245" s="3">
        <v>3257</v>
      </c>
      <c r="N245" s="3">
        <v>3226</v>
      </c>
      <c r="O245" s="3">
        <v>3396</v>
      </c>
      <c r="P245" s="3">
        <v>3635</v>
      </c>
      <c r="Q245" s="3">
        <v>3244</v>
      </c>
      <c r="R245" s="3">
        <v>3334</v>
      </c>
      <c r="S245" s="3">
        <v>3554</v>
      </c>
      <c r="T245" s="3">
        <v>3602</v>
      </c>
      <c r="U245" s="3">
        <v>4260</v>
      </c>
      <c r="V245" s="3">
        <v>4132</v>
      </c>
      <c r="W245" s="3">
        <v>4165</v>
      </c>
      <c r="X245" s="3">
        <v>4213</v>
      </c>
      <c r="Y245" s="3">
        <v>4486</v>
      </c>
      <c r="Z245" s="3">
        <v>4871</v>
      </c>
      <c r="AA245" s="3">
        <v>4728</v>
      </c>
      <c r="AB245" s="3">
        <v>4611</v>
      </c>
      <c r="AC245" s="3">
        <v>4796</v>
      </c>
      <c r="AD245" s="3">
        <v>4866</v>
      </c>
      <c r="AE245" s="3">
        <v>4847</v>
      </c>
      <c r="AF245" s="3">
        <v>4286</v>
      </c>
      <c r="AG245" s="3">
        <v>4667</v>
      </c>
      <c r="AH245" s="3">
        <v>4375</v>
      </c>
      <c r="AI245" s="3">
        <v>4672</v>
      </c>
      <c r="AJ245" s="3">
        <v>4866</v>
      </c>
      <c r="AK245" s="3">
        <v>4855</v>
      </c>
      <c r="AL245" s="3">
        <v>4837</v>
      </c>
      <c r="AM245" s="3">
        <v>4776</v>
      </c>
      <c r="AN245" s="3">
        <v>5043</v>
      </c>
      <c r="AO245" s="3">
        <v>4873</v>
      </c>
      <c r="AP245" s="3">
        <v>4807</v>
      </c>
      <c r="AQ245" s="3">
        <v>4907</v>
      </c>
      <c r="AR245" s="3">
        <v>4767</v>
      </c>
      <c r="AS245" s="3">
        <v>5023</v>
      </c>
      <c r="AT245" s="3">
        <v>5087</v>
      </c>
      <c r="AU245" s="3">
        <v>4688</v>
      </c>
      <c r="AV245" s="3">
        <v>4295</v>
      </c>
      <c r="AW245" s="3">
        <v>3962</v>
      </c>
      <c r="AX245" s="3">
        <v>4094</v>
      </c>
      <c r="AY245" s="3">
        <v>4014</v>
      </c>
      <c r="AZ245" s="3">
        <v>3396</v>
      </c>
      <c r="BA245" s="3">
        <v>3401</v>
      </c>
      <c r="BB245" s="3">
        <v>3450</v>
      </c>
      <c r="BC245" s="13">
        <v>0</v>
      </c>
      <c r="BD245" s="20">
        <f t="shared" si="63"/>
        <v>6.1781721218169626E-2</v>
      </c>
      <c r="BE245" s="20">
        <f t="shared" si="63"/>
        <v>5.9279208838307056E-2</v>
      </c>
      <c r="BF245" s="20">
        <f t="shared" si="63"/>
        <v>5.1388408802857471E-2</v>
      </c>
      <c r="BG245" s="20">
        <f t="shared" si="63"/>
        <v>4.388957816377171E-2</v>
      </c>
      <c r="BH245" s="20">
        <f t="shared" si="63"/>
        <v>3.9220434757539065E-2</v>
      </c>
      <c r="BI245" s="20">
        <f t="shared" si="63"/>
        <v>3.6174897766593266E-2</v>
      </c>
      <c r="BJ245" s="23">
        <f t="shared" si="50"/>
        <v>3.9761636895968011E-2</v>
      </c>
    </row>
    <row r="246" spans="1:62" s="5" customFormat="1" x14ac:dyDescent="0.25">
      <c r="A246" s="14"/>
      <c r="B246" s="6"/>
      <c r="C246" s="6" t="s">
        <v>8</v>
      </c>
      <c r="D246" s="7">
        <v>0</v>
      </c>
      <c r="E246" s="7">
        <v>0</v>
      </c>
      <c r="F246" s="7">
        <v>0</v>
      </c>
      <c r="G246" s="7">
        <v>0</v>
      </c>
      <c r="H246" s="7">
        <v>0</v>
      </c>
      <c r="I246" s="7">
        <v>4</v>
      </c>
      <c r="J246" s="7">
        <v>1</v>
      </c>
      <c r="K246" s="7">
        <v>1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  <c r="Q246" s="7">
        <v>0</v>
      </c>
      <c r="R246" s="7">
        <v>0</v>
      </c>
      <c r="S246" s="7">
        <v>0</v>
      </c>
      <c r="T246" s="7">
        <v>0</v>
      </c>
      <c r="U246" s="7">
        <v>0</v>
      </c>
      <c r="V246" s="7">
        <v>20</v>
      </c>
      <c r="W246" s="7">
        <v>0</v>
      </c>
      <c r="X246" s="7">
        <v>0</v>
      </c>
      <c r="Y246" s="7">
        <v>0</v>
      </c>
      <c r="Z246" s="7">
        <v>0</v>
      </c>
      <c r="AA246" s="7">
        <v>0</v>
      </c>
      <c r="AB246" s="7">
        <v>0</v>
      </c>
      <c r="AC246" s="7">
        <v>0</v>
      </c>
      <c r="AD246" s="7">
        <v>0</v>
      </c>
      <c r="AE246" s="7">
        <v>0</v>
      </c>
      <c r="AF246" s="7">
        <v>0</v>
      </c>
      <c r="AG246" s="7">
        <v>0</v>
      </c>
      <c r="AH246" s="7">
        <v>0</v>
      </c>
      <c r="AI246" s="7">
        <v>0</v>
      </c>
      <c r="AJ246" s="7">
        <v>0</v>
      </c>
      <c r="AK246" s="7">
        <v>0</v>
      </c>
      <c r="AL246" s="7">
        <v>0</v>
      </c>
      <c r="AM246" s="7">
        <v>0</v>
      </c>
      <c r="AN246" s="7">
        <v>0</v>
      </c>
      <c r="AO246" s="7">
        <v>0</v>
      </c>
      <c r="AP246" s="7">
        <v>0</v>
      </c>
      <c r="AQ246" s="7">
        <v>0</v>
      </c>
      <c r="AR246" s="7">
        <v>0</v>
      </c>
      <c r="AS246" s="7">
        <v>0</v>
      </c>
      <c r="AT246" s="7">
        <v>0</v>
      </c>
      <c r="AU246" s="7">
        <v>0</v>
      </c>
      <c r="AV246" s="7">
        <v>0</v>
      </c>
      <c r="AW246" s="7">
        <v>0</v>
      </c>
      <c r="AX246" s="7">
        <v>7</v>
      </c>
      <c r="AY246" s="7">
        <v>5</v>
      </c>
      <c r="AZ246" s="7">
        <v>0</v>
      </c>
      <c r="BA246" s="7">
        <v>0</v>
      </c>
      <c r="BB246" s="7">
        <v>0</v>
      </c>
      <c r="BC246" s="15">
        <v>0</v>
      </c>
      <c r="BD246" s="21">
        <f t="shared" si="63"/>
        <v>0</v>
      </c>
      <c r="BE246" s="21">
        <f t="shared" si="63"/>
        <v>9.878494517435543E-5</v>
      </c>
      <c r="BF246" s="21">
        <f t="shared" si="63"/>
        <v>6.3471913678197394E-5</v>
      </c>
      <c r="BG246" s="21">
        <f t="shared" si="63"/>
        <v>0</v>
      </c>
      <c r="BH246" s="21">
        <f t="shared" si="63"/>
        <v>0</v>
      </c>
      <c r="BI246" s="21">
        <f t="shared" si="63"/>
        <v>0</v>
      </c>
      <c r="BJ246" s="23">
        <f t="shared" si="50"/>
        <v>0</v>
      </c>
    </row>
    <row r="247" spans="1:62" x14ac:dyDescent="0.25">
      <c r="A247" s="12"/>
      <c r="B247" s="2"/>
      <c r="C247" s="2" t="s">
        <v>9</v>
      </c>
      <c r="D247" s="4">
        <v>0</v>
      </c>
      <c r="E247" s="4">
        <v>0</v>
      </c>
      <c r="F247" s="4">
        <v>0</v>
      </c>
      <c r="G247" s="4">
        <v>0</v>
      </c>
      <c r="H247" s="3">
        <v>2016</v>
      </c>
      <c r="I247" s="3">
        <v>2345</v>
      </c>
      <c r="J247" s="3">
        <v>2403</v>
      </c>
      <c r="K247" s="3">
        <v>2630</v>
      </c>
      <c r="L247" s="3">
        <v>2844</v>
      </c>
      <c r="M247" s="3">
        <v>3318</v>
      </c>
      <c r="N247" s="3">
        <v>3354</v>
      </c>
      <c r="O247" s="3">
        <v>3491</v>
      </c>
      <c r="P247" s="3">
        <v>3639</v>
      </c>
      <c r="Q247" s="3">
        <v>3543</v>
      </c>
      <c r="R247" s="3">
        <v>3439</v>
      </c>
      <c r="S247" s="3">
        <v>3568</v>
      </c>
      <c r="T247" s="3">
        <v>3733</v>
      </c>
      <c r="U247" s="3">
        <v>4111</v>
      </c>
      <c r="V247" s="3">
        <v>4333</v>
      </c>
      <c r="W247" s="3">
        <v>4410</v>
      </c>
      <c r="X247" s="3">
        <v>4407</v>
      </c>
      <c r="Y247" s="3">
        <v>4514</v>
      </c>
      <c r="Z247" s="3">
        <v>4936</v>
      </c>
      <c r="AA247" s="3">
        <v>4922</v>
      </c>
      <c r="AB247" s="3">
        <v>4918</v>
      </c>
      <c r="AC247" s="3">
        <v>5057</v>
      </c>
      <c r="AD247" s="3">
        <v>4994</v>
      </c>
      <c r="AE247" s="3">
        <v>5034</v>
      </c>
      <c r="AF247" s="3">
        <v>4724</v>
      </c>
      <c r="AG247" s="3">
        <v>4968</v>
      </c>
      <c r="AH247" s="3">
        <v>4624</v>
      </c>
      <c r="AI247" s="3">
        <v>4834</v>
      </c>
      <c r="AJ247" s="3">
        <v>5075</v>
      </c>
      <c r="AK247" s="3">
        <v>5008</v>
      </c>
      <c r="AL247" s="3">
        <v>5035</v>
      </c>
      <c r="AM247" s="3">
        <v>4965</v>
      </c>
      <c r="AN247" s="3">
        <v>5108</v>
      </c>
      <c r="AO247" s="3">
        <v>5020</v>
      </c>
      <c r="AP247" s="3">
        <v>4980</v>
      </c>
      <c r="AQ247" s="3">
        <v>5050</v>
      </c>
      <c r="AR247" s="3">
        <v>5075</v>
      </c>
      <c r="AS247" s="3">
        <v>5213</v>
      </c>
      <c r="AT247" s="3">
        <v>5717</v>
      </c>
      <c r="AU247" s="3">
        <v>4931</v>
      </c>
      <c r="AV247" s="3">
        <v>4499</v>
      </c>
      <c r="AW247" s="3">
        <v>4190</v>
      </c>
      <c r="AX247" s="3">
        <v>4310</v>
      </c>
      <c r="AY247" s="3">
        <v>4218</v>
      </c>
      <c r="AZ247" s="3">
        <v>3752</v>
      </c>
      <c r="BA247" s="3">
        <v>3719</v>
      </c>
      <c r="BB247" s="3">
        <v>3692</v>
      </c>
      <c r="BC247" s="13">
        <v>0</v>
      </c>
      <c r="BD247" s="20">
        <f t="shared" si="63"/>
        <v>1.9385942184550468E-2</v>
      </c>
      <c r="BE247" s="20">
        <f t="shared" si="63"/>
        <v>1.9106642550625955E-2</v>
      </c>
      <c r="BF247" s="20">
        <f t="shared" si="63"/>
        <v>1.8295539323698318E-2</v>
      </c>
      <c r="BG247" s="20">
        <f t="shared" si="63"/>
        <v>1.6951526405436054E-2</v>
      </c>
      <c r="BH247" s="20">
        <f t="shared" si="63"/>
        <v>1.5628414382007363E-2</v>
      </c>
      <c r="BI247" s="20">
        <f t="shared" si="63"/>
        <v>1.4434730932236524E-2</v>
      </c>
      <c r="BJ247" s="23">
        <f t="shared" si="50"/>
        <v>1.5671557239893313E-2</v>
      </c>
    </row>
    <row r="248" spans="1:62" s="5" customFormat="1" x14ac:dyDescent="0.25">
      <c r="A248" s="14"/>
      <c r="B248" s="6" t="s">
        <v>12</v>
      </c>
      <c r="C248" s="6" t="s">
        <v>6</v>
      </c>
      <c r="D248" s="8">
        <v>11700</v>
      </c>
      <c r="E248" s="8">
        <v>11301</v>
      </c>
      <c r="F248" s="8">
        <v>11838</v>
      </c>
      <c r="G248" s="8">
        <v>11659</v>
      </c>
      <c r="H248" s="8">
        <v>11451</v>
      </c>
      <c r="I248" s="8">
        <v>11292</v>
      </c>
      <c r="J248" s="8">
        <v>11598</v>
      </c>
      <c r="K248" s="8">
        <v>13152</v>
      </c>
      <c r="L248" s="8">
        <v>13148</v>
      </c>
      <c r="M248" s="8">
        <v>12743</v>
      </c>
      <c r="N248" s="8">
        <v>11547</v>
      </c>
      <c r="O248" s="8">
        <v>9907</v>
      </c>
      <c r="P248" s="8">
        <v>10819</v>
      </c>
      <c r="Q248" s="8">
        <v>11056</v>
      </c>
      <c r="R248" s="8">
        <v>11186</v>
      </c>
      <c r="S248" s="8">
        <v>11980</v>
      </c>
      <c r="T248" s="8">
        <v>10713</v>
      </c>
      <c r="U248" s="8">
        <v>11916</v>
      </c>
      <c r="V248" s="8">
        <v>11456</v>
      </c>
      <c r="W248" s="8">
        <v>10882</v>
      </c>
      <c r="X248" s="8">
        <v>8873</v>
      </c>
      <c r="Y248" s="8">
        <v>9337</v>
      </c>
      <c r="Z248" s="8">
        <v>9346</v>
      </c>
      <c r="AA248" s="8">
        <v>9433</v>
      </c>
      <c r="AB248" s="8">
        <v>10809</v>
      </c>
      <c r="AC248" s="8">
        <v>10612</v>
      </c>
      <c r="AD248" s="8">
        <v>10599</v>
      </c>
      <c r="AE248" s="8">
        <v>9671</v>
      </c>
      <c r="AF248" s="8">
        <v>9041</v>
      </c>
      <c r="AG248" s="8">
        <v>9416</v>
      </c>
      <c r="AH248" s="8">
        <v>9554</v>
      </c>
      <c r="AI248" s="8">
        <v>8740</v>
      </c>
      <c r="AJ248" s="8">
        <v>9621</v>
      </c>
      <c r="AK248" s="8">
        <v>7129</v>
      </c>
      <c r="AL248" s="8">
        <v>10903</v>
      </c>
      <c r="AM248" s="8">
        <v>9781</v>
      </c>
      <c r="AN248" s="8">
        <v>9413</v>
      </c>
      <c r="AO248" s="8">
        <v>9123</v>
      </c>
      <c r="AP248" s="8">
        <v>8154</v>
      </c>
      <c r="AQ248" s="8">
        <v>8350</v>
      </c>
      <c r="AR248" s="8">
        <v>8636</v>
      </c>
      <c r="AS248" s="8">
        <v>8242</v>
      </c>
      <c r="AT248" s="8">
        <v>8089</v>
      </c>
      <c r="AU248" s="8">
        <v>7091</v>
      </c>
      <c r="AV248" s="8">
        <v>7944</v>
      </c>
      <c r="AW248" s="8">
        <v>8257</v>
      </c>
      <c r="AX248" s="8">
        <v>7786</v>
      </c>
      <c r="AY248" s="8">
        <v>7930</v>
      </c>
      <c r="AZ248" s="8">
        <v>8029</v>
      </c>
      <c r="BA248" s="8">
        <v>7711</v>
      </c>
      <c r="BB248" s="8">
        <v>7720</v>
      </c>
      <c r="BC248" s="15">
        <v>0</v>
      </c>
      <c r="BD248" s="21">
        <f t="shared" si="63"/>
        <v>1.9725086239023037E-2</v>
      </c>
      <c r="BE248" s="21">
        <f t="shared" si="63"/>
        <v>1.8525392112075528E-2</v>
      </c>
      <c r="BF248" s="21">
        <f t="shared" si="63"/>
        <v>1.8288618851806836E-2</v>
      </c>
      <c r="BG248" s="21">
        <f t="shared" si="63"/>
        <v>1.7919035152911034E-2</v>
      </c>
      <c r="BH248" s="21">
        <f t="shared" si="63"/>
        <v>1.7510951441230105E-2</v>
      </c>
      <c r="BI248" s="21">
        <f t="shared" si="63"/>
        <v>1.7129632711385658E-2</v>
      </c>
      <c r="BJ248" s="23">
        <f t="shared" si="50"/>
        <v>1.7519873101842266E-2</v>
      </c>
    </row>
    <row r="249" spans="1:62" x14ac:dyDescent="0.25">
      <c r="A249" s="12"/>
      <c r="B249" s="2"/>
      <c r="C249" s="2" t="s">
        <v>7</v>
      </c>
      <c r="D249" s="4">
        <v>140</v>
      </c>
      <c r="E249" s="4">
        <v>173</v>
      </c>
      <c r="F249" s="4">
        <v>177</v>
      </c>
      <c r="G249" s="4">
        <v>410</v>
      </c>
      <c r="H249" s="4">
        <v>880</v>
      </c>
      <c r="I249" s="4">
        <v>893</v>
      </c>
      <c r="J249" s="4">
        <v>475</v>
      </c>
      <c r="K249" s="4">
        <v>298</v>
      </c>
      <c r="L249" s="4">
        <v>52</v>
      </c>
      <c r="M249" s="4">
        <v>15</v>
      </c>
      <c r="N249" s="4">
        <v>10</v>
      </c>
      <c r="O249" s="4">
        <v>0</v>
      </c>
      <c r="P249" s="4">
        <v>24</v>
      </c>
      <c r="Q249" s="4">
        <v>57</v>
      </c>
      <c r="R249" s="4">
        <v>35</v>
      </c>
      <c r="S249" s="4">
        <v>20</v>
      </c>
      <c r="T249" s="4">
        <v>21</v>
      </c>
      <c r="U249" s="4">
        <v>64</v>
      </c>
      <c r="V249" s="4">
        <v>18</v>
      </c>
      <c r="W249" s="4">
        <v>14</v>
      </c>
      <c r="X249" s="4">
        <v>75</v>
      </c>
      <c r="Y249" s="4">
        <v>66</v>
      </c>
      <c r="Z249" s="4">
        <v>14</v>
      </c>
      <c r="AA249" s="4">
        <v>169</v>
      </c>
      <c r="AB249" s="4">
        <v>18</v>
      </c>
      <c r="AC249" s="4">
        <v>20</v>
      </c>
      <c r="AD249" s="4">
        <v>18</v>
      </c>
      <c r="AE249" s="4">
        <v>16</v>
      </c>
      <c r="AF249" s="4">
        <v>16</v>
      </c>
      <c r="AG249" s="4">
        <v>18</v>
      </c>
      <c r="AH249" s="4">
        <v>17</v>
      </c>
      <c r="AI249" s="4">
        <v>18</v>
      </c>
      <c r="AJ249" s="4">
        <v>18</v>
      </c>
      <c r="AK249" s="3">
        <v>2623</v>
      </c>
      <c r="AL249" s="4">
        <v>9</v>
      </c>
      <c r="AM249" s="4">
        <v>451</v>
      </c>
      <c r="AN249" s="4">
        <v>500</v>
      </c>
      <c r="AO249" s="4">
        <v>499</v>
      </c>
      <c r="AP249" s="4">
        <v>554</v>
      </c>
      <c r="AQ249" s="4">
        <v>639</v>
      </c>
      <c r="AR249" s="4">
        <v>679</v>
      </c>
      <c r="AS249" s="4">
        <v>655</v>
      </c>
      <c r="AT249" s="4">
        <v>625</v>
      </c>
      <c r="AU249" s="4">
        <v>700</v>
      </c>
      <c r="AV249" s="4">
        <v>775</v>
      </c>
      <c r="AW249" s="4">
        <v>669</v>
      </c>
      <c r="AX249" s="4">
        <v>675</v>
      </c>
      <c r="AY249" s="4">
        <v>597</v>
      </c>
      <c r="AZ249" s="4">
        <v>656</v>
      </c>
      <c r="BA249" s="4">
        <v>667</v>
      </c>
      <c r="BB249" s="4">
        <v>700</v>
      </c>
      <c r="BC249" s="13">
        <v>0</v>
      </c>
      <c r="BD249" s="20">
        <f t="shared" si="63"/>
        <v>2.5245283018867925E-2</v>
      </c>
      <c r="BE249" s="20">
        <f t="shared" si="63"/>
        <v>2.3914121731736696E-2</v>
      </c>
      <c r="BF249" s="20">
        <f t="shared" si="63"/>
        <v>2.0280599245847065E-2</v>
      </c>
      <c r="BG249" s="20">
        <f t="shared" si="63"/>
        <v>2.416295259493904E-2</v>
      </c>
      <c r="BH249" s="20">
        <f t="shared" si="63"/>
        <v>2.3757791629563669E-2</v>
      </c>
      <c r="BI249" s="20">
        <f t="shared" si="63"/>
        <v>2.3946360153256706E-2</v>
      </c>
      <c r="BJ249" s="23">
        <f t="shared" si="50"/>
        <v>2.3955701459253142E-2</v>
      </c>
    </row>
    <row r="250" spans="1:62" s="5" customFormat="1" x14ac:dyDescent="0.25">
      <c r="A250" s="14"/>
      <c r="B250" s="6"/>
      <c r="C250" s="6" t="s">
        <v>8</v>
      </c>
      <c r="D250" s="7">
        <v>0</v>
      </c>
      <c r="E250" s="7">
        <v>0</v>
      </c>
      <c r="F250" s="7">
        <v>0</v>
      </c>
      <c r="G250" s="7">
        <v>0</v>
      </c>
      <c r="H250" s="7">
        <v>0</v>
      </c>
      <c r="I250" s="7">
        <v>0</v>
      </c>
      <c r="J250" s="7">
        <v>0</v>
      </c>
      <c r="K250" s="7">
        <v>0</v>
      </c>
      <c r="L250" s="7">
        <v>300</v>
      </c>
      <c r="M250" s="7">
        <v>508</v>
      </c>
      <c r="N250" s="7">
        <v>910</v>
      </c>
      <c r="O250" s="7">
        <v>217</v>
      </c>
      <c r="P250" s="7">
        <v>572</v>
      </c>
      <c r="Q250" s="7">
        <v>305</v>
      </c>
      <c r="R250" s="7">
        <v>42</v>
      </c>
      <c r="S250" s="7">
        <v>0</v>
      </c>
      <c r="T250" s="7">
        <v>0</v>
      </c>
      <c r="U250" s="7">
        <v>91</v>
      </c>
      <c r="V250" s="7">
        <v>467</v>
      </c>
      <c r="W250" s="7">
        <v>648</v>
      </c>
      <c r="X250" s="7">
        <v>909</v>
      </c>
      <c r="Y250" s="7">
        <v>304</v>
      </c>
      <c r="Z250" s="7">
        <v>223</v>
      </c>
      <c r="AA250" s="7">
        <v>230</v>
      </c>
      <c r="AB250" s="7">
        <v>0</v>
      </c>
      <c r="AC250" s="7">
        <v>0</v>
      </c>
      <c r="AD250" s="7">
        <v>0</v>
      </c>
      <c r="AE250" s="7">
        <v>0</v>
      </c>
      <c r="AF250" s="7">
        <v>0</v>
      </c>
      <c r="AG250" s="7">
        <v>0</v>
      </c>
      <c r="AH250" s="7">
        <v>0</v>
      </c>
      <c r="AI250" s="7">
        <v>0</v>
      </c>
      <c r="AJ250" s="7">
        <v>0</v>
      </c>
      <c r="AK250" s="7">
        <v>0</v>
      </c>
      <c r="AL250" s="7">
        <v>410</v>
      </c>
      <c r="AM250" s="7">
        <v>0</v>
      </c>
      <c r="AN250" s="7">
        <v>30</v>
      </c>
      <c r="AO250" s="7">
        <v>574</v>
      </c>
      <c r="AP250" s="7">
        <v>210</v>
      </c>
      <c r="AQ250" s="7">
        <v>200</v>
      </c>
      <c r="AR250" s="7">
        <v>481</v>
      </c>
      <c r="AS250" s="7">
        <v>45</v>
      </c>
      <c r="AT250" s="7">
        <v>200</v>
      </c>
      <c r="AU250" s="7">
        <v>200</v>
      </c>
      <c r="AV250" s="7">
        <v>200</v>
      </c>
      <c r="AW250" s="7">
        <v>200</v>
      </c>
      <c r="AX250" s="7">
        <v>200</v>
      </c>
      <c r="AY250" s="7">
        <v>200</v>
      </c>
      <c r="AZ250" s="7">
        <v>200</v>
      </c>
      <c r="BA250" s="7">
        <v>200</v>
      </c>
      <c r="BB250" s="7">
        <v>200</v>
      </c>
      <c r="BC250" s="15">
        <v>0</v>
      </c>
      <c r="BD250" s="21">
        <f t="shared" si="63"/>
        <v>6.7376364371378519E-3</v>
      </c>
      <c r="BE250" s="21">
        <f t="shared" si="63"/>
        <v>6.370441153049849E-3</v>
      </c>
      <c r="BF250" s="21">
        <f t="shared" si="63"/>
        <v>6.4026635080193361E-3</v>
      </c>
      <c r="BG250" s="21">
        <f t="shared" si="63"/>
        <v>6.9175428887659103E-3</v>
      </c>
      <c r="BH250" s="21">
        <f t="shared" si="63"/>
        <v>6.4903456109037805E-3</v>
      </c>
      <c r="BI250" s="21">
        <f t="shared" si="63"/>
        <v>6.5791637882825094E-3</v>
      </c>
      <c r="BJ250" s="23">
        <f t="shared" si="50"/>
        <v>6.6623507626507343E-3</v>
      </c>
    </row>
    <row r="251" spans="1:62" x14ac:dyDescent="0.25">
      <c r="A251" s="12"/>
      <c r="B251" s="2"/>
      <c r="C251" s="2" t="s">
        <v>9</v>
      </c>
      <c r="D251" s="3">
        <v>11900</v>
      </c>
      <c r="E251" s="3">
        <v>11909</v>
      </c>
      <c r="F251" s="3">
        <v>12115</v>
      </c>
      <c r="G251" s="3">
        <v>12061</v>
      </c>
      <c r="H251" s="3">
        <v>12186</v>
      </c>
      <c r="I251" s="3">
        <v>11880</v>
      </c>
      <c r="J251" s="3">
        <v>11700</v>
      </c>
      <c r="K251" s="3">
        <v>11555</v>
      </c>
      <c r="L251" s="3">
        <v>11187</v>
      </c>
      <c r="M251" s="3">
        <v>10480</v>
      </c>
      <c r="N251" s="3">
        <v>11690</v>
      </c>
      <c r="O251" s="3">
        <v>12459</v>
      </c>
      <c r="P251" s="3">
        <v>11829</v>
      </c>
      <c r="Q251" s="3">
        <v>11017</v>
      </c>
      <c r="R251" s="3">
        <v>10924</v>
      </c>
      <c r="S251" s="3">
        <v>10700</v>
      </c>
      <c r="T251" s="3">
        <v>10466</v>
      </c>
      <c r="U251" s="3">
        <v>10026</v>
      </c>
      <c r="V251" s="3">
        <v>10299</v>
      </c>
      <c r="W251" s="3">
        <v>10102</v>
      </c>
      <c r="X251" s="3">
        <v>10100</v>
      </c>
      <c r="Y251" s="3">
        <v>10642</v>
      </c>
      <c r="Z251" s="3">
        <v>10774</v>
      </c>
      <c r="AA251" s="3">
        <v>10192</v>
      </c>
      <c r="AB251" s="3">
        <v>10199</v>
      </c>
      <c r="AC251" s="3">
        <v>10150</v>
      </c>
      <c r="AD251" s="3">
        <v>9707</v>
      </c>
      <c r="AE251" s="3">
        <v>9805</v>
      </c>
      <c r="AF251" s="3">
        <v>9619</v>
      </c>
      <c r="AG251" s="3">
        <v>9782</v>
      </c>
      <c r="AH251" s="3">
        <v>9580</v>
      </c>
      <c r="AI251" s="3">
        <v>9504</v>
      </c>
      <c r="AJ251" s="3">
        <v>9667</v>
      </c>
      <c r="AK251" s="3">
        <v>9943</v>
      </c>
      <c r="AL251" s="3">
        <v>9109</v>
      </c>
      <c r="AM251" s="3">
        <v>8968</v>
      </c>
      <c r="AN251" s="3">
        <v>9000</v>
      </c>
      <c r="AO251" s="3">
        <v>9093</v>
      </c>
      <c r="AP251" s="3">
        <v>9290</v>
      </c>
      <c r="AQ251" s="3">
        <v>9426</v>
      </c>
      <c r="AR251" s="3">
        <v>8297</v>
      </c>
      <c r="AS251" s="3">
        <v>8779</v>
      </c>
      <c r="AT251" s="3">
        <v>8742</v>
      </c>
      <c r="AU251" s="3">
        <v>8357</v>
      </c>
      <c r="AV251" s="3">
        <v>8300</v>
      </c>
      <c r="AW251" s="3">
        <v>8250</v>
      </c>
      <c r="AX251" s="3">
        <v>8250</v>
      </c>
      <c r="AY251" s="3">
        <v>8177</v>
      </c>
      <c r="AZ251" s="3">
        <v>8326</v>
      </c>
      <c r="BA251" s="3">
        <v>8200</v>
      </c>
      <c r="BB251" s="3">
        <v>8125</v>
      </c>
      <c r="BC251" s="13">
        <v>0</v>
      </c>
      <c r="BD251" s="20">
        <f t="shared" si="63"/>
        <v>1.997902807477242E-2</v>
      </c>
      <c r="BE251" s="20">
        <f t="shared" si="63"/>
        <v>1.9709635264240511E-2</v>
      </c>
      <c r="BF251" s="20">
        <f t="shared" si="63"/>
        <v>1.9182362642131759E-2</v>
      </c>
      <c r="BG251" s="20">
        <f t="shared" si="63"/>
        <v>1.9135391050538943E-2</v>
      </c>
      <c r="BH251" s="20">
        <f t="shared" si="63"/>
        <v>1.8838145866979718E-2</v>
      </c>
      <c r="BI251" s="20">
        <f t="shared" si="63"/>
        <v>1.8208017354201401E-2</v>
      </c>
      <c r="BJ251" s="23">
        <f t="shared" si="50"/>
        <v>1.8727184757240022E-2</v>
      </c>
    </row>
    <row r="252" spans="1:62" s="5" customFormat="1" x14ac:dyDescent="0.25">
      <c r="A252" s="14"/>
      <c r="B252" s="6" t="s">
        <v>13</v>
      </c>
      <c r="C252" s="6" t="s">
        <v>7</v>
      </c>
      <c r="D252" s="7">
        <v>114</v>
      </c>
      <c r="E252" s="7">
        <v>254</v>
      </c>
      <c r="F252" s="7">
        <v>542</v>
      </c>
      <c r="G252" s="7">
        <v>984</v>
      </c>
      <c r="H252" s="8">
        <v>1308</v>
      </c>
      <c r="I252" s="8">
        <v>1704</v>
      </c>
      <c r="J252" s="8">
        <v>2651</v>
      </c>
      <c r="K252" s="8">
        <v>2478</v>
      </c>
      <c r="L252" s="8">
        <v>2500</v>
      </c>
      <c r="M252" s="8">
        <v>3228</v>
      </c>
      <c r="N252" s="8">
        <v>4159</v>
      </c>
      <c r="O252" s="8">
        <v>3553</v>
      </c>
      <c r="P252" s="8">
        <v>3612</v>
      </c>
      <c r="Q252" s="8">
        <v>4345</v>
      </c>
      <c r="R252" s="8">
        <v>4015</v>
      </c>
      <c r="S252" s="8">
        <v>3771</v>
      </c>
      <c r="T252" s="8">
        <v>4984</v>
      </c>
      <c r="U252" s="8">
        <v>5165</v>
      </c>
      <c r="V252" s="8">
        <v>5153</v>
      </c>
      <c r="W252" s="8">
        <v>5262</v>
      </c>
      <c r="X252" s="8">
        <v>3183</v>
      </c>
      <c r="Y252" s="8">
        <v>3666</v>
      </c>
      <c r="Z252" s="8">
        <v>2748</v>
      </c>
      <c r="AA252" s="8">
        <v>3961</v>
      </c>
      <c r="AB252" s="8">
        <v>4621</v>
      </c>
      <c r="AC252" s="8">
        <v>5100</v>
      </c>
      <c r="AD252" s="8">
        <v>4405</v>
      </c>
      <c r="AE252" s="8">
        <v>3846</v>
      </c>
      <c r="AF252" s="8">
        <v>4137</v>
      </c>
      <c r="AG252" s="8">
        <v>3817</v>
      </c>
      <c r="AH252" s="8">
        <v>3404</v>
      </c>
      <c r="AI252" s="8">
        <v>3243</v>
      </c>
      <c r="AJ252" s="8">
        <v>3220</v>
      </c>
      <c r="AK252" s="8">
        <v>2956</v>
      </c>
      <c r="AL252" s="8">
        <v>2298</v>
      </c>
      <c r="AM252" s="8">
        <v>2542</v>
      </c>
      <c r="AN252" s="8">
        <v>2774</v>
      </c>
      <c r="AO252" s="8">
        <v>2769</v>
      </c>
      <c r="AP252" s="8">
        <v>2453</v>
      </c>
      <c r="AQ252" s="8">
        <v>2206</v>
      </c>
      <c r="AR252" s="8">
        <v>1983</v>
      </c>
      <c r="AS252" s="8">
        <v>1776</v>
      </c>
      <c r="AT252" s="8">
        <v>1562</v>
      </c>
      <c r="AU252" s="8">
        <v>1434</v>
      </c>
      <c r="AV252" s="8">
        <v>1374</v>
      </c>
      <c r="AW252" s="8">
        <v>1393</v>
      </c>
      <c r="AX252" s="8">
        <v>1276</v>
      </c>
      <c r="AY252" s="8">
        <v>1084</v>
      </c>
      <c r="AZ252" s="8">
        <v>1629</v>
      </c>
      <c r="BA252" s="8">
        <v>1649</v>
      </c>
      <c r="BB252" s="8">
        <v>1600</v>
      </c>
      <c r="BC252" s="15">
        <v>0</v>
      </c>
      <c r="BD252" s="21">
        <f t="shared" ref="BD252:BI252" si="64">AW252/AW564</f>
        <v>0.26110590440487347</v>
      </c>
      <c r="BE252" s="21">
        <f t="shared" si="64"/>
        <v>0.26369084521595371</v>
      </c>
      <c r="BF252" s="21">
        <f t="shared" si="64"/>
        <v>0.11199504081000103</v>
      </c>
      <c r="BG252" s="21">
        <f t="shared" si="64"/>
        <v>0.26652486910994766</v>
      </c>
      <c r="BH252" s="21">
        <f t="shared" si="64"/>
        <v>0.26869806094182824</v>
      </c>
      <c r="BI252" s="21">
        <f t="shared" si="64"/>
        <v>0.24517315353968741</v>
      </c>
      <c r="BJ252" s="23">
        <f t="shared" si="50"/>
        <v>0.26013202786382111</v>
      </c>
    </row>
    <row r="253" spans="1:62" x14ac:dyDescent="0.25">
      <c r="A253" s="12"/>
      <c r="B253" s="2"/>
      <c r="C253" s="2" t="s">
        <v>9</v>
      </c>
      <c r="D253" s="4">
        <v>114</v>
      </c>
      <c r="E253" s="4">
        <v>254</v>
      </c>
      <c r="F253" s="4">
        <v>543</v>
      </c>
      <c r="G253" s="4">
        <v>977</v>
      </c>
      <c r="H253" s="3">
        <v>1299</v>
      </c>
      <c r="I253" s="3">
        <v>1611</v>
      </c>
      <c r="J253" s="3">
        <v>2651</v>
      </c>
      <c r="K253" s="3">
        <v>2526</v>
      </c>
      <c r="L253" s="3">
        <v>2473</v>
      </c>
      <c r="M253" s="3">
        <v>3140</v>
      </c>
      <c r="N253" s="3">
        <v>4109</v>
      </c>
      <c r="O253" s="3">
        <v>3640</v>
      </c>
      <c r="P253" s="3">
        <v>3376</v>
      </c>
      <c r="Q253" s="3">
        <v>4283</v>
      </c>
      <c r="R253" s="3">
        <v>4050</v>
      </c>
      <c r="S253" s="3">
        <v>3940</v>
      </c>
      <c r="T253" s="3">
        <v>4862</v>
      </c>
      <c r="U253" s="3">
        <v>5024</v>
      </c>
      <c r="V253" s="3">
        <v>5251</v>
      </c>
      <c r="W253" s="3">
        <v>5236</v>
      </c>
      <c r="X253" s="3">
        <v>3349</v>
      </c>
      <c r="Y253" s="3">
        <v>3650</v>
      </c>
      <c r="Z253" s="3">
        <v>2807</v>
      </c>
      <c r="AA253" s="3">
        <v>3961</v>
      </c>
      <c r="AB253" s="3">
        <v>4692</v>
      </c>
      <c r="AC253" s="3">
        <v>5000</v>
      </c>
      <c r="AD253" s="3">
        <v>4401</v>
      </c>
      <c r="AE253" s="3">
        <v>3792</v>
      </c>
      <c r="AF253" s="3">
        <v>4207</v>
      </c>
      <c r="AG253" s="3">
        <v>3698</v>
      </c>
      <c r="AH253" s="3">
        <v>3404</v>
      </c>
      <c r="AI253" s="3">
        <v>3218</v>
      </c>
      <c r="AJ253" s="3">
        <v>3208</v>
      </c>
      <c r="AK253" s="3">
        <v>3104</v>
      </c>
      <c r="AL253" s="3">
        <v>2475</v>
      </c>
      <c r="AM253" s="3">
        <v>2392</v>
      </c>
      <c r="AN253" s="3">
        <v>2637</v>
      </c>
      <c r="AO253" s="3">
        <v>2800</v>
      </c>
      <c r="AP253" s="3">
        <v>2500</v>
      </c>
      <c r="AQ253" s="3">
        <v>2200</v>
      </c>
      <c r="AR253" s="3">
        <v>2045</v>
      </c>
      <c r="AS253" s="3">
        <v>1775</v>
      </c>
      <c r="AT253" s="3">
        <v>1575</v>
      </c>
      <c r="AU253" s="3">
        <v>1500</v>
      </c>
      <c r="AV253" s="3">
        <v>1400</v>
      </c>
      <c r="AW253" s="3">
        <v>1400</v>
      </c>
      <c r="AX253" s="3">
        <v>1350</v>
      </c>
      <c r="AY253" s="3">
        <v>1100</v>
      </c>
      <c r="AZ253" s="3">
        <v>1600</v>
      </c>
      <c r="BA253" s="3">
        <v>1650</v>
      </c>
      <c r="BB253" s="3">
        <v>1600</v>
      </c>
      <c r="BC253" s="13">
        <v>0</v>
      </c>
      <c r="BD253" s="20">
        <f t="shared" ref="BD253:BI253" si="65">AW253/AW566</f>
        <v>2.3611556170205588E-2</v>
      </c>
      <c r="BE253" s="20">
        <f t="shared" si="65"/>
        <v>2.3359634551495017E-2</v>
      </c>
      <c r="BF253" s="20">
        <f t="shared" si="65"/>
        <v>1.7061670182404766E-2</v>
      </c>
      <c r="BG253" s="20">
        <f t="shared" si="65"/>
        <v>2.4810048069468134E-2</v>
      </c>
      <c r="BH253" s="20">
        <f t="shared" si="65"/>
        <v>2.7016406326751154E-2</v>
      </c>
      <c r="BI253" s="20">
        <f t="shared" si="65"/>
        <v>2.4713096396521632E-2</v>
      </c>
      <c r="BJ253" s="23">
        <f t="shared" si="50"/>
        <v>2.5513183597580303E-2</v>
      </c>
    </row>
    <row r="254" spans="1:62" s="5" customFormat="1" x14ac:dyDescent="0.25">
      <c r="A254" s="12"/>
      <c r="B254" s="2" t="s">
        <v>14</v>
      </c>
      <c r="C254" s="2" t="s">
        <v>42</v>
      </c>
      <c r="D254" s="4">
        <v>158</v>
      </c>
      <c r="E254" s="4">
        <v>161</v>
      </c>
      <c r="F254" s="4">
        <v>433</v>
      </c>
      <c r="G254" s="4">
        <v>398</v>
      </c>
      <c r="H254" s="4">
        <v>278</v>
      </c>
      <c r="I254" s="4">
        <v>378</v>
      </c>
      <c r="J254" s="4">
        <v>344</v>
      </c>
      <c r="K254" s="4">
        <v>387</v>
      </c>
      <c r="L254" s="4">
        <v>415</v>
      </c>
      <c r="M254" s="4">
        <v>419</v>
      </c>
      <c r="N254" s="4">
        <v>455</v>
      </c>
      <c r="O254" s="4">
        <v>580</v>
      </c>
      <c r="P254" s="4">
        <v>650</v>
      </c>
      <c r="Q254" s="4">
        <v>653</v>
      </c>
      <c r="R254" s="4">
        <v>393</v>
      </c>
      <c r="S254" s="4">
        <v>437</v>
      </c>
      <c r="T254" s="4">
        <v>574</v>
      </c>
      <c r="U254" s="4">
        <v>629</v>
      </c>
      <c r="V254" s="4">
        <v>693</v>
      </c>
      <c r="W254" s="4">
        <v>762</v>
      </c>
      <c r="X254" s="4">
        <v>822</v>
      </c>
      <c r="Y254" s="4">
        <v>773</v>
      </c>
      <c r="Z254" s="4">
        <v>930</v>
      </c>
      <c r="AA254" s="4">
        <v>807</v>
      </c>
      <c r="AB254" s="4">
        <v>939</v>
      </c>
      <c r="AC254" s="4">
        <v>943</v>
      </c>
      <c r="AD254" s="4">
        <v>948</v>
      </c>
      <c r="AE254" s="4">
        <v>929</v>
      </c>
      <c r="AF254" s="4">
        <v>984</v>
      </c>
      <c r="AG254" s="4">
        <v>988</v>
      </c>
      <c r="AH254" s="4">
        <v>922</v>
      </c>
      <c r="AI254" s="4">
        <v>987</v>
      </c>
      <c r="AJ254" s="4">
        <v>893</v>
      </c>
      <c r="AK254" s="4">
        <v>842</v>
      </c>
      <c r="AL254" s="4">
        <v>817</v>
      </c>
      <c r="AM254" s="4">
        <v>901</v>
      </c>
      <c r="AN254" s="4">
        <v>709</v>
      </c>
      <c r="AO254" s="4">
        <v>799</v>
      </c>
      <c r="AP254" s="4">
        <v>852</v>
      </c>
      <c r="AQ254" s="4">
        <v>795</v>
      </c>
      <c r="AR254" s="4">
        <v>722</v>
      </c>
      <c r="AS254" s="4">
        <v>833</v>
      </c>
      <c r="AT254" s="4">
        <v>864</v>
      </c>
      <c r="AU254" s="4">
        <v>888</v>
      </c>
      <c r="AV254" s="4">
        <v>905</v>
      </c>
      <c r="AW254" s="4">
        <v>880</v>
      </c>
      <c r="AX254" s="4">
        <v>910</v>
      </c>
      <c r="AY254" s="4">
        <v>840</v>
      </c>
      <c r="AZ254" s="4">
        <v>950</v>
      </c>
      <c r="BA254" s="3">
        <v>1030</v>
      </c>
      <c r="BB254" s="13">
        <v>845</v>
      </c>
      <c r="BC254" s="21">
        <f t="shared" ref="BC254:BH254" si="66">AW254/AX$83</f>
        <v>0.11004126547455295</v>
      </c>
      <c r="BD254" s="21">
        <f t="shared" si="66"/>
        <v>0.13437684583579446</v>
      </c>
      <c r="BE254" s="21">
        <f t="shared" si="66"/>
        <v>0.13118850538809934</v>
      </c>
      <c r="BF254" s="21">
        <f t="shared" si="66"/>
        <v>0.13331462250912152</v>
      </c>
      <c r="BG254" s="21">
        <f t="shared" si="66"/>
        <v>0.15846153846153846</v>
      </c>
      <c r="BH254" s="21" t="e">
        <f t="shared" si="66"/>
        <v>#DIV/0!</v>
      </c>
      <c r="BJ254" s="23" t="e">
        <f>AVERAGE(BF254,BG254,BH254)</f>
        <v>#DIV/0!</v>
      </c>
    </row>
    <row r="255" spans="1:62" x14ac:dyDescent="0.25">
      <c r="A255" s="12"/>
      <c r="B255" s="6"/>
      <c r="C255" s="6" t="s">
        <v>45</v>
      </c>
      <c r="D255" s="8">
        <v>1306</v>
      </c>
      <c r="E255" s="8">
        <v>1497</v>
      </c>
      <c r="F255" s="8">
        <v>1500</v>
      </c>
      <c r="G255" s="8">
        <v>1327</v>
      </c>
      <c r="H255" s="8">
        <v>1625</v>
      </c>
      <c r="I255" s="8">
        <v>1739</v>
      </c>
      <c r="J255" s="8">
        <v>1816</v>
      </c>
      <c r="K255" s="8">
        <v>2045</v>
      </c>
      <c r="L255" s="8">
        <v>2077</v>
      </c>
      <c r="M255" s="8">
        <v>2400</v>
      </c>
      <c r="N255" s="8">
        <v>2498</v>
      </c>
      <c r="O255" s="8">
        <v>2485</v>
      </c>
      <c r="P255" s="8">
        <v>2522</v>
      </c>
      <c r="Q255" s="8">
        <v>2588</v>
      </c>
      <c r="R255" s="8">
        <v>2724</v>
      </c>
      <c r="S255" s="8">
        <v>2427</v>
      </c>
      <c r="T255" s="8">
        <v>2173</v>
      </c>
      <c r="U255" s="8">
        <v>2580</v>
      </c>
      <c r="V255" s="8">
        <v>2530</v>
      </c>
      <c r="W255" s="8">
        <v>2585</v>
      </c>
      <c r="X255" s="8">
        <v>1668</v>
      </c>
      <c r="Y255" s="8">
        <v>2209</v>
      </c>
      <c r="Z255" s="8">
        <v>1770</v>
      </c>
      <c r="AA255" s="8">
        <v>1908</v>
      </c>
      <c r="AB255" s="8">
        <v>1859</v>
      </c>
      <c r="AC255" s="8">
        <v>1857</v>
      </c>
      <c r="AD255" s="8">
        <v>1695</v>
      </c>
      <c r="AE255" s="8">
        <v>1848</v>
      </c>
      <c r="AF255" s="8">
        <v>1909</v>
      </c>
      <c r="AG255" s="8">
        <v>1791</v>
      </c>
      <c r="AH255" s="8">
        <v>1762</v>
      </c>
      <c r="AI255" s="8">
        <v>1800</v>
      </c>
      <c r="AJ255" s="8">
        <v>1773</v>
      </c>
      <c r="AK255" s="8">
        <v>1693</v>
      </c>
      <c r="AL255" s="8">
        <v>1703</v>
      </c>
      <c r="AM255" s="8">
        <v>1673</v>
      </c>
      <c r="AN255" s="8">
        <v>1608</v>
      </c>
      <c r="AO255" s="8">
        <v>1545</v>
      </c>
      <c r="AP255" s="8">
        <v>1521</v>
      </c>
      <c r="AQ255" s="8">
        <v>1650</v>
      </c>
      <c r="AR255" s="8">
        <v>1486</v>
      </c>
      <c r="AS255" s="8">
        <v>1407</v>
      </c>
      <c r="AT255" s="8">
        <v>1483</v>
      </c>
      <c r="AU255" s="8">
        <v>1442</v>
      </c>
      <c r="AV255" s="8">
        <v>1328</v>
      </c>
      <c r="AW255" s="8">
        <v>1385</v>
      </c>
      <c r="AX255" s="8">
        <v>1405</v>
      </c>
      <c r="AY255" s="8">
        <v>1440</v>
      </c>
      <c r="AZ255" s="8">
        <v>1452</v>
      </c>
      <c r="BA255" s="8">
        <v>1342</v>
      </c>
      <c r="BB255" s="25">
        <v>1355</v>
      </c>
      <c r="BC255" s="21">
        <f t="shared" ref="BC255:BH255" si="67">AW255/AX$63</f>
        <v>2.6893203883495147</v>
      </c>
      <c r="BD255" s="21">
        <f t="shared" si="67"/>
        <v>8.5670731707317067</v>
      </c>
      <c r="BE255" s="21">
        <f t="shared" si="67"/>
        <v>28.8</v>
      </c>
      <c r="BF255" s="21">
        <f t="shared" si="67"/>
        <v>9.6158940397350996</v>
      </c>
      <c r="BG255" s="21">
        <f t="shared" si="67"/>
        <v>2.0646153846153847</v>
      </c>
      <c r="BH255" s="21" t="e">
        <f t="shared" si="67"/>
        <v>#DIV/0!</v>
      </c>
      <c r="BJ255" s="23" t="e">
        <f>AVERAGE(BF255,BG255,BH255)</f>
        <v>#DIV/0!</v>
      </c>
    </row>
    <row r="256" spans="1:62" s="5" customFormat="1" x14ac:dyDescent="0.25">
      <c r="A256" s="12"/>
      <c r="B256" s="2"/>
      <c r="C256" s="2" t="s">
        <v>44</v>
      </c>
      <c r="D256" s="4">
        <v>15</v>
      </c>
      <c r="E256" s="4">
        <v>6</v>
      </c>
      <c r="F256" s="4">
        <v>0</v>
      </c>
      <c r="G256" s="4">
        <v>12</v>
      </c>
      <c r="H256" s="4">
        <v>5</v>
      </c>
      <c r="I256" s="4">
        <v>12</v>
      </c>
      <c r="J256" s="4">
        <v>23</v>
      </c>
      <c r="K256" s="4">
        <v>47</v>
      </c>
      <c r="L256" s="4">
        <v>30</v>
      </c>
      <c r="M256" s="4">
        <v>6</v>
      </c>
      <c r="N256" s="4">
        <v>9</v>
      </c>
      <c r="O256" s="4">
        <v>11</v>
      </c>
      <c r="P256" s="4">
        <v>48</v>
      </c>
      <c r="Q256" s="4">
        <v>20</v>
      </c>
      <c r="R256" s="4">
        <v>97</v>
      </c>
      <c r="S256" s="4">
        <v>6</v>
      </c>
      <c r="T256" s="4">
        <v>0</v>
      </c>
      <c r="U256" s="4">
        <v>1</v>
      </c>
      <c r="V256" s="4">
        <v>1</v>
      </c>
      <c r="W256" s="4">
        <v>3</v>
      </c>
      <c r="X256" s="4">
        <v>53</v>
      </c>
      <c r="Y256" s="4">
        <v>5</v>
      </c>
      <c r="Z256" s="4">
        <v>12</v>
      </c>
      <c r="AA256" s="4">
        <v>4</v>
      </c>
      <c r="AB256" s="4">
        <v>5</v>
      </c>
      <c r="AC256" s="4">
        <v>4</v>
      </c>
      <c r="AD256" s="4">
        <v>6</v>
      </c>
      <c r="AE256" s="4">
        <v>2</v>
      </c>
      <c r="AF256" s="4">
        <v>2</v>
      </c>
      <c r="AG256" s="4">
        <v>2</v>
      </c>
      <c r="AH256" s="4">
        <v>1</v>
      </c>
      <c r="AI256" s="4">
        <v>1</v>
      </c>
      <c r="AJ256" s="4">
        <v>1</v>
      </c>
      <c r="AK256" s="4">
        <v>1</v>
      </c>
      <c r="AL256" s="4">
        <v>3</v>
      </c>
      <c r="AM256" s="4">
        <v>4</v>
      </c>
      <c r="AN256" s="4">
        <v>6</v>
      </c>
      <c r="AO256" s="4">
        <v>10</v>
      </c>
      <c r="AP256" s="4">
        <v>4</v>
      </c>
      <c r="AQ256" s="4">
        <v>7</v>
      </c>
      <c r="AR256" s="4">
        <v>10</v>
      </c>
      <c r="AS256" s="4">
        <v>10</v>
      </c>
      <c r="AT256" s="4">
        <v>10</v>
      </c>
      <c r="AU256" s="4">
        <v>10</v>
      </c>
      <c r="AV256" s="4">
        <v>10</v>
      </c>
      <c r="AW256" s="4">
        <v>10</v>
      </c>
      <c r="AX256" s="4">
        <v>10</v>
      </c>
      <c r="AY256" s="4">
        <v>2</v>
      </c>
      <c r="AZ256" s="4">
        <v>2</v>
      </c>
      <c r="BA256" s="4">
        <v>2</v>
      </c>
      <c r="BB256" s="13">
        <v>2</v>
      </c>
      <c r="BC256" s="21">
        <f t="shared" ref="BC256:BH256" si="68">AW256/AX$42</f>
        <v>8.5470085470085472E-2</v>
      </c>
      <c r="BD256" s="21">
        <f t="shared" si="68"/>
        <v>0.76923076923076927</v>
      </c>
      <c r="BE256" s="21">
        <f t="shared" si="68"/>
        <v>4.5454545454545456E-2</v>
      </c>
      <c r="BF256" s="21">
        <f t="shared" si="68"/>
        <v>1.4084507042253521E-2</v>
      </c>
      <c r="BG256" s="21">
        <f t="shared" si="68"/>
        <v>3.2894736842105261E-3</v>
      </c>
      <c r="BH256" s="21" t="e">
        <f t="shared" si="68"/>
        <v>#DIV/0!</v>
      </c>
      <c r="BI256"/>
      <c r="BJ256" s="23" t="e">
        <f>AVERAGE(BF256,BG256,BH256)</f>
        <v>#DIV/0!</v>
      </c>
    </row>
    <row r="257" spans="1:62" ht="30" x14ac:dyDescent="0.25">
      <c r="A257" s="12"/>
      <c r="B257" s="6"/>
      <c r="C257" s="6" t="s">
        <v>43</v>
      </c>
      <c r="D257" s="8">
        <v>1564</v>
      </c>
      <c r="E257" s="8">
        <v>1578</v>
      </c>
      <c r="F257" s="8">
        <v>1750</v>
      </c>
      <c r="G257" s="8">
        <v>1877</v>
      </c>
      <c r="H257" s="8">
        <v>1818</v>
      </c>
      <c r="I257" s="8">
        <v>1984</v>
      </c>
      <c r="J257" s="8">
        <v>2174</v>
      </c>
      <c r="K257" s="8">
        <v>2360</v>
      </c>
      <c r="L257" s="8">
        <v>2597</v>
      </c>
      <c r="M257" s="8">
        <v>2728</v>
      </c>
      <c r="N257" s="8">
        <v>3130</v>
      </c>
      <c r="O257" s="8">
        <v>2850</v>
      </c>
      <c r="P257" s="8">
        <v>3300</v>
      </c>
      <c r="Q257" s="8">
        <v>3087</v>
      </c>
      <c r="R257" s="8">
        <v>2772</v>
      </c>
      <c r="S257" s="8">
        <v>2872</v>
      </c>
      <c r="T257" s="8">
        <v>2793</v>
      </c>
      <c r="U257" s="8">
        <v>3179</v>
      </c>
      <c r="V257" s="8">
        <v>3247</v>
      </c>
      <c r="W257" s="8">
        <v>3268</v>
      </c>
      <c r="X257" s="8">
        <v>2822</v>
      </c>
      <c r="Y257" s="8">
        <v>2750</v>
      </c>
      <c r="Z257" s="8">
        <v>2725</v>
      </c>
      <c r="AA257" s="8">
        <v>2755</v>
      </c>
      <c r="AB257" s="8">
        <v>2873</v>
      </c>
      <c r="AC257" s="8">
        <v>2785</v>
      </c>
      <c r="AD257" s="8">
        <v>2670</v>
      </c>
      <c r="AE257" s="8">
        <v>2789</v>
      </c>
      <c r="AF257" s="8">
        <v>2829</v>
      </c>
      <c r="AG257" s="8">
        <v>2827</v>
      </c>
      <c r="AH257" s="8">
        <v>2790</v>
      </c>
      <c r="AI257" s="8">
        <v>2761</v>
      </c>
      <c r="AJ257" s="8">
        <v>2631</v>
      </c>
      <c r="AK257" s="8">
        <v>2538</v>
      </c>
      <c r="AL257" s="8">
        <v>2520</v>
      </c>
      <c r="AM257" s="8">
        <v>2520</v>
      </c>
      <c r="AN257" s="8">
        <v>2374</v>
      </c>
      <c r="AO257" s="8">
        <v>2371</v>
      </c>
      <c r="AP257" s="8">
        <v>2292</v>
      </c>
      <c r="AQ257" s="8">
        <v>2142</v>
      </c>
      <c r="AR257" s="8">
        <v>2293</v>
      </c>
      <c r="AS257" s="8">
        <v>2277</v>
      </c>
      <c r="AT257" s="8">
        <v>2296</v>
      </c>
      <c r="AU257" s="8">
        <v>2292</v>
      </c>
      <c r="AV257" s="8">
        <v>2238</v>
      </c>
      <c r="AW257" s="8">
        <v>2220</v>
      </c>
      <c r="AX257" s="8">
        <v>2300</v>
      </c>
      <c r="AY257" s="8">
        <v>2350</v>
      </c>
      <c r="AZ257" s="8">
        <v>2375</v>
      </c>
      <c r="BA257" s="8">
        <v>2230</v>
      </c>
      <c r="BB257" s="25">
        <v>2242</v>
      </c>
      <c r="BC257" s="20">
        <f t="shared" ref="BC257:BH257" si="69">AW257/AW$25</f>
        <v>1.3253731343283581</v>
      </c>
      <c r="BD257" s="20">
        <f t="shared" si="69"/>
        <v>1.3450292397660819</v>
      </c>
      <c r="BE257" s="20">
        <f t="shared" si="69"/>
        <v>1.3091922005571031</v>
      </c>
      <c r="BF257" s="20">
        <f t="shared" si="69"/>
        <v>1.3728323699421965</v>
      </c>
      <c r="BG257" s="20">
        <f t="shared" si="69"/>
        <v>1.2890173410404624</v>
      </c>
      <c r="BH257" s="20">
        <f t="shared" si="69"/>
        <v>1.2738636363636364</v>
      </c>
      <c r="BI257" s="5"/>
      <c r="BJ257" s="23">
        <f>AVERAGE(BF257,BG257,BH257)</f>
        <v>1.3119044491154317</v>
      </c>
    </row>
    <row r="258" spans="1:62" x14ac:dyDescent="0.25">
      <c r="A258" s="12"/>
      <c r="B258" s="2" t="s">
        <v>15</v>
      </c>
      <c r="C258" s="2" t="s">
        <v>6</v>
      </c>
      <c r="D258" s="3">
        <v>1531</v>
      </c>
      <c r="E258" s="3">
        <v>1781</v>
      </c>
      <c r="F258" s="3">
        <v>1631</v>
      </c>
      <c r="G258" s="4">
        <v>716</v>
      </c>
      <c r="H258" s="3">
        <v>1244</v>
      </c>
      <c r="I258" s="3">
        <v>1287</v>
      </c>
      <c r="J258" s="3">
        <v>1024</v>
      </c>
      <c r="K258" s="4">
        <v>997</v>
      </c>
      <c r="L258" s="3">
        <v>1012</v>
      </c>
      <c r="M258" s="4">
        <v>758</v>
      </c>
      <c r="N258" s="4">
        <v>474</v>
      </c>
      <c r="O258" s="4">
        <v>440</v>
      </c>
      <c r="P258" s="4">
        <v>284</v>
      </c>
      <c r="Q258" s="4">
        <v>202</v>
      </c>
      <c r="R258" s="4">
        <v>232</v>
      </c>
      <c r="S258" s="4">
        <v>241</v>
      </c>
      <c r="T258" s="4">
        <v>222</v>
      </c>
      <c r="U258" s="4">
        <v>236</v>
      </c>
      <c r="V258" s="4">
        <v>366</v>
      </c>
      <c r="W258" s="4">
        <v>541</v>
      </c>
      <c r="X258" s="4">
        <v>583</v>
      </c>
      <c r="Y258" s="4">
        <v>587</v>
      </c>
      <c r="Z258" s="4">
        <v>742</v>
      </c>
      <c r="AA258" s="4">
        <v>695</v>
      </c>
      <c r="AB258" s="4">
        <v>741</v>
      </c>
      <c r="AC258" s="4">
        <v>874</v>
      </c>
      <c r="AD258" s="4">
        <v>876</v>
      </c>
      <c r="AE258" s="4">
        <v>864</v>
      </c>
      <c r="AF258" s="3">
        <v>1021</v>
      </c>
      <c r="AG258" s="4">
        <v>985</v>
      </c>
      <c r="AH258" s="4">
        <v>952</v>
      </c>
      <c r="AI258" s="4">
        <v>759</v>
      </c>
      <c r="AJ258" s="4">
        <v>759</v>
      </c>
      <c r="AK258" s="4">
        <v>638</v>
      </c>
      <c r="AL258" s="4">
        <v>565</v>
      </c>
      <c r="AM258" s="4">
        <v>444</v>
      </c>
      <c r="AN258" s="4">
        <v>478</v>
      </c>
      <c r="AO258" s="4">
        <v>573</v>
      </c>
      <c r="AP258" s="4">
        <v>570</v>
      </c>
      <c r="AQ258" s="4">
        <v>583</v>
      </c>
      <c r="AR258" s="4">
        <v>688</v>
      </c>
      <c r="AS258" s="4">
        <v>700</v>
      </c>
      <c r="AT258" s="4">
        <v>828</v>
      </c>
      <c r="AU258" s="4">
        <v>855</v>
      </c>
      <c r="AV258" s="4">
        <v>860</v>
      </c>
      <c r="AW258" s="4">
        <v>875</v>
      </c>
      <c r="AX258" s="4">
        <v>837</v>
      </c>
      <c r="AY258" s="4">
        <v>910</v>
      </c>
      <c r="AZ258" s="4">
        <v>882</v>
      </c>
      <c r="BA258" s="4">
        <v>675</v>
      </c>
      <c r="BB258" s="4">
        <v>568</v>
      </c>
      <c r="BC258" s="13">
        <v>0</v>
      </c>
      <c r="BD258" s="20">
        <f t="shared" ref="BD258:BI261" si="70">AW258/AW571</f>
        <v>1.4132597684515195E-3</v>
      </c>
      <c r="BE258" s="20">
        <f t="shared" si="70"/>
        <v>1.4037665219294494E-3</v>
      </c>
      <c r="BF258" s="20">
        <f t="shared" si="70"/>
        <v>1.4866973263954126E-3</v>
      </c>
      <c r="BG258" s="20">
        <f t="shared" si="70"/>
        <v>1.2928949412920154E-3</v>
      </c>
      <c r="BH258" s="20">
        <f t="shared" si="70"/>
        <v>9.8712063491599236E-4</v>
      </c>
      <c r="BI258" s="20">
        <f t="shared" si="70"/>
        <v>8.77652465075458E-4</v>
      </c>
      <c r="BJ258" s="23">
        <f t="shared" si="50"/>
        <v>1.0525560137611553E-3</v>
      </c>
    </row>
    <row r="259" spans="1:62" s="5" customFormat="1" x14ac:dyDescent="0.25">
      <c r="A259" s="14"/>
      <c r="B259" s="6"/>
      <c r="C259" s="6" t="s">
        <v>7</v>
      </c>
      <c r="D259" s="8">
        <v>2833</v>
      </c>
      <c r="E259" s="8">
        <v>2772</v>
      </c>
      <c r="F259" s="8">
        <v>2662</v>
      </c>
      <c r="G259" s="8">
        <v>3918</v>
      </c>
      <c r="H259" s="8">
        <v>3545</v>
      </c>
      <c r="I259" s="8">
        <v>3526</v>
      </c>
      <c r="J259" s="8">
        <v>4260</v>
      </c>
      <c r="K259" s="8">
        <v>4029</v>
      </c>
      <c r="L259" s="8">
        <v>4189</v>
      </c>
      <c r="M259" s="8">
        <v>4424</v>
      </c>
      <c r="N259" s="8">
        <v>4834</v>
      </c>
      <c r="O259" s="8">
        <v>4964</v>
      </c>
      <c r="P259" s="8">
        <v>5486</v>
      </c>
      <c r="Q259" s="8">
        <v>5353</v>
      </c>
      <c r="R259" s="8">
        <v>5404</v>
      </c>
      <c r="S259" s="8">
        <v>5923</v>
      </c>
      <c r="T259" s="8">
        <v>5521</v>
      </c>
      <c r="U259" s="8">
        <v>5764</v>
      </c>
      <c r="V259" s="8">
        <v>5744</v>
      </c>
      <c r="W259" s="8">
        <v>5599</v>
      </c>
      <c r="X259" s="8">
        <v>5840</v>
      </c>
      <c r="Y259" s="8">
        <v>5577</v>
      </c>
      <c r="Z259" s="8">
        <v>5795</v>
      </c>
      <c r="AA259" s="8">
        <v>5857</v>
      </c>
      <c r="AB259" s="8">
        <v>5603</v>
      </c>
      <c r="AC259" s="8">
        <v>5532</v>
      </c>
      <c r="AD259" s="8">
        <v>5577</v>
      </c>
      <c r="AE259" s="8">
        <v>5497</v>
      </c>
      <c r="AF259" s="8">
        <v>5111</v>
      </c>
      <c r="AG259" s="8">
        <v>5413</v>
      </c>
      <c r="AH259" s="8">
        <v>5552</v>
      </c>
      <c r="AI259" s="8">
        <v>5873</v>
      </c>
      <c r="AJ259" s="8">
        <v>5958</v>
      </c>
      <c r="AK259" s="8">
        <v>5993</v>
      </c>
      <c r="AL259" s="8">
        <v>6310</v>
      </c>
      <c r="AM259" s="8">
        <v>6101</v>
      </c>
      <c r="AN259" s="8">
        <v>6418</v>
      </c>
      <c r="AO259" s="8">
        <v>6082</v>
      </c>
      <c r="AP259" s="8">
        <v>5945</v>
      </c>
      <c r="AQ259" s="8">
        <v>5929</v>
      </c>
      <c r="AR259" s="8">
        <v>5885</v>
      </c>
      <c r="AS259" s="8">
        <v>5836</v>
      </c>
      <c r="AT259" s="8">
        <v>5579</v>
      </c>
      <c r="AU259" s="8">
        <v>5751</v>
      </c>
      <c r="AV259" s="8">
        <v>5744</v>
      </c>
      <c r="AW259" s="8">
        <v>5469</v>
      </c>
      <c r="AX259" s="8">
        <v>5747</v>
      </c>
      <c r="AY259" s="8">
        <v>5701</v>
      </c>
      <c r="AZ259" s="8">
        <v>5156</v>
      </c>
      <c r="BA259" s="8">
        <v>5502</v>
      </c>
      <c r="BB259" s="8">
        <v>5200</v>
      </c>
      <c r="BC259" s="15">
        <v>0</v>
      </c>
      <c r="BD259" s="21">
        <f t="shared" si="70"/>
        <v>4.9015478100325333E-2</v>
      </c>
      <c r="BE259" s="21">
        <f t="shared" si="70"/>
        <v>5.0408743246087996E-2</v>
      </c>
      <c r="BF259" s="21">
        <f t="shared" si="70"/>
        <v>5.0094459821624707E-2</v>
      </c>
      <c r="BG259" s="21">
        <f t="shared" si="70"/>
        <v>3.7653450957767669E-2</v>
      </c>
      <c r="BH259" s="21">
        <f t="shared" si="70"/>
        <v>4.1227380015735643E-2</v>
      </c>
      <c r="BI259" s="21">
        <f t="shared" si="70"/>
        <v>4.2388770236561943E-2</v>
      </c>
      <c r="BJ259" s="23">
        <f t="shared" si="50"/>
        <v>4.0423200403355085E-2</v>
      </c>
    </row>
    <row r="260" spans="1:62" x14ac:dyDescent="0.25">
      <c r="A260" s="12"/>
      <c r="B260" s="2"/>
      <c r="C260" s="2" t="s">
        <v>8</v>
      </c>
      <c r="D260" s="4">
        <v>52</v>
      </c>
      <c r="E260" s="4">
        <v>83</v>
      </c>
      <c r="F260" s="4">
        <v>83</v>
      </c>
      <c r="G260" s="4">
        <v>79</v>
      </c>
      <c r="H260" s="4">
        <v>79</v>
      </c>
      <c r="I260" s="4">
        <v>134</v>
      </c>
      <c r="J260" s="4">
        <v>77</v>
      </c>
      <c r="K260" s="4">
        <v>121</v>
      </c>
      <c r="L260" s="4">
        <v>82</v>
      </c>
      <c r="M260" s="4">
        <v>57</v>
      </c>
      <c r="N260" s="4">
        <v>35</v>
      </c>
      <c r="O260" s="4">
        <v>43</v>
      </c>
      <c r="P260" s="4">
        <v>42</v>
      </c>
      <c r="Q260" s="4">
        <v>30</v>
      </c>
      <c r="R260" s="4">
        <v>29</v>
      </c>
      <c r="S260" s="4">
        <v>36</v>
      </c>
      <c r="T260" s="4">
        <v>36</v>
      </c>
      <c r="U260" s="4">
        <v>50</v>
      </c>
      <c r="V260" s="4">
        <v>88</v>
      </c>
      <c r="W260" s="4">
        <v>111</v>
      </c>
      <c r="X260" s="4">
        <v>138</v>
      </c>
      <c r="Y260" s="4">
        <v>160</v>
      </c>
      <c r="Z260" s="4">
        <v>254</v>
      </c>
      <c r="AA260" s="4">
        <v>305</v>
      </c>
      <c r="AB260" s="4">
        <v>269</v>
      </c>
      <c r="AC260" s="4">
        <v>281</v>
      </c>
      <c r="AD260" s="4">
        <v>391</v>
      </c>
      <c r="AE260" s="4">
        <v>393</v>
      </c>
      <c r="AF260" s="4">
        <v>404</v>
      </c>
      <c r="AG260" s="4">
        <v>398</v>
      </c>
      <c r="AH260" s="4">
        <v>435</v>
      </c>
      <c r="AI260" s="4">
        <v>448</v>
      </c>
      <c r="AJ260" s="4">
        <v>453</v>
      </c>
      <c r="AK260" s="4">
        <v>443</v>
      </c>
      <c r="AL260" s="4">
        <v>472</v>
      </c>
      <c r="AM260" s="4">
        <v>576</v>
      </c>
      <c r="AN260" s="4">
        <v>408</v>
      </c>
      <c r="AO260" s="4">
        <v>385</v>
      </c>
      <c r="AP260" s="4">
        <v>417</v>
      </c>
      <c r="AQ260" s="4">
        <v>490</v>
      </c>
      <c r="AR260" s="4">
        <v>453</v>
      </c>
      <c r="AS260" s="4">
        <v>465</v>
      </c>
      <c r="AT260" s="4">
        <v>460</v>
      </c>
      <c r="AU260" s="4">
        <v>463</v>
      </c>
      <c r="AV260" s="4">
        <v>423</v>
      </c>
      <c r="AW260" s="4">
        <v>423</v>
      </c>
      <c r="AX260" s="4">
        <v>417</v>
      </c>
      <c r="AY260" s="4">
        <v>338</v>
      </c>
      <c r="AZ260" s="4">
        <v>272</v>
      </c>
      <c r="BA260" s="4">
        <v>296</v>
      </c>
      <c r="BB260" s="4">
        <v>300</v>
      </c>
      <c r="BC260" s="13">
        <v>0</v>
      </c>
      <c r="BD260" s="20">
        <f t="shared" si="70"/>
        <v>3.6158481856648286E-3</v>
      </c>
      <c r="BE260" s="20">
        <f t="shared" si="70"/>
        <v>3.7290409121395036E-3</v>
      </c>
      <c r="BF260" s="20">
        <f t="shared" si="70"/>
        <v>2.8819426680991114E-3</v>
      </c>
      <c r="BG260" s="20">
        <f t="shared" si="70"/>
        <v>1.8933593206181261E-3</v>
      </c>
      <c r="BH260" s="20">
        <f t="shared" si="70"/>
        <v>2.1796599435939352E-3</v>
      </c>
      <c r="BI260" s="20">
        <f t="shared" si="70"/>
        <v>2.4162954968306258E-3</v>
      </c>
      <c r="BJ260" s="23">
        <f t="shared" si="50"/>
        <v>2.1631049203475624E-3</v>
      </c>
    </row>
    <row r="261" spans="1:62" s="5" customFormat="1" x14ac:dyDescent="0.25">
      <c r="A261" s="14"/>
      <c r="B261" s="6"/>
      <c r="C261" s="6" t="s">
        <v>9</v>
      </c>
      <c r="D261" s="8">
        <v>4187</v>
      </c>
      <c r="E261" s="8">
        <v>4165</v>
      </c>
      <c r="F261" s="8">
        <v>4390</v>
      </c>
      <c r="G261" s="8">
        <v>4455</v>
      </c>
      <c r="H261" s="8">
        <v>4710</v>
      </c>
      <c r="I261" s="8">
        <v>4704</v>
      </c>
      <c r="J261" s="8">
        <v>4967</v>
      </c>
      <c r="K261" s="8">
        <v>5070</v>
      </c>
      <c r="L261" s="8">
        <v>5169</v>
      </c>
      <c r="M261" s="8">
        <v>5265</v>
      </c>
      <c r="N261" s="8">
        <v>5183</v>
      </c>
      <c r="O261" s="8">
        <v>5311</v>
      </c>
      <c r="P261" s="8">
        <v>5558</v>
      </c>
      <c r="Q261" s="8">
        <v>5585</v>
      </c>
      <c r="R261" s="8">
        <v>5567</v>
      </c>
      <c r="S261" s="8">
        <v>5778</v>
      </c>
      <c r="T261" s="8">
        <v>5737</v>
      </c>
      <c r="U261" s="8">
        <v>5815</v>
      </c>
      <c r="V261" s="8">
        <v>6066</v>
      </c>
      <c r="W261" s="8">
        <v>6090</v>
      </c>
      <c r="X261" s="8">
        <v>6095</v>
      </c>
      <c r="Y261" s="8">
        <v>6069</v>
      </c>
      <c r="Z261" s="8">
        <v>6092</v>
      </c>
      <c r="AA261" s="8">
        <v>6210</v>
      </c>
      <c r="AB261" s="8">
        <v>6267</v>
      </c>
      <c r="AC261" s="8">
        <v>6192</v>
      </c>
      <c r="AD261" s="8">
        <v>6100</v>
      </c>
      <c r="AE261" s="8">
        <v>5994</v>
      </c>
      <c r="AF261" s="8">
        <v>5742</v>
      </c>
      <c r="AG261" s="8">
        <v>5919</v>
      </c>
      <c r="AH261" s="8">
        <v>6047</v>
      </c>
      <c r="AI261" s="8">
        <v>6235</v>
      </c>
      <c r="AJ261" s="8">
        <v>6418</v>
      </c>
      <c r="AK261" s="8">
        <v>6350</v>
      </c>
      <c r="AL261" s="8">
        <v>6380</v>
      </c>
      <c r="AM261" s="8">
        <v>6380</v>
      </c>
      <c r="AN261" s="8">
        <v>6300</v>
      </c>
      <c r="AO261" s="8">
        <v>6150</v>
      </c>
      <c r="AP261" s="8">
        <v>6150</v>
      </c>
      <c r="AQ261" s="8">
        <v>6200</v>
      </c>
      <c r="AR261" s="8">
        <v>6150</v>
      </c>
      <c r="AS261" s="8">
        <v>6100</v>
      </c>
      <c r="AT261" s="8">
        <v>6000</v>
      </c>
      <c r="AU261" s="8">
        <v>5950</v>
      </c>
      <c r="AV261" s="8">
        <v>6030</v>
      </c>
      <c r="AW261" s="8">
        <v>6020</v>
      </c>
      <c r="AX261" s="8">
        <v>6000</v>
      </c>
      <c r="AY261" s="8">
        <v>6000</v>
      </c>
      <c r="AZ261" s="8">
        <v>5950</v>
      </c>
      <c r="BA261" s="8">
        <v>5900</v>
      </c>
      <c r="BB261" s="8">
        <v>5850</v>
      </c>
      <c r="BC261" s="15">
        <v>0</v>
      </c>
      <c r="BD261" s="21">
        <f t="shared" si="70"/>
        <v>9.7617453092543622E-3</v>
      </c>
      <c r="BE261" s="21">
        <f t="shared" si="70"/>
        <v>9.7041527304251064E-3</v>
      </c>
      <c r="BF261" s="21">
        <f t="shared" si="70"/>
        <v>9.7834594312548925E-3</v>
      </c>
      <c r="BG261" s="21">
        <f t="shared" si="70"/>
        <v>9.373695362777764E-3</v>
      </c>
      <c r="BH261" s="21">
        <f t="shared" si="70"/>
        <v>9.0740054351754595E-3</v>
      </c>
      <c r="BI261" s="21">
        <f t="shared" si="70"/>
        <v>8.8532539113221759E-3</v>
      </c>
      <c r="BJ261" s="23">
        <f t="shared" si="50"/>
        <v>9.1003182364251343E-3</v>
      </c>
    </row>
    <row r="262" spans="1:62" x14ac:dyDescent="0.25">
      <c r="A262" s="12" t="s">
        <v>25</v>
      </c>
      <c r="B262" s="2" t="s">
        <v>5</v>
      </c>
      <c r="C262" s="2" t="s">
        <v>6</v>
      </c>
      <c r="D262" s="4">
        <v>14</v>
      </c>
      <c r="E262" s="4">
        <v>16</v>
      </c>
      <c r="F262" s="4">
        <v>18</v>
      </c>
      <c r="G262" s="4">
        <v>20</v>
      </c>
      <c r="H262" s="4">
        <v>35</v>
      </c>
      <c r="I262" s="4">
        <v>40</v>
      </c>
      <c r="J262" s="4">
        <v>34</v>
      </c>
      <c r="K262" s="4">
        <v>60</v>
      </c>
      <c r="L262" s="4">
        <v>63</v>
      </c>
      <c r="M262" s="4">
        <v>63</v>
      </c>
      <c r="N262" s="4">
        <v>68</v>
      </c>
      <c r="O262" s="4">
        <v>64</v>
      </c>
      <c r="P262" s="4">
        <v>54</v>
      </c>
      <c r="Q262" s="4">
        <v>61</v>
      </c>
      <c r="R262" s="4">
        <v>52</v>
      </c>
      <c r="S262" s="4">
        <v>54</v>
      </c>
      <c r="T262" s="4">
        <v>70</v>
      </c>
      <c r="U262" s="4">
        <v>83</v>
      </c>
      <c r="V262" s="4">
        <v>100</v>
      </c>
      <c r="W262" s="4">
        <v>149</v>
      </c>
      <c r="X262" s="4">
        <v>154</v>
      </c>
      <c r="Y262" s="4">
        <v>145</v>
      </c>
      <c r="Z262" s="4">
        <v>117</v>
      </c>
      <c r="AA262" s="4">
        <v>101</v>
      </c>
      <c r="AB262" s="4">
        <v>133</v>
      </c>
      <c r="AC262" s="4">
        <v>132</v>
      </c>
      <c r="AD262" s="4">
        <v>113</v>
      </c>
      <c r="AE262" s="4">
        <v>127</v>
      </c>
      <c r="AF262" s="4">
        <v>106</v>
      </c>
      <c r="AG262" s="4">
        <v>121</v>
      </c>
      <c r="AH262" s="4">
        <v>120</v>
      </c>
      <c r="AI262" s="4">
        <v>75</v>
      </c>
      <c r="AJ262" s="4">
        <v>92</v>
      </c>
      <c r="AK262" s="4">
        <v>82</v>
      </c>
      <c r="AL262" s="4">
        <v>89</v>
      </c>
      <c r="AM262" s="4">
        <v>70</v>
      </c>
      <c r="AN262" s="4">
        <v>72</v>
      </c>
      <c r="AO262" s="4">
        <v>87</v>
      </c>
      <c r="AP262" s="4">
        <v>80</v>
      </c>
      <c r="AQ262" s="4">
        <v>79</v>
      </c>
      <c r="AR262" s="4">
        <v>64</v>
      </c>
      <c r="AS262" s="4">
        <v>57</v>
      </c>
      <c r="AT262" s="4">
        <v>73</v>
      </c>
      <c r="AU262" s="4">
        <v>70</v>
      </c>
      <c r="AV262" s="4">
        <v>78</v>
      </c>
      <c r="AW262" s="4">
        <v>73</v>
      </c>
      <c r="AX262" s="4">
        <v>65</v>
      </c>
      <c r="AY262" s="4">
        <v>84</v>
      </c>
      <c r="AZ262" s="4">
        <v>93</v>
      </c>
      <c r="BA262" s="4">
        <v>77</v>
      </c>
      <c r="BB262" s="4">
        <v>80</v>
      </c>
      <c r="BC262" s="13">
        <v>0</v>
      </c>
      <c r="BD262" s="20">
        <f t="shared" ref="BD262:BI263" si="71">AW262/AW547</f>
        <v>1.0436652379413775E-4</v>
      </c>
      <c r="BE262" s="20">
        <f t="shared" si="71"/>
        <v>9.1091145800487974E-5</v>
      </c>
      <c r="BF262" s="20">
        <f t="shared" si="71"/>
        <v>1.0573059843518714E-4</v>
      </c>
      <c r="BG262" s="20">
        <f t="shared" si="71"/>
        <v>1.1642113907443943E-4</v>
      </c>
      <c r="BH262" s="20">
        <f t="shared" si="71"/>
        <v>9.4777746185195722E-5</v>
      </c>
      <c r="BI262" s="20">
        <f t="shared" si="71"/>
        <v>9.8166615742734749E-5</v>
      </c>
      <c r="BJ262" s="23">
        <f t="shared" si="50"/>
        <v>1.0312183366745663E-4</v>
      </c>
    </row>
    <row r="263" spans="1:62" s="5" customFormat="1" x14ac:dyDescent="0.25">
      <c r="A263" s="14"/>
      <c r="B263" s="6"/>
      <c r="C263" s="6" t="s">
        <v>7</v>
      </c>
      <c r="D263" s="7">
        <v>22</v>
      </c>
      <c r="E263" s="7">
        <v>21</v>
      </c>
      <c r="F263" s="7">
        <v>18</v>
      </c>
      <c r="G263" s="7">
        <v>26</v>
      </c>
      <c r="H263" s="7">
        <v>2</v>
      </c>
      <c r="I263" s="7">
        <v>3</v>
      </c>
      <c r="J263" s="7">
        <v>39</v>
      </c>
      <c r="K263" s="7">
        <v>142</v>
      </c>
      <c r="L263" s="7">
        <v>174</v>
      </c>
      <c r="M263" s="7">
        <v>284</v>
      </c>
      <c r="N263" s="7">
        <v>315</v>
      </c>
      <c r="O263" s="7">
        <v>422</v>
      </c>
      <c r="P263" s="7">
        <v>456</v>
      </c>
      <c r="Q263" s="7">
        <v>573</v>
      </c>
      <c r="R263" s="7">
        <v>532</v>
      </c>
      <c r="S263" s="7">
        <v>890</v>
      </c>
      <c r="T263" s="8">
        <v>1370</v>
      </c>
      <c r="U263" s="8">
        <v>1791</v>
      </c>
      <c r="V263" s="8">
        <v>2881</v>
      </c>
      <c r="W263" s="8">
        <v>2234</v>
      </c>
      <c r="X263" s="8">
        <v>2355</v>
      </c>
      <c r="Y263" s="8">
        <v>2814</v>
      </c>
      <c r="Z263" s="8">
        <v>4167</v>
      </c>
      <c r="AA263" s="8">
        <v>3223</v>
      </c>
      <c r="AB263" s="8">
        <v>3000</v>
      </c>
      <c r="AC263" s="8">
        <v>3625</v>
      </c>
      <c r="AD263" s="8">
        <v>4775</v>
      </c>
      <c r="AE263" s="8">
        <v>5023</v>
      </c>
      <c r="AF263" s="8">
        <v>5700</v>
      </c>
      <c r="AG263" s="8">
        <v>6100</v>
      </c>
      <c r="AH263" s="8">
        <v>5571</v>
      </c>
      <c r="AI263" s="8">
        <v>6222</v>
      </c>
      <c r="AJ263" s="8">
        <v>6544</v>
      </c>
      <c r="AK263" s="8">
        <v>5696</v>
      </c>
      <c r="AL263" s="8">
        <v>8227</v>
      </c>
      <c r="AM263" s="8">
        <v>8963</v>
      </c>
      <c r="AN263" s="8">
        <v>8326</v>
      </c>
      <c r="AO263" s="8">
        <v>7528</v>
      </c>
      <c r="AP263" s="8">
        <v>7515</v>
      </c>
      <c r="AQ263" s="8">
        <v>8692</v>
      </c>
      <c r="AR263" s="8">
        <v>8728</v>
      </c>
      <c r="AS263" s="8">
        <v>8617</v>
      </c>
      <c r="AT263" s="8">
        <v>8781</v>
      </c>
      <c r="AU263" s="8">
        <v>8778</v>
      </c>
      <c r="AV263" s="8">
        <v>8633</v>
      </c>
      <c r="AW263" s="8">
        <v>8483</v>
      </c>
      <c r="AX263" s="8">
        <v>8731</v>
      </c>
      <c r="AY263" s="8">
        <v>9311</v>
      </c>
      <c r="AZ263" s="8">
        <v>7188</v>
      </c>
      <c r="BA263" s="8">
        <v>8461</v>
      </c>
      <c r="BB263" s="8">
        <v>8000</v>
      </c>
      <c r="BC263" s="15">
        <v>0</v>
      </c>
      <c r="BD263" s="21">
        <f t="shared" si="71"/>
        <v>0.10520376020041174</v>
      </c>
      <c r="BE263" s="21">
        <f t="shared" si="71"/>
        <v>9.6396316823812569E-2</v>
      </c>
      <c r="BF263" s="21">
        <f t="shared" si="71"/>
        <v>9.4511607133794168E-2</v>
      </c>
      <c r="BG263" s="21">
        <f t="shared" si="71"/>
        <v>8.7035489847070366E-2</v>
      </c>
      <c r="BH263" s="21">
        <f t="shared" si="71"/>
        <v>9.4176443088978434E-2</v>
      </c>
      <c r="BI263" s="21">
        <f t="shared" si="71"/>
        <v>8.7238149242663821E-2</v>
      </c>
      <c r="BJ263" s="23">
        <f t="shared" si="50"/>
        <v>8.948336072623754E-2</v>
      </c>
    </row>
    <row r="264" spans="1:62" x14ac:dyDescent="0.25">
      <c r="A264" s="12"/>
      <c r="B264" s="2"/>
      <c r="C264" s="2" t="s">
        <v>9</v>
      </c>
      <c r="D264" s="4">
        <v>36</v>
      </c>
      <c r="E264" s="4">
        <v>37</v>
      </c>
      <c r="F264" s="4">
        <v>36</v>
      </c>
      <c r="G264" s="4">
        <v>39</v>
      </c>
      <c r="H264" s="4">
        <v>34</v>
      </c>
      <c r="I264" s="4">
        <v>40</v>
      </c>
      <c r="J264" s="4">
        <v>61</v>
      </c>
      <c r="K264" s="4">
        <v>198</v>
      </c>
      <c r="L264" s="4">
        <v>244</v>
      </c>
      <c r="M264" s="4">
        <v>333</v>
      </c>
      <c r="N264" s="4">
        <v>365</v>
      </c>
      <c r="O264" s="4">
        <v>465</v>
      </c>
      <c r="P264" s="4">
        <v>437</v>
      </c>
      <c r="Q264" s="4">
        <v>594</v>
      </c>
      <c r="R264" s="4">
        <v>691</v>
      </c>
      <c r="S264" s="4">
        <v>888</v>
      </c>
      <c r="T264" s="3">
        <v>1339</v>
      </c>
      <c r="U264" s="3">
        <v>1860</v>
      </c>
      <c r="V264" s="3">
        <v>2914</v>
      </c>
      <c r="W264" s="3">
        <v>2517</v>
      </c>
      <c r="X264" s="3">
        <v>2533</v>
      </c>
      <c r="Y264" s="3">
        <v>2930</v>
      </c>
      <c r="Z264" s="3">
        <v>4228</v>
      </c>
      <c r="AA264" s="3">
        <v>3305</v>
      </c>
      <c r="AB264" s="3">
        <v>3254</v>
      </c>
      <c r="AC264" s="3">
        <v>3675</v>
      </c>
      <c r="AD264" s="3">
        <v>4743</v>
      </c>
      <c r="AE264" s="3">
        <v>4970</v>
      </c>
      <c r="AF264" s="3">
        <v>5848</v>
      </c>
      <c r="AG264" s="3">
        <v>6500</v>
      </c>
      <c r="AH264" s="3">
        <v>5577</v>
      </c>
      <c r="AI264" s="3">
        <v>6077</v>
      </c>
      <c r="AJ264" s="3">
        <v>6630</v>
      </c>
      <c r="AK264" s="3">
        <v>5795</v>
      </c>
      <c r="AL264" s="3">
        <v>8014</v>
      </c>
      <c r="AM264" s="3">
        <v>9146</v>
      </c>
      <c r="AN264" s="3">
        <v>8284</v>
      </c>
      <c r="AO264" s="3">
        <v>7673</v>
      </c>
      <c r="AP264" s="3">
        <v>7526</v>
      </c>
      <c r="AQ264" s="3">
        <v>8624</v>
      </c>
      <c r="AR264" s="3">
        <v>8616</v>
      </c>
      <c r="AS264" s="3">
        <v>8735</v>
      </c>
      <c r="AT264" s="3">
        <v>8782</v>
      </c>
      <c r="AU264" s="3">
        <v>8722</v>
      </c>
      <c r="AV264" s="3">
        <v>8666</v>
      </c>
      <c r="AW264" s="3">
        <v>8579</v>
      </c>
      <c r="AX264" s="3">
        <v>8833</v>
      </c>
      <c r="AY264" s="3">
        <v>8638</v>
      </c>
      <c r="AZ264" s="3">
        <v>7894</v>
      </c>
      <c r="BA264" s="3">
        <v>8412</v>
      </c>
      <c r="BB264" s="3">
        <v>8100</v>
      </c>
      <c r="BC264" s="13">
        <v>0</v>
      </c>
      <c r="BD264" s="20">
        <f t="shared" ref="BD264:BI270" si="72">AW264/AW550</f>
        <v>1.2152022811070678E-2</v>
      </c>
      <c r="BE264" s="20">
        <f t="shared" si="72"/>
        <v>1.2188289968980781E-2</v>
      </c>
      <c r="BF264" s="20">
        <f t="shared" si="72"/>
        <v>1.1185569346515678E-2</v>
      </c>
      <c r="BG264" s="20">
        <f t="shared" si="72"/>
        <v>1.0118631792807748E-2</v>
      </c>
      <c r="BH264" s="20">
        <f t="shared" si="72"/>
        <v>1.0403770686646392E-2</v>
      </c>
      <c r="BI264" s="20">
        <f t="shared" si="72"/>
        <v>9.6517850440228647E-3</v>
      </c>
      <c r="BJ264" s="23">
        <f t="shared" si="50"/>
        <v>1.0058062507825668E-2</v>
      </c>
    </row>
    <row r="265" spans="1:62" s="5" customFormat="1" x14ac:dyDescent="0.25">
      <c r="A265" s="14"/>
      <c r="B265" s="6" t="s">
        <v>10</v>
      </c>
      <c r="C265" s="6" t="s">
        <v>6</v>
      </c>
      <c r="D265" s="7">
        <v>30</v>
      </c>
      <c r="E265" s="7">
        <v>42</v>
      </c>
      <c r="F265" s="7">
        <v>27</v>
      </c>
      <c r="G265" s="7">
        <v>18</v>
      </c>
      <c r="H265" s="7">
        <v>19</v>
      </c>
      <c r="I265" s="7">
        <v>17</v>
      </c>
      <c r="J265" s="7">
        <v>20</v>
      </c>
      <c r="K265" s="7">
        <v>18</v>
      </c>
      <c r="L265" s="7">
        <v>20</v>
      </c>
      <c r="M265" s="7">
        <v>20</v>
      </c>
      <c r="N265" s="7">
        <v>21</v>
      </c>
      <c r="O265" s="7">
        <v>19</v>
      </c>
      <c r="P265" s="7">
        <v>18</v>
      </c>
      <c r="Q265" s="7">
        <v>19</v>
      </c>
      <c r="R265" s="7">
        <v>17</v>
      </c>
      <c r="S265" s="7">
        <v>16</v>
      </c>
      <c r="T265" s="7">
        <v>10</v>
      </c>
      <c r="U265" s="7">
        <v>9</v>
      </c>
      <c r="V265" s="7">
        <v>9</v>
      </c>
      <c r="W265" s="7">
        <v>14</v>
      </c>
      <c r="X265" s="7">
        <v>12</v>
      </c>
      <c r="Y265" s="7">
        <v>7</v>
      </c>
      <c r="Z265" s="7">
        <v>6</v>
      </c>
      <c r="AA265" s="7">
        <v>5</v>
      </c>
      <c r="AB265" s="7">
        <v>4</v>
      </c>
      <c r="AC265" s="7">
        <v>3</v>
      </c>
      <c r="AD265" s="7">
        <v>2</v>
      </c>
      <c r="AE265" s="7">
        <v>1</v>
      </c>
      <c r="AF265" s="7">
        <v>1</v>
      </c>
      <c r="AG265" s="7">
        <v>1</v>
      </c>
      <c r="AH265" s="7">
        <v>1</v>
      </c>
      <c r="AI265" s="7">
        <v>1</v>
      </c>
      <c r="AJ265" s="7">
        <v>1</v>
      </c>
      <c r="AK265" s="7">
        <v>1</v>
      </c>
      <c r="AL265" s="7">
        <v>1</v>
      </c>
      <c r="AM265" s="7">
        <v>1</v>
      </c>
      <c r="AN265" s="7">
        <v>1</v>
      </c>
      <c r="AO265" s="7">
        <v>1</v>
      </c>
      <c r="AP265" s="7">
        <v>1</v>
      </c>
      <c r="AQ265" s="7">
        <v>1</v>
      </c>
      <c r="AR265" s="7">
        <v>0</v>
      </c>
      <c r="AS265" s="7">
        <v>0</v>
      </c>
      <c r="AT265" s="7">
        <v>0</v>
      </c>
      <c r="AU265" s="7">
        <v>0</v>
      </c>
      <c r="AV265" s="7">
        <v>0</v>
      </c>
      <c r="AW265" s="7">
        <v>0</v>
      </c>
      <c r="AX265" s="7">
        <v>0</v>
      </c>
      <c r="AY265" s="7">
        <v>0</v>
      </c>
      <c r="AZ265" s="7">
        <v>0</v>
      </c>
      <c r="BA265" s="7">
        <v>0</v>
      </c>
      <c r="BB265" s="7">
        <v>0</v>
      </c>
      <c r="BC265" s="15">
        <v>0</v>
      </c>
      <c r="BD265" s="21">
        <f t="shared" si="72"/>
        <v>0</v>
      </c>
      <c r="BE265" s="21">
        <f t="shared" si="72"/>
        <v>0</v>
      </c>
      <c r="BF265" s="21">
        <f t="shared" si="72"/>
        <v>0</v>
      </c>
      <c r="BG265" s="21">
        <f t="shared" si="72"/>
        <v>0</v>
      </c>
      <c r="BH265" s="21">
        <f t="shared" si="72"/>
        <v>0</v>
      </c>
      <c r="BI265" s="21">
        <f t="shared" si="72"/>
        <v>0</v>
      </c>
      <c r="BJ265" s="23">
        <f t="shared" si="50"/>
        <v>0</v>
      </c>
    </row>
    <row r="266" spans="1:62" x14ac:dyDescent="0.25">
      <c r="A266" s="12"/>
      <c r="B266" s="2"/>
      <c r="C266" s="2" t="s">
        <v>7</v>
      </c>
      <c r="D266" s="4">
        <v>216</v>
      </c>
      <c r="E266" s="4">
        <v>254</v>
      </c>
      <c r="F266" s="4">
        <v>324</v>
      </c>
      <c r="G266" s="4">
        <v>270</v>
      </c>
      <c r="H266" s="4">
        <v>316</v>
      </c>
      <c r="I266" s="4">
        <v>327</v>
      </c>
      <c r="J266" s="4">
        <v>362</v>
      </c>
      <c r="K266" s="4">
        <v>404</v>
      </c>
      <c r="L266" s="4">
        <v>450</v>
      </c>
      <c r="M266" s="4">
        <v>470</v>
      </c>
      <c r="N266" s="4">
        <v>557</v>
      </c>
      <c r="O266" s="4">
        <v>523</v>
      </c>
      <c r="P266" s="4">
        <v>484</v>
      </c>
      <c r="Q266" s="4">
        <v>788</v>
      </c>
      <c r="R266" s="4">
        <v>722</v>
      </c>
      <c r="S266" s="3">
        <v>1013</v>
      </c>
      <c r="T266" s="4">
        <v>909</v>
      </c>
      <c r="U266" s="3">
        <v>1312</v>
      </c>
      <c r="V266" s="3">
        <v>1363</v>
      </c>
      <c r="W266" s="3">
        <v>1627</v>
      </c>
      <c r="X266" s="3">
        <v>1527</v>
      </c>
      <c r="Y266" s="3">
        <v>1496</v>
      </c>
      <c r="Z266" s="3">
        <v>1562</v>
      </c>
      <c r="AA266" s="3">
        <v>1602</v>
      </c>
      <c r="AB266" s="3">
        <v>1601</v>
      </c>
      <c r="AC266" s="3">
        <v>1682</v>
      </c>
      <c r="AD266" s="3">
        <v>1901</v>
      </c>
      <c r="AE266" s="3">
        <v>1957</v>
      </c>
      <c r="AF266" s="3">
        <v>2145</v>
      </c>
      <c r="AG266" s="3">
        <v>2040</v>
      </c>
      <c r="AH266" s="3">
        <v>2052</v>
      </c>
      <c r="AI266" s="3">
        <v>1801</v>
      </c>
      <c r="AJ266" s="3">
        <v>1711</v>
      </c>
      <c r="AK266" s="3">
        <v>1689</v>
      </c>
      <c r="AL266" s="3">
        <v>1747</v>
      </c>
      <c r="AM266" s="3">
        <v>1661</v>
      </c>
      <c r="AN266" s="3">
        <v>1504</v>
      </c>
      <c r="AO266" s="3">
        <v>1322</v>
      </c>
      <c r="AP266" s="3">
        <v>1472</v>
      </c>
      <c r="AQ266" s="3">
        <v>1525</v>
      </c>
      <c r="AR266" s="3">
        <v>1421</v>
      </c>
      <c r="AS266" s="3">
        <v>1616</v>
      </c>
      <c r="AT266" s="3">
        <v>1492</v>
      </c>
      <c r="AU266" s="3">
        <v>1274</v>
      </c>
      <c r="AV266" s="3">
        <v>1343</v>
      </c>
      <c r="AW266" s="3">
        <v>1011</v>
      </c>
      <c r="AX266" s="3">
        <v>1068</v>
      </c>
      <c r="AY266" s="4">
        <v>975</v>
      </c>
      <c r="AZ266" s="4">
        <v>988</v>
      </c>
      <c r="BA266" s="3">
        <v>1010</v>
      </c>
      <c r="BB266" s="3">
        <v>1000</v>
      </c>
      <c r="BC266" s="13">
        <v>0</v>
      </c>
      <c r="BD266" s="20">
        <f t="shared" si="72"/>
        <v>2.258158182752228E-2</v>
      </c>
      <c r="BE266" s="20">
        <f t="shared" si="72"/>
        <v>2.8083830760735229E-2</v>
      </c>
      <c r="BF266" s="20">
        <f t="shared" si="72"/>
        <v>2.5026309710208167E-2</v>
      </c>
      <c r="BG266" s="20">
        <f t="shared" si="72"/>
        <v>3.2777095843147662E-2</v>
      </c>
      <c r="BH266" s="20">
        <f t="shared" si="72"/>
        <v>2.7928326512553919E-2</v>
      </c>
      <c r="BI266" s="20">
        <f t="shared" si="72"/>
        <v>2.6227444397817875E-2</v>
      </c>
      <c r="BJ266" s="23">
        <f t="shared" si="50"/>
        <v>2.8977622251173157E-2</v>
      </c>
    </row>
    <row r="267" spans="1:62" s="5" customFormat="1" x14ac:dyDescent="0.25">
      <c r="A267" s="14"/>
      <c r="B267" s="6"/>
      <c r="C267" s="6" t="s">
        <v>8</v>
      </c>
      <c r="D267" s="7">
        <v>0</v>
      </c>
      <c r="E267" s="7">
        <v>0</v>
      </c>
      <c r="F267" s="7">
        <v>0</v>
      </c>
      <c r="G267" s="7">
        <v>0</v>
      </c>
      <c r="H267" s="7">
        <v>0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0</v>
      </c>
      <c r="Q267" s="7">
        <v>0</v>
      </c>
      <c r="R267" s="7">
        <v>0</v>
      </c>
      <c r="S267" s="7">
        <v>0</v>
      </c>
      <c r="T267" s="7">
        <v>0</v>
      </c>
      <c r="U267" s="7">
        <v>0</v>
      </c>
      <c r="V267" s="7">
        <v>0</v>
      </c>
      <c r="W267" s="7">
        <v>0</v>
      </c>
      <c r="X267" s="7">
        <v>0</v>
      </c>
      <c r="Y267" s="7">
        <v>0</v>
      </c>
      <c r="Z267" s="7">
        <v>0</v>
      </c>
      <c r="AA267" s="7">
        <v>5</v>
      </c>
      <c r="AB267" s="7">
        <v>0</v>
      </c>
      <c r="AC267" s="7">
        <v>1</v>
      </c>
      <c r="AD267" s="7">
        <v>0</v>
      </c>
      <c r="AE267" s="7">
        <v>0</v>
      </c>
      <c r="AF267" s="7">
        <v>0</v>
      </c>
      <c r="AG267" s="7">
        <v>0</v>
      </c>
      <c r="AH267" s="7">
        <v>0</v>
      </c>
      <c r="AI267" s="7">
        <v>0</v>
      </c>
      <c r="AJ267" s="7">
        <v>0</v>
      </c>
      <c r="AK267" s="7">
        <v>8</v>
      </c>
      <c r="AL267" s="7">
        <v>14</v>
      </c>
      <c r="AM267" s="7">
        <v>7</v>
      </c>
      <c r="AN267" s="7">
        <v>65</v>
      </c>
      <c r="AO267" s="7">
        <v>51</v>
      </c>
      <c r="AP267" s="7">
        <v>35</v>
      </c>
      <c r="AQ267" s="7">
        <v>24</v>
      </c>
      <c r="AR267" s="7">
        <v>14</v>
      </c>
      <c r="AS267" s="7">
        <v>4</v>
      </c>
      <c r="AT267" s="7">
        <v>7</v>
      </c>
      <c r="AU267" s="7">
        <v>5</v>
      </c>
      <c r="AV267" s="7">
        <v>9</v>
      </c>
      <c r="AW267" s="7">
        <v>6</v>
      </c>
      <c r="AX267" s="7">
        <v>3</v>
      </c>
      <c r="AY267" s="7">
        <v>4</v>
      </c>
      <c r="AZ267" s="7">
        <v>1</v>
      </c>
      <c r="BA267" s="7">
        <v>0</v>
      </c>
      <c r="BB267" s="7">
        <v>5</v>
      </c>
      <c r="BC267" s="15">
        <v>0</v>
      </c>
      <c r="BD267" s="21">
        <f t="shared" si="72"/>
        <v>1.3376733401703305E-4</v>
      </c>
      <c r="BE267" s="21">
        <f t="shared" si="72"/>
        <v>8.0051232788984944E-5</v>
      </c>
      <c r="BF267" s="21">
        <f t="shared" si="72"/>
        <v>1.0255095500576849E-4</v>
      </c>
      <c r="BG267" s="21">
        <f t="shared" si="72"/>
        <v>3.326126725428239E-5</v>
      </c>
      <c r="BH267" s="21">
        <f t="shared" si="72"/>
        <v>0</v>
      </c>
      <c r="BI267" s="21">
        <f t="shared" si="72"/>
        <v>1.3113034356150013E-4</v>
      </c>
      <c r="BJ267" s="23">
        <f t="shared" si="50"/>
        <v>5.4797203605260836E-5</v>
      </c>
    </row>
    <row r="268" spans="1:62" x14ac:dyDescent="0.25">
      <c r="A268" s="12"/>
      <c r="B268" s="2"/>
      <c r="C268" s="2" t="s">
        <v>9</v>
      </c>
      <c r="D268" s="4">
        <v>271</v>
      </c>
      <c r="E268" s="4">
        <v>261</v>
      </c>
      <c r="F268" s="4">
        <v>356</v>
      </c>
      <c r="G268" s="4">
        <v>330</v>
      </c>
      <c r="H268" s="4">
        <v>313</v>
      </c>
      <c r="I268" s="4">
        <v>340</v>
      </c>
      <c r="J268" s="4">
        <v>376</v>
      </c>
      <c r="K268" s="4">
        <v>422</v>
      </c>
      <c r="L268" s="4">
        <v>450</v>
      </c>
      <c r="M268" s="4">
        <v>480</v>
      </c>
      <c r="N268" s="4">
        <v>550</v>
      </c>
      <c r="O268" s="4">
        <v>540</v>
      </c>
      <c r="P268" s="4">
        <v>540</v>
      </c>
      <c r="Q268" s="4">
        <v>767</v>
      </c>
      <c r="R268" s="4">
        <v>744</v>
      </c>
      <c r="S268" s="4">
        <v>913</v>
      </c>
      <c r="T268" s="4">
        <v>951</v>
      </c>
      <c r="U268" s="3">
        <v>1156</v>
      </c>
      <c r="V268" s="3">
        <v>1270</v>
      </c>
      <c r="W268" s="3">
        <v>1550</v>
      </c>
      <c r="X268" s="3">
        <v>1461</v>
      </c>
      <c r="Y268" s="3">
        <v>1561</v>
      </c>
      <c r="Z268" s="3">
        <v>1565</v>
      </c>
      <c r="AA268" s="3">
        <v>1620</v>
      </c>
      <c r="AB268" s="3">
        <v>1637</v>
      </c>
      <c r="AC268" s="3">
        <v>1707</v>
      </c>
      <c r="AD268" s="3">
        <v>1844</v>
      </c>
      <c r="AE268" s="3">
        <v>1995</v>
      </c>
      <c r="AF268" s="3">
        <v>2071</v>
      </c>
      <c r="AG268" s="3">
        <v>2003</v>
      </c>
      <c r="AH268" s="3">
        <v>2001</v>
      </c>
      <c r="AI268" s="3">
        <v>1919</v>
      </c>
      <c r="AJ268" s="3">
        <v>1725</v>
      </c>
      <c r="AK268" s="3">
        <v>1750</v>
      </c>
      <c r="AL268" s="3">
        <v>1663</v>
      </c>
      <c r="AM268" s="3">
        <v>1667</v>
      </c>
      <c r="AN268" s="3">
        <v>1475</v>
      </c>
      <c r="AO268" s="3">
        <v>1353</v>
      </c>
      <c r="AP268" s="3">
        <v>1464</v>
      </c>
      <c r="AQ268" s="3">
        <v>1475</v>
      </c>
      <c r="AR268" s="3">
        <v>1450</v>
      </c>
      <c r="AS268" s="3">
        <v>1500</v>
      </c>
      <c r="AT268" s="3">
        <v>1500</v>
      </c>
      <c r="AU268" s="3">
        <v>1350</v>
      </c>
      <c r="AV268" s="3">
        <v>1350</v>
      </c>
      <c r="AW268" s="3">
        <v>1100</v>
      </c>
      <c r="AX268" s="3">
        <v>1100</v>
      </c>
      <c r="AY268" s="3">
        <v>1000</v>
      </c>
      <c r="AZ268" s="3">
        <v>1000</v>
      </c>
      <c r="BA268" s="3">
        <v>1025</v>
      </c>
      <c r="BB268" s="3">
        <v>1000</v>
      </c>
      <c r="BC268" s="13">
        <v>0</v>
      </c>
      <c r="BD268" s="20">
        <f t="shared" si="72"/>
        <v>9.5620577548288389E-3</v>
      </c>
      <c r="BE268" s="20">
        <f t="shared" si="72"/>
        <v>9.0174282294689552E-3</v>
      </c>
      <c r="BF268" s="20">
        <f t="shared" si="72"/>
        <v>8.2525273364968017E-3</v>
      </c>
      <c r="BG268" s="20">
        <f t="shared" si="72"/>
        <v>9.3117672803121297E-3</v>
      </c>
      <c r="BH268" s="20">
        <f t="shared" si="72"/>
        <v>8.6533672151353717E-3</v>
      </c>
      <c r="BI268" s="20">
        <f t="shared" si="72"/>
        <v>8.5489813888675169E-3</v>
      </c>
      <c r="BJ268" s="23">
        <f t="shared" si="50"/>
        <v>8.8380386281050067E-3</v>
      </c>
    </row>
    <row r="269" spans="1:62" s="5" customFormat="1" x14ac:dyDescent="0.25">
      <c r="A269" s="14"/>
      <c r="B269" s="6" t="s">
        <v>11</v>
      </c>
      <c r="C269" s="6" t="s">
        <v>6</v>
      </c>
      <c r="D269" s="7">
        <v>0</v>
      </c>
      <c r="E269" s="7">
        <v>0</v>
      </c>
      <c r="F269" s="7">
        <v>0</v>
      </c>
      <c r="G269" s="7">
        <v>0</v>
      </c>
      <c r="H269" s="7">
        <v>163</v>
      </c>
      <c r="I269" s="7">
        <v>174</v>
      </c>
      <c r="J269" s="7">
        <v>161</v>
      </c>
      <c r="K269" s="7">
        <v>201</v>
      </c>
      <c r="L269" s="7">
        <v>245</v>
      </c>
      <c r="M269" s="7">
        <v>229</v>
      </c>
      <c r="N269" s="7">
        <v>232</v>
      </c>
      <c r="O269" s="7">
        <v>229</v>
      </c>
      <c r="P269" s="7">
        <v>224</v>
      </c>
      <c r="Q269" s="7">
        <v>246</v>
      </c>
      <c r="R269" s="7">
        <v>319</v>
      </c>
      <c r="S269" s="7">
        <v>311</v>
      </c>
      <c r="T269" s="7">
        <v>295</v>
      </c>
      <c r="U269" s="7">
        <v>319</v>
      </c>
      <c r="V269" s="7">
        <v>293</v>
      </c>
      <c r="W269" s="7">
        <v>257</v>
      </c>
      <c r="X269" s="7">
        <v>216</v>
      </c>
      <c r="Y269" s="7">
        <v>257</v>
      </c>
      <c r="Z269" s="7">
        <v>233</v>
      </c>
      <c r="AA269" s="7">
        <v>226</v>
      </c>
      <c r="AB269" s="7">
        <v>254</v>
      </c>
      <c r="AC269" s="7">
        <v>234</v>
      </c>
      <c r="AD269" s="7">
        <v>199</v>
      </c>
      <c r="AE269" s="7">
        <v>203</v>
      </c>
      <c r="AF269" s="7">
        <v>239</v>
      </c>
      <c r="AG269" s="7">
        <v>252</v>
      </c>
      <c r="AH269" s="7">
        <v>233</v>
      </c>
      <c r="AI269" s="7">
        <v>183</v>
      </c>
      <c r="AJ269" s="7">
        <v>176</v>
      </c>
      <c r="AK269" s="7">
        <v>170</v>
      </c>
      <c r="AL269" s="7">
        <v>154</v>
      </c>
      <c r="AM269" s="7">
        <v>160</v>
      </c>
      <c r="AN269" s="7">
        <v>160</v>
      </c>
      <c r="AO269" s="7">
        <v>156</v>
      </c>
      <c r="AP269" s="7">
        <v>140</v>
      </c>
      <c r="AQ269" s="7">
        <v>116</v>
      </c>
      <c r="AR269" s="7">
        <v>113</v>
      </c>
      <c r="AS269" s="7">
        <v>118</v>
      </c>
      <c r="AT269" s="7">
        <v>115</v>
      </c>
      <c r="AU269" s="7">
        <v>105</v>
      </c>
      <c r="AV269" s="7">
        <v>139</v>
      </c>
      <c r="AW269" s="7">
        <v>183</v>
      </c>
      <c r="AX269" s="7">
        <v>156</v>
      </c>
      <c r="AY269" s="7">
        <v>114</v>
      </c>
      <c r="AZ269" s="7">
        <v>132</v>
      </c>
      <c r="BA269" s="7">
        <v>130</v>
      </c>
      <c r="BB269" s="7">
        <v>145</v>
      </c>
      <c r="BC269" s="15">
        <v>0</v>
      </c>
      <c r="BD269" s="21">
        <f t="shared" si="72"/>
        <v>8.2931139963292777E-4</v>
      </c>
      <c r="BE269" s="21">
        <f t="shared" si="72"/>
        <v>6.6036497864396587E-4</v>
      </c>
      <c r="BF269" s="21">
        <f t="shared" si="72"/>
        <v>5.1724137931034484E-4</v>
      </c>
      <c r="BG269" s="21">
        <f t="shared" si="72"/>
        <v>6.2278251679625575E-4</v>
      </c>
      <c r="BH269" s="21">
        <f t="shared" si="72"/>
        <v>4.9957344113871996E-4</v>
      </c>
      <c r="BI269" s="21">
        <f t="shared" si="72"/>
        <v>5.5561516177980784E-4</v>
      </c>
      <c r="BJ269" s="23">
        <f t="shared" ref="BJ269:BJ333" si="73">AVERAGE(BH269,BI269,BG269)</f>
        <v>5.5932370657159455E-4</v>
      </c>
    </row>
    <row r="270" spans="1:62" x14ac:dyDescent="0.25">
      <c r="A270" s="12"/>
      <c r="B270" s="2"/>
      <c r="C270" s="2" t="s">
        <v>7</v>
      </c>
      <c r="D270" s="4">
        <v>0</v>
      </c>
      <c r="E270" s="4">
        <v>0</v>
      </c>
      <c r="F270" s="4">
        <v>0</v>
      </c>
      <c r="G270" s="4">
        <v>0</v>
      </c>
      <c r="H270" s="4">
        <v>0</v>
      </c>
      <c r="I270" s="4">
        <v>0</v>
      </c>
      <c r="J270" s="4">
        <v>26</v>
      </c>
      <c r="K270" s="4">
        <v>4</v>
      </c>
      <c r="L270" s="4">
        <v>18</v>
      </c>
      <c r="M270" s="4">
        <v>30</v>
      </c>
      <c r="N270" s="4">
        <v>62</v>
      </c>
      <c r="O270" s="4">
        <v>37</v>
      </c>
      <c r="P270" s="4">
        <v>71</v>
      </c>
      <c r="Q270" s="4">
        <v>50</v>
      </c>
      <c r="R270" s="4">
        <v>57</v>
      </c>
      <c r="S270" s="4">
        <v>148</v>
      </c>
      <c r="T270" s="4">
        <v>133</v>
      </c>
      <c r="U270" s="4">
        <v>239</v>
      </c>
      <c r="V270" s="4">
        <v>428</v>
      </c>
      <c r="W270" s="4">
        <v>417</v>
      </c>
      <c r="X270" s="4">
        <v>529</v>
      </c>
      <c r="Y270" s="4">
        <v>541</v>
      </c>
      <c r="Z270" s="4">
        <v>695</v>
      </c>
      <c r="AA270" s="4">
        <v>712</v>
      </c>
      <c r="AB270" s="4">
        <v>809</v>
      </c>
      <c r="AC270" s="3">
        <v>1005</v>
      </c>
      <c r="AD270" s="3">
        <v>1014</v>
      </c>
      <c r="AE270" s="3">
        <v>1096</v>
      </c>
      <c r="AF270" s="3">
        <v>1009</v>
      </c>
      <c r="AG270" s="3">
        <v>1075</v>
      </c>
      <c r="AH270" s="4">
        <v>929</v>
      </c>
      <c r="AI270" s="3">
        <v>1330</v>
      </c>
      <c r="AJ270" s="3">
        <v>1131</v>
      </c>
      <c r="AK270" s="3">
        <v>1160</v>
      </c>
      <c r="AL270" s="3">
        <v>1384</v>
      </c>
      <c r="AM270" s="3">
        <v>1422</v>
      </c>
      <c r="AN270" s="3">
        <v>1620</v>
      </c>
      <c r="AO270" s="3">
        <v>1349</v>
      </c>
      <c r="AP270" s="3">
        <v>1400</v>
      </c>
      <c r="AQ270" s="3">
        <v>1606</v>
      </c>
      <c r="AR270" s="3">
        <v>1389</v>
      </c>
      <c r="AS270" s="3">
        <v>1434</v>
      </c>
      <c r="AT270" s="3">
        <v>1516</v>
      </c>
      <c r="AU270" s="3">
        <v>1368</v>
      </c>
      <c r="AV270" s="3">
        <v>1240</v>
      </c>
      <c r="AW270" s="3">
        <v>1190</v>
      </c>
      <c r="AX270" s="3">
        <v>1231</v>
      </c>
      <c r="AY270" s="3">
        <v>1232</v>
      </c>
      <c r="AZ270" s="3">
        <v>1167</v>
      </c>
      <c r="BA270" s="3">
        <v>1197</v>
      </c>
      <c r="BB270" s="3">
        <v>1260</v>
      </c>
      <c r="BC270" s="13">
        <v>0</v>
      </c>
      <c r="BD270" s="20">
        <f t="shared" si="72"/>
        <v>1.8556347362347767E-2</v>
      </c>
      <c r="BE270" s="20">
        <f t="shared" si="72"/>
        <v>1.7824305344395698E-2</v>
      </c>
      <c r="BF270" s="20">
        <f t="shared" si="72"/>
        <v>1.5772426418814253E-2</v>
      </c>
      <c r="BG270" s="20">
        <f t="shared" si="72"/>
        <v>1.5082196029776675E-2</v>
      </c>
      <c r="BH270" s="20">
        <f t="shared" si="72"/>
        <v>1.3803840166061235E-2</v>
      </c>
      <c r="BI270" s="20">
        <f t="shared" si="72"/>
        <v>1.3211701793016672E-2</v>
      </c>
      <c r="BJ270" s="23">
        <f t="shared" si="73"/>
        <v>1.4032579329618195E-2</v>
      </c>
    </row>
    <row r="271" spans="1:62" s="5" customFormat="1" x14ac:dyDescent="0.25">
      <c r="A271" s="14"/>
      <c r="B271" s="6"/>
      <c r="C271" s="6" t="s">
        <v>9</v>
      </c>
      <c r="D271" s="7">
        <v>0</v>
      </c>
      <c r="E271" s="7">
        <v>0</v>
      </c>
      <c r="F271" s="7">
        <v>0</v>
      </c>
      <c r="G271" s="7">
        <v>0</v>
      </c>
      <c r="H271" s="7">
        <v>163</v>
      </c>
      <c r="I271" s="7">
        <v>174</v>
      </c>
      <c r="J271" s="7">
        <v>187</v>
      </c>
      <c r="K271" s="7">
        <v>205</v>
      </c>
      <c r="L271" s="7">
        <v>263</v>
      </c>
      <c r="M271" s="7">
        <v>254</v>
      </c>
      <c r="N271" s="7">
        <v>290</v>
      </c>
      <c r="O271" s="7">
        <v>261</v>
      </c>
      <c r="P271" s="7">
        <v>289</v>
      </c>
      <c r="Q271" s="7">
        <v>296</v>
      </c>
      <c r="R271" s="7">
        <v>376</v>
      </c>
      <c r="S271" s="7">
        <v>459</v>
      </c>
      <c r="T271" s="7">
        <v>428</v>
      </c>
      <c r="U271" s="7">
        <v>515</v>
      </c>
      <c r="V271" s="7">
        <v>681</v>
      </c>
      <c r="W271" s="7">
        <v>733</v>
      </c>
      <c r="X271" s="7">
        <v>727</v>
      </c>
      <c r="Y271" s="7">
        <v>806</v>
      </c>
      <c r="Z271" s="7">
        <v>919</v>
      </c>
      <c r="AA271" s="7">
        <v>937</v>
      </c>
      <c r="AB271" s="8">
        <v>1108</v>
      </c>
      <c r="AC271" s="8">
        <v>1220</v>
      </c>
      <c r="AD271" s="8">
        <v>1231</v>
      </c>
      <c r="AE271" s="8">
        <v>1252</v>
      </c>
      <c r="AF271" s="8">
        <v>1286</v>
      </c>
      <c r="AG271" s="8">
        <v>1179</v>
      </c>
      <c r="AH271" s="8">
        <v>1162</v>
      </c>
      <c r="AI271" s="8">
        <v>1523</v>
      </c>
      <c r="AJ271" s="8">
        <v>1296</v>
      </c>
      <c r="AK271" s="8">
        <v>1334</v>
      </c>
      <c r="AL271" s="8">
        <v>1523</v>
      </c>
      <c r="AM271" s="8">
        <v>1589</v>
      </c>
      <c r="AN271" s="8">
        <v>1796</v>
      </c>
      <c r="AO271" s="8">
        <v>1563</v>
      </c>
      <c r="AP271" s="8">
        <v>1573</v>
      </c>
      <c r="AQ271" s="8">
        <v>1687</v>
      </c>
      <c r="AR271" s="8">
        <v>1491</v>
      </c>
      <c r="AS271" s="8">
        <v>1555</v>
      </c>
      <c r="AT271" s="8">
        <v>1631</v>
      </c>
      <c r="AU271" s="8">
        <v>1531</v>
      </c>
      <c r="AV271" s="8">
        <v>1370</v>
      </c>
      <c r="AW271" s="8">
        <v>1372</v>
      </c>
      <c r="AX271" s="8">
        <v>1374</v>
      </c>
      <c r="AY271" s="8">
        <v>1386</v>
      </c>
      <c r="AZ271" s="8">
        <v>1292</v>
      </c>
      <c r="BA271" s="8">
        <v>1334</v>
      </c>
      <c r="BB271" s="8">
        <v>1388</v>
      </c>
      <c r="BC271" s="15">
        <v>0</v>
      </c>
      <c r="BD271" s="21">
        <f t="shared" ref="BD271:BI277" si="74">AW271/AW558</f>
        <v>6.3478550542251178E-3</v>
      </c>
      <c r="BE271" s="21">
        <f t="shared" si="74"/>
        <v>6.0910735184594106E-3</v>
      </c>
      <c r="BF271" s="21">
        <f t="shared" si="74"/>
        <v>6.0117632770616096E-3</v>
      </c>
      <c r="BG271" s="21">
        <f t="shared" si="74"/>
        <v>5.8372526961149741E-3</v>
      </c>
      <c r="BH271" s="21">
        <f t="shared" si="74"/>
        <v>5.6058899665495619E-3</v>
      </c>
      <c r="BI271" s="21">
        <f t="shared" si="74"/>
        <v>5.4267081619567429E-3</v>
      </c>
      <c r="BJ271" s="23">
        <f t="shared" si="73"/>
        <v>5.6232836082070929E-3</v>
      </c>
    </row>
    <row r="272" spans="1:62" x14ac:dyDescent="0.25">
      <c r="A272" s="12"/>
      <c r="B272" s="2" t="s">
        <v>12</v>
      </c>
      <c r="C272" s="2" t="s">
        <v>6</v>
      </c>
      <c r="D272" s="3">
        <v>3047</v>
      </c>
      <c r="E272" s="3">
        <v>3463</v>
      </c>
      <c r="F272" s="3">
        <v>3015</v>
      </c>
      <c r="G272" s="3">
        <v>3758</v>
      </c>
      <c r="H272" s="3">
        <v>3954</v>
      </c>
      <c r="I272" s="3">
        <v>3501</v>
      </c>
      <c r="J272" s="3">
        <v>3919</v>
      </c>
      <c r="K272" s="3">
        <v>3603</v>
      </c>
      <c r="L272" s="3">
        <v>3195</v>
      </c>
      <c r="M272" s="3">
        <v>4090</v>
      </c>
      <c r="N272" s="3">
        <v>3939</v>
      </c>
      <c r="O272" s="3">
        <v>3998</v>
      </c>
      <c r="P272" s="3">
        <v>3957</v>
      </c>
      <c r="Q272" s="3">
        <v>4212</v>
      </c>
      <c r="R272" s="3">
        <v>4445</v>
      </c>
      <c r="S272" s="3">
        <v>4669</v>
      </c>
      <c r="T272" s="3">
        <v>5215</v>
      </c>
      <c r="U272" s="3">
        <v>6006</v>
      </c>
      <c r="V272" s="3">
        <v>5797</v>
      </c>
      <c r="W272" s="3">
        <v>5136</v>
      </c>
      <c r="X272" s="3">
        <v>4000</v>
      </c>
      <c r="Y272" s="3">
        <v>5063</v>
      </c>
      <c r="Z272" s="3">
        <v>5175</v>
      </c>
      <c r="AA272" s="3">
        <v>5404</v>
      </c>
      <c r="AB272" s="3">
        <v>5682</v>
      </c>
      <c r="AC272" s="3">
        <v>5626</v>
      </c>
      <c r="AD272" s="3">
        <v>5607</v>
      </c>
      <c r="AE272" s="3">
        <v>5493</v>
      </c>
      <c r="AF272" s="3">
        <v>6053</v>
      </c>
      <c r="AG272" s="3">
        <v>5898</v>
      </c>
      <c r="AH272" s="3">
        <v>5606</v>
      </c>
      <c r="AI272" s="3">
        <v>5385</v>
      </c>
      <c r="AJ272" s="3">
        <v>5331</v>
      </c>
      <c r="AK272" s="3">
        <v>4750</v>
      </c>
      <c r="AL272" s="3">
        <v>5060</v>
      </c>
      <c r="AM272" s="3">
        <v>4694</v>
      </c>
      <c r="AN272" s="3">
        <v>5323</v>
      </c>
      <c r="AO272" s="3">
        <v>5450</v>
      </c>
      <c r="AP272" s="3">
        <v>5100</v>
      </c>
      <c r="AQ272" s="3">
        <v>5263</v>
      </c>
      <c r="AR272" s="3">
        <v>5291</v>
      </c>
      <c r="AS272" s="3">
        <v>5515</v>
      </c>
      <c r="AT272" s="3">
        <v>4927</v>
      </c>
      <c r="AU272" s="3">
        <v>4451</v>
      </c>
      <c r="AV272" s="3">
        <v>5000</v>
      </c>
      <c r="AW272" s="3">
        <v>4768</v>
      </c>
      <c r="AX272" s="3">
        <v>4680</v>
      </c>
      <c r="AY272" s="3">
        <v>4408</v>
      </c>
      <c r="AZ272" s="3">
        <v>4843</v>
      </c>
      <c r="BA272" s="3">
        <v>4916</v>
      </c>
      <c r="BB272" s="3">
        <v>4300</v>
      </c>
      <c r="BC272" s="13">
        <v>0</v>
      </c>
      <c r="BD272" s="20">
        <f t="shared" si="74"/>
        <v>1.1390239940373241E-2</v>
      </c>
      <c r="BE272" s="20">
        <f t="shared" si="74"/>
        <v>1.1135221562357241E-2</v>
      </c>
      <c r="BF272" s="20">
        <f t="shared" si="74"/>
        <v>1.0165981323929955E-2</v>
      </c>
      <c r="BG272" s="20">
        <f t="shared" si="74"/>
        <v>1.0808554894202035E-2</v>
      </c>
      <c r="BH272" s="20">
        <f t="shared" si="74"/>
        <v>1.1163770883813668E-2</v>
      </c>
      <c r="BI272" s="20">
        <f t="shared" si="74"/>
        <v>9.5411166656681774E-3</v>
      </c>
      <c r="BJ272" s="23">
        <f t="shared" si="73"/>
        <v>1.0504480814561295E-2</v>
      </c>
    </row>
    <row r="273" spans="1:62" s="5" customFormat="1" x14ac:dyDescent="0.25">
      <c r="A273" s="14"/>
      <c r="B273" s="6"/>
      <c r="C273" s="6" t="s">
        <v>7</v>
      </c>
      <c r="D273" s="7">
        <v>5</v>
      </c>
      <c r="E273" s="7">
        <v>0</v>
      </c>
      <c r="F273" s="7">
        <v>117</v>
      </c>
      <c r="G273" s="7">
        <v>0</v>
      </c>
      <c r="H273" s="7">
        <v>0</v>
      </c>
      <c r="I273" s="7">
        <v>18</v>
      </c>
      <c r="J273" s="7">
        <v>139</v>
      </c>
      <c r="K273" s="7">
        <v>247</v>
      </c>
      <c r="L273" s="7">
        <v>631</v>
      </c>
      <c r="M273" s="7">
        <v>254</v>
      </c>
      <c r="N273" s="7">
        <v>937</v>
      </c>
      <c r="O273" s="7">
        <v>584</v>
      </c>
      <c r="P273" s="7">
        <v>437</v>
      </c>
      <c r="Q273" s="7">
        <v>206</v>
      </c>
      <c r="R273" s="7">
        <v>489</v>
      </c>
      <c r="S273" s="7">
        <v>168</v>
      </c>
      <c r="T273" s="7">
        <v>55</v>
      </c>
      <c r="U273" s="7">
        <v>0</v>
      </c>
      <c r="V273" s="7">
        <v>501</v>
      </c>
      <c r="W273" s="7">
        <v>580</v>
      </c>
      <c r="X273" s="8">
        <v>2245</v>
      </c>
      <c r="Y273" s="7">
        <v>269</v>
      </c>
      <c r="Z273" s="7">
        <v>216</v>
      </c>
      <c r="AA273" s="7">
        <v>7</v>
      </c>
      <c r="AB273" s="7">
        <v>0</v>
      </c>
      <c r="AC273" s="7">
        <v>0</v>
      </c>
      <c r="AD273" s="7">
        <v>0</v>
      </c>
      <c r="AE273" s="7">
        <v>1</v>
      </c>
      <c r="AF273" s="7">
        <v>2</v>
      </c>
      <c r="AG273" s="7">
        <v>11</v>
      </c>
      <c r="AH273" s="7">
        <v>2</v>
      </c>
      <c r="AI273" s="7">
        <v>1</v>
      </c>
      <c r="AJ273" s="7">
        <v>1</v>
      </c>
      <c r="AK273" s="7">
        <v>0</v>
      </c>
      <c r="AL273" s="7">
        <v>1</v>
      </c>
      <c r="AM273" s="7">
        <v>115</v>
      </c>
      <c r="AN273" s="7">
        <v>0</v>
      </c>
      <c r="AO273" s="7">
        <v>77</v>
      </c>
      <c r="AP273" s="7">
        <v>99</v>
      </c>
      <c r="AQ273" s="7">
        <v>101</v>
      </c>
      <c r="AR273" s="7">
        <v>95</v>
      </c>
      <c r="AS273" s="7">
        <v>117</v>
      </c>
      <c r="AT273" s="7">
        <v>133</v>
      </c>
      <c r="AU273" s="7">
        <v>193</v>
      </c>
      <c r="AV273" s="7">
        <v>192</v>
      </c>
      <c r="AW273" s="7">
        <v>217</v>
      </c>
      <c r="AX273" s="7">
        <v>255</v>
      </c>
      <c r="AY273" s="7">
        <v>254</v>
      </c>
      <c r="AZ273" s="7">
        <v>250</v>
      </c>
      <c r="BA273" s="7">
        <v>310</v>
      </c>
      <c r="BB273" s="7">
        <v>330</v>
      </c>
      <c r="BC273" s="15">
        <v>0</v>
      </c>
      <c r="BD273" s="21">
        <f t="shared" si="74"/>
        <v>8.1886792452830186E-3</v>
      </c>
      <c r="BE273" s="21">
        <f t="shared" si="74"/>
        <v>9.0342237653227523E-3</v>
      </c>
      <c r="BF273" s="21">
        <f t="shared" si="74"/>
        <v>8.6285966640622346E-3</v>
      </c>
      <c r="BG273" s="21">
        <f t="shared" si="74"/>
        <v>9.2084422999005495E-3</v>
      </c>
      <c r="BH273" s="21">
        <f t="shared" si="74"/>
        <v>1.1041852181656278E-2</v>
      </c>
      <c r="BI273" s="21">
        <f t="shared" si="74"/>
        <v>1.1288998357963875E-2</v>
      </c>
      <c r="BJ273" s="23">
        <f t="shared" si="73"/>
        <v>1.0513097613173567E-2</v>
      </c>
    </row>
    <row r="274" spans="1:62" x14ac:dyDescent="0.25">
      <c r="A274" s="12"/>
      <c r="B274" s="2"/>
      <c r="C274" s="2" t="s">
        <v>8</v>
      </c>
      <c r="D274" s="4">
        <v>4</v>
      </c>
      <c r="E274" s="4">
        <v>60</v>
      </c>
      <c r="F274" s="4">
        <v>5</v>
      </c>
      <c r="G274" s="4">
        <v>13</v>
      </c>
      <c r="H274" s="4">
        <v>19</v>
      </c>
      <c r="I274" s="4">
        <v>40</v>
      </c>
      <c r="J274" s="4">
        <v>0</v>
      </c>
      <c r="K274" s="4">
        <v>0</v>
      </c>
      <c r="L274" s="4">
        <v>0</v>
      </c>
      <c r="M274" s="4">
        <v>0</v>
      </c>
      <c r="N274" s="4">
        <v>0</v>
      </c>
      <c r="O274" s="4">
        <v>0</v>
      </c>
      <c r="P274" s="4">
        <v>0</v>
      </c>
      <c r="Q274" s="4">
        <v>0</v>
      </c>
      <c r="R274" s="4">
        <v>0</v>
      </c>
      <c r="S274" s="4">
        <v>0</v>
      </c>
      <c r="T274" s="4">
        <v>0</v>
      </c>
      <c r="U274" s="4">
        <v>80</v>
      </c>
      <c r="V274" s="4">
        <v>0</v>
      </c>
      <c r="W274" s="4">
        <v>0</v>
      </c>
      <c r="X274" s="4">
        <v>0</v>
      </c>
      <c r="Y274" s="4">
        <v>0</v>
      </c>
      <c r="Z274" s="4">
        <v>0</v>
      </c>
      <c r="AA274" s="4">
        <v>135</v>
      </c>
      <c r="AB274" s="4">
        <v>0</v>
      </c>
      <c r="AC274" s="4">
        <v>0</v>
      </c>
      <c r="AD274" s="4">
        <v>0</v>
      </c>
      <c r="AE274" s="4">
        <v>0</v>
      </c>
      <c r="AF274" s="4">
        <v>0</v>
      </c>
      <c r="AG274" s="4">
        <v>1</v>
      </c>
      <c r="AH274" s="4">
        <v>17</v>
      </c>
      <c r="AI274" s="4">
        <v>2</v>
      </c>
      <c r="AJ274" s="4">
        <v>2</v>
      </c>
      <c r="AK274" s="4">
        <v>0</v>
      </c>
      <c r="AL274" s="4">
        <v>151</v>
      </c>
      <c r="AM274" s="4">
        <v>0</v>
      </c>
      <c r="AN274" s="4">
        <v>0</v>
      </c>
      <c r="AO274" s="4">
        <v>0</v>
      </c>
      <c r="AP274" s="4">
        <v>0</v>
      </c>
      <c r="AQ274" s="4">
        <v>0</v>
      </c>
      <c r="AR274" s="4">
        <v>0</v>
      </c>
      <c r="AS274" s="4">
        <v>126</v>
      </c>
      <c r="AT274" s="4">
        <v>568</v>
      </c>
      <c r="AU274" s="4">
        <v>211</v>
      </c>
      <c r="AV274" s="4">
        <v>269</v>
      </c>
      <c r="AW274" s="4">
        <v>221</v>
      </c>
      <c r="AX274" s="4">
        <v>161</v>
      </c>
      <c r="AY274" s="4">
        <v>0</v>
      </c>
      <c r="AZ274" s="4">
        <v>3</v>
      </c>
      <c r="BA274" s="4">
        <v>9</v>
      </c>
      <c r="BB274" s="4">
        <v>5</v>
      </c>
      <c r="BC274" s="13">
        <v>0</v>
      </c>
      <c r="BD274" s="20">
        <f t="shared" si="74"/>
        <v>7.4450882630373262E-3</v>
      </c>
      <c r="BE274" s="20">
        <f t="shared" si="74"/>
        <v>5.1282051282051282E-3</v>
      </c>
      <c r="BF274" s="20">
        <f t="shared" si="74"/>
        <v>0</v>
      </c>
      <c r="BG274" s="20">
        <f t="shared" si="74"/>
        <v>1.0376314333148866E-4</v>
      </c>
      <c r="BH274" s="20">
        <f t="shared" si="74"/>
        <v>2.9206555249067012E-4</v>
      </c>
      <c r="BI274" s="20">
        <f t="shared" si="74"/>
        <v>1.6447909470706273E-4</v>
      </c>
      <c r="BJ274" s="23">
        <f t="shared" si="73"/>
        <v>1.8676926350974052E-4</v>
      </c>
    </row>
    <row r="275" spans="1:62" s="5" customFormat="1" x14ac:dyDescent="0.25">
      <c r="A275" s="14"/>
      <c r="B275" s="6"/>
      <c r="C275" s="6" t="s">
        <v>9</v>
      </c>
      <c r="D275" s="8">
        <v>3121</v>
      </c>
      <c r="E275" s="8">
        <v>3442</v>
      </c>
      <c r="F275" s="8">
        <v>3127</v>
      </c>
      <c r="G275" s="8">
        <v>3740</v>
      </c>
      <c r="H275" s="8">
        <v>3913</v>
      </c>
      <c r="I275" s="8">
        <v>3444</v>
      </c>
      <c r="J275" s="8">
        <v>4119</v>
      </c>
      <c r="K275" s="8">
        <v>3811</v>
      </c>
      <c r="L275" s="8">
        <v>3866</v>
      </c>
      <c r="M275" s="8">
        <v>4271</v>
      </c>
      <c r="N275" s="8">
        <v>4945</v>
      </c>
      <c r="O275" s="8">
        <v>3973</v>
      </c>
      <c r="P275" s="8">
        <v>4296</v>
      </c>
      <c r="Q275" s="8">
        <v>4641</v>
      </c>
      <c r="R275" s="8">
        <v>4707</v>
      </c>
      <c r="S275" s="8">
        <v>4646</v>
      </c>
      <c r="T275" s="8">
        <v>5100</v>
      </c>
      <c r="U275" s="8">
        <v>5784</v>
      </c>
      <c r="V275" s="8">
        <v>6764</v>
      </c>
      <c r="W275" s="8">
        <v>5786</v>
      </c>
      <c r="X275" s="8">
        <v>5432</v>
      </c>
      <c r="Y275" s="8">
        <v>5404</v>
      </c>
      <c r="Z275" s="8">
        <v>5303</v>
      </c>
      <c r="AA275" s="8">
        <v>5540</v>
      </c>
      <c r="AB275" s="8">
        <v>5497</v>
      </c>
      <c r="AC275" s="8">
        <v>5807</v>
      </c>
      <c r="AD275" s="8">
        <v>5700</v>
      </c>
      <c r="AE275" s="8">
        <v>5506</v>
      </c>
      <c r="AF275" s="8">
        <v>5591</v>
      </c>
      <c r="AG275" s="8">
        <v>5468</v>
      </c>
      <c r="AH275" s="8">
        <v>5490</v>
      </c>
      <c r="AI275" s="8">
        <v>5526</v>
      </c>
      <c r="AJ275" s="8">
        <v>5500</v>
      </c>
      <c r="AK275" s="8">
        <v>5424</v>
      </c>
      <c r="AL275" s="8">
        <v>5406</v>
      </c>
      <c r="AM275" s="8">
        <v>5230</v>
      </c>
      <c r="AN275" s="8">
        <v>5070</v>
      </c>
      <c r="AO275" s="8">
        <v>5216</v>
      </c>
      <c r="AP275" s="8">
        <v>5280</v>
      </c>
      <c r="AQ275" s="8">
        <v>5114</v>
      </c>
      <c r="AR275" s="8">
        <v>5152</v>
      </c>
      <c r="AS275" s="8">
        <v>5155</v>
      </c>
      <c r="AT275" s="8">
        <v>5134</v>
      </c>
      <c r="AU275" s="8">
        <v>4512</v>
      </c>
      <c r="AV275" s="8">
        <v>4951</v>
      </c>
      <c r="AW275" s="8">
        <v>4766</v>
      </c>
      <c r="AX275" s="8">
        <v>4887</v>
      </c>
      <c r="AY275" s="8">
        <v>4670</v>
      </c>
      <c r="AZ275" s="8">
        <v>4788</v>
      </c>
      <c r="BA275" s="8">
        <v>4760</v>
      </c>
      <c r="BB275" s="8">
        <v>4800</v>
      </c>
      <c r="BC275" s="15">
        <v>0</v>
      </c>
      <c r="BD275" s="21">
        <f t="shared" si="74"/>
        <v>1.1541823976286709E-2</v>
      </c>
      <c r="BE275" s="21">
        <f t="shared" si="74"/>
        <v>1.167527121652647E-2</v>
      </c>
      <c r="BF275" s="21">
        <f t="shared" si="74"/>
        <v>1.095531778632204E-2</v>
      </c>
      <c r="BG275" s="21">
        <f t="shared" si="74"/>
        <v>1.100411390223162E-2</v>
      </c>
      <c r="BH275" s="21">
        <f t="shared" si="74"/>
        <v>1.0935313942295542E-2</v>
      </c>
      <c r="BI275" s="21">
        <f t="shared" si="74"/>
        <v>1.0756736406174366E-2</v>
      </c>
      <c r="BJ275" s="23">
        <f t="shared" si="73"/>
        <v>1.0898721416900509E-2</v>
      </c>
    </row>
    <row r="276" spans="1:62" x14ac:dyDescent="0.25">
      <c r="A276" s="12"/>
      <c r="B276" s="2" t="s">
        <v>13</v>
      </c>
      <c r="C276" s="2" t="s">
        <v>6</v>
      </c>
      <c r="D276" s="4">
        <v>0</v>
      </c>
      <c r="E276" s="4">
        <v>0</v>
      </c>
      <c r="F276" s="4">
        <v>0</v>
      </c>
      <c r="G276" s="4">
        <v>0</v>
      </c>
      <c r="H276" s="4">
        <v>0</v>
      </c>
      <c r="I276" s="4">
        <v>0</v>
      </c>
      <c r="J276" s="4">
        <v>0</v>
      </c>
      <c r="K276" s="4">
        <v>0</v>
      </c>
      <c r="L276" s="4">
        <v>0</v>
      </c>
      <c r="M276" s="4">
        <v>0</v>
      </c>
      <c r="N276" s="4">
        <v>0</v>
      </c>
      <c r="O276" s="4">
        <v>0</v>
      </c>
      <c r="P276" s="4">
        <v>0</v>
      </c>
      <c r="Q276" s="4">
        <v>0</v>
      </c>
      <c r="R276" s="4">
        <v>5</v>
      </c>
      <c r="S276" s="4">
        <v>4</v>
      </c>
      <c r="T276" s="4">
        <v>4</v>
      </c>
      <c r="U276" s="4">
        <v>5</v>
      </c>
      <c r="V276" s="4">
        <v>5</v>
      </c>
      <c r="W276" s="4">
        <v>4</v>
      </c>
      <c r="X276" s="4">
        <v>4</v>
      </c>
      <c r="Y276" s="4">
        <v>5</v>
      </c>
      <c r="Z276" s="4">
        <v>4</v>
      </c>
      <c r="AA276" s="4">
        <v>3</v>
      </c>
      <c r="AB276" s="4">
        <v>3</v>
      </c>
      <c r="AC276" s="4">
        <v>2</v>
      </c>
      <c r="AD276" s="4">
        <v>2</v>
      </c>
      <c r="AE276" s="4">
        <v>2</v>
      </c>
      <c r="AF276" s="4">
        <v>2</v>
      </c>
      <c r="AG276" s="4">
        <v>2</v>
      </c>
      <c r="AH276" s="4">
        <v>2</v>
      </c>
      <c r="AI276" s="4">
        <v>2</v>
      </c>
      <c r="AJ276" s="4">
        <v>2</v>
      </c>
      <c r="AK276" s="4">
        <v>1</v>
      </c>
      <c r="AL276" s="4">
        <v>1</v>
      </c>
      <c r="AM276" s="4">
        <v>2</v>
      </c>
      <c r="AN276" s="4">
        <v>1</v>
      </c>
      <c r="AO276" s="4">
        <v>2</v>
      </c>
      <c r="AP276" s="4">
        <v>2</v>
      </c>
      <c r="AQ276" s="4">
        <v>2</v>
      </c>
      <c r="AR276" s="4">
        <v>1</v>
      </c>
      <c r="AS276" s="4">
        <v>1</v>
      </c>
      <c r="AT276" s="4">
        <v>0</v>
      </c>
      <c r="AU276" s="4">
        <v>0</v>
      </c>
      <c r="AV276" s="4">
        <v>0</v>
      </c>
      <c r="AW276" s="4">
        <v>0</v>
      </c>
      <c r="AX276" s="4">
        <v>0</v>
      </c>
      <c r="AY276" s="4">
        <v>0</v>
      </c>
      <c r="AZ276" s="4">
        <v>0</v>
      </c>
      <c r="BA276" s="4">
        <v>0</v>
      </c>
      <c r="BB276" s="4">
        <v>0</v>
      </c>
      <c r="BC276" s="13">
        <v>0</v>
      </c>
      <c r="BD276" s="20">
        <f t="shared" si="74"/>
        <v>0</v>
      </c>
      <c r="BE276" s="20">
        <f t="shared" si="74"/>
        <v>0</v>
      </c>
      <c r="BF276" s="20">
        <f t="shared" si="74"/>
        <v>0</v>
      </c>
      <c r="BG276" s="20">
        <f t="shared" si="74"/>
        <v>0</v>
      </c>
      <c r="BH276" s="20">
        <f t="shared" si="74"/>
        <v>0</v>
      </c>
      <c r="BI276" s="20">
        <f t="shared" si="74"/>
        <v>0</v>
      </c>
      <c r="BJ276" s="23">
        <f t="shared" si="73"/>
        <v>0</v>
      </c>
    </row>
    <row r="277" spans="1:62" s="5" customFormat="1" x14ac:dyDescent="0.25">
      <c r="A277" s="14"/>
      <c r="B277" s="6"/>
      <c r="C277" s="6" t="s">
        <v>7</v>
      </c>
      <c r="D277" s="7">
        <v>0</v>
      </c>
      <c r="E277" s="7">
        <v>0</v>
      </c>
      <c r="F277" s="7">
        <v>0</v>
      </c>
      <c r="G277" s="7">
        <v>0</v>
      </c>
      <c r="H277" s="7">
        <v>0</v>
      </c>
      <c r="I277" s="7">
        <v>0</v>
      </c>
      <c r="J277" s="7">
        <v>0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7">
        <v>63</v>
      </c>
      <c r="R277" s="7">
        <v>28</v>
      </c>
      <c r="S277" s="7">
        <v>0</v>
      </c>
      <c r="T277" s="7">
        <v>35</v>
      </c>
      <c r="U277" s="7">
        <v>0</v>
      </c>
      <c r="V277" s="7">
        <v>106</v>
      </c>
      <c r="W277" s="7">
        <v>24</v>
      </c>
      <c r="X277" s="7">
        <v>70</v>
      </c>
      <c r="Y277" s="7">
        <v>394</v>
      </c>
      <c r="Z277" s="7">
        <v>175</v>
      </c>
      <c r="AA277" s="7">
        <v>300</v>
      </c>
      <c r="AB277" s="7">
        <v>303</v>
      </c>
      <c r="AC277" s="7">
        <v>304</v>
      </c>
      <c r="AD277" s="7">
        <v>37</v>
      </c>
      <c r="AE277" s="7">
        <v>0</v>
      </c>
      <c r="AF277" s="7">
        <v>640</v>
      </c>
      <c r="AG277" s="7">
        <v>134</v>
      </c>
      <c r="AH277" s="7">
        <v>0</v>
      </c>
      <c r="AI277" s="7">
        <v>124</v>
      </c>
      <c r="AJ277" s="7">
        <v>117</v>
      </c>
      <c r="AK277" s="7">
        <v>13</v>
      </c>
      <c r="AL277" s="7">
        <v>51</v>
      </c>
      <c r="AM277" s="7">
        <v>172</v>
      </c>
      <c r="AN277" s="7">
        <v>72</v>
      </c>
      <c r="AO277" s="7">
        <v>1</v>
      </c>
      <c r="AP277" s="7">
        <v>1</v>
      </c>
      <c r="AQ277" s="7">
        <v>4</v>
      </c>
      <c r="AR277" s="7">
        <v>4</v>
      </c>
      <c r="AS277" s="7">
        <v>4</v>
      </c>
      <c r="AT277" s="7">
        <v>4</v>
      </c>
      <c r="AU277" s="7">
        <v>28</v>
      </c>
      <c r="AV277" s="7">
        <v>6</v>
      </c>
      <c r="AW277" s="7">
        <v>14</v>
      </c>
      <c r="AX277" s="7">
        <v>5</v>
      </c>
      <c r="AY277" s="7">
        <v>17</v>
      </c>
      <c r="AZ277" s="7">
        <v>4</v>
      </c>
      <c r="BA277" s="7">
        <v>3</v>
      </c>
      <c r="BB277" s="7">
        <v>5</v>
      </c>
      <c r="BC277" s="15">
        <v>0</v>
      </c>
      <c r="BD277" s="21">
        <f t="shared" si="74"/>
        <v>2.6241799437675727E-3</v>
      </c>
      <c r="BE277" s="21">
        <f t="shared" si="74"/>
        <v>1.0332713370531101E-3</v>
      </c>
      <c r="BF277" s="21">
        <f t="shared" si="74"/>
        <v>1.7563797913007543E-3</v>
      </c>
      <c r="BG277" s="21">
        <f t="shared" si="74"/>
        <v>6.5445026178010475E-4</v>
      </c>
      <c r="BH277" s="21">
        <f t="shared" si="74"/>
        <v>4.8883819455760149E-4</v>
      </c>
      <c r="BI277" s="21">
        <f t="shared" si="74"/>
        <v>7.6616610481152316E-4</v>
      </c>
      <c r="BJ277" s="23">
        <f t="shared" si="73"/>
        <v>6.3648485371640983E-4</v>
      </c>
    </row>
    <row r="278" spans="1:62" x14ac:dyDescent="0.25">
      <c r="A278" s="12"/>
      <c r="B278" s="2"/>
      <c r="C278" s="2" t="s">
        <v>9</v>
      </c>
      <c r="D278" s="4">
        <v>0</v>
      </c>
      <c r="E278" s="4">
        <v>0</v>
      </c>
      <c r="F278" s="4">
        <v>0</v>
      </c>
      <c r="G278" s="4">
        <v>0</v>
      </c>
      <c r="H278" s="4">
        <v>0</v>
      </c>
      <c r="I278" s="4">
        <v>0</v>
      </c>
      <c r="J278" s="4">
        <v>0</v>
      </c>
      <c r="K278" s="4">
        <v>0</v>
      </c>
      <c r="L278" s="4">
        <v>0</v>
      </c>
      <c r="M278" s="4">
        <v>0</v>
      </c>
      <c r="N278" s="4">
        <v>0</v>
      </c>
      <c r="O278" s="4">
        <v>0</v>
      </c>
      <c r="P278" s="4">
        <v>0</v>
      </c>
      <c r="Q278" s="4">
        <v>63</v>
      </c>
      <c r="R278" s="4">
        <v>33</v>
      </c>
      <c r="S278" s="4">
        <v>4</v>
      </c>
      <c r="T278" s="4">
        <v>39</v>
      </c>
      <c r="U278" s="4">
        <v>5</v>
      </c>
      <c r="V278" s="4">
        <v>98</v>
      </c>
      <c r="W278" s="4">
        <v>41</v>
      </c>
      <c r="X278" s="4">
        <v>38</v>
      </c>
      <c r="Y278" s="4">
        <v>370</v>
      </c>
      <c r="Z278" s="4">
        <v>209</v>
      </c>
      <c r="AA278" s="4">
        <v>320</v>
      </c>
      <c r="AB278" s="4">
        <v>308</v>
      </c>
      <c r="AC278" s="4">
        <v>314</v>
      </c>
      <c r="AD278" s="4">
        <v>44</v>
      </c>
      <c r="AE278" s="4">
        <v>0</v>
      </c>
      <c r="AF278" s="4">
        <v>561</v>
      </c>
      <c r="AG278" s="4">
        <v>222</v>
      </c>
      <c r="AH278" s="4">
        <v>2</v>
      </c>
      <c r="AI278" s="4">
        <v>86</v>
      </c>
      <c r="AJ278" s="4">
        <v>159</v>
      </c>
      <c r="AK278" s="4">
        <v>14</v>
      </c>
      <c r="AL278" s="4">
        <v>52</v>
      </c>
      <c r="AM278" s="4">
        <v>174</v>
      </c>
      <c r="AN278" s="4">
        <v>73</v>
      </c>
      <c r="AO278" s="4">
        <v>3</v>
      </c>
      <c r="AP278" s="4">
        <v>3</v>
      </c>
      <c r="AQ278" s="4">
        <v>6</v>
      </c>
      <c r="AR278" s="4">
        <v>5</v>
      </c>
      <c r="AS278" s="4">
        <v>5</v>
      </c>
      <c r="AT278" s="4">
        <v>4</v>
      </c>
      <c r="AU278" s="4">
        <v>28</v>
      </c>
      <c r="AV278" s="4">
        <v>6</v>
      </c>
      <c r="AW278" s="4">
        <v>14</v>
      </c>
      <c r="AX278" s="4">
        <v>5</v>
      </c>
      <c r="AY278" s="4">
        <v>17</v>
      </c>
      <c r="AZ278" s="4">
        <v>4</v>
      </c>
      <c r="BA278" s="4">
        <v>3</v>
      </c>
      <c r="BB278" s="4">
        <v>5</v>
      </c>
      <c r="BC278" s="13">
        <v>0</v>
      </c>
      <c r="BD278" s="20">
        <f t="shared" ref="BD278:BI278" si="75">AW278/AW566</f>
        <v>2.3611556170205589E-4</v>
      </c>
      <c r="BE278" s="20">
        <f t="shared" si="75"/>
        <v>8.6517165005537105E-5</v>
      </c>
      <c r="BF278" s="20">
        <f t="shared" si="75"/>
        <v>2.6368035736443727E-4</v>
      </c>
      <c r="BG278" s="20">
        <f t="shared" si="75"/>
        <v>6.2025120173670335E-5</v>
      </c>
      <c r="BH278" s="20">
        <f t="shared" si="75"/>
        <v>4.9120738775911192E-5</v>
      </c>
      <c r="BI278" s="20">
        <f t="shared" si="75"/>
        <v>7.7228426239130105E-5</v>
      </c>
      <c r="BJ278" s="23">
        <f t="shared" si="73"/>
        <v>6.2791428396237201E-5</v>
      </c>
    </row>
    <row r="279" spans="1:62" x14ac:dyDescent="0.25">
      <c r="A279" s="12"/>
      <c r="B279" s="2" t="s">
        <v>14</v>
      </c>
      <c r="C279" s="2" t="s">
        <v>45</v>
      </c>
      <c r="D279" s="4">
        <v>0</v>
      </c>
      <c r="E279" s="4">
        <v>0</v>
      </c>
      <c r="F279" s="4">
        <v>0</v>
      </c>
      <c r="G279" s="4">
        <v>0</v>
      </c>
      <c r="H279" s="4">
        <v>0</v>
      </c>
      <c r="I279" s="4">
        <v>0</v>
      </c>
      <c r="J279" s="4">
        <v>0</v>
      </c>
      <c r="K279" s="4">
        <v>0</v>
      </c>
      <c r="L279" s="4">
        <v>0</v>
      </c>
      <c r="M279" s="4">
        <v>0</v>
      </c>
      <c r="N279" s="4">
        <v>0</v>
      </c>
      <c r="O279" s="4">
        <v>0</v>
      </c>
      <c r="P279" s="4">
        <v>26</v>
      </c>
      <c r="Q279" s="4">
        <v>308</v>
      </c>
      <c r="R279" s="4">
        <v>360</v>
      </c>
      <c r="S279" s="4">
        <v>313</v>
      </c>
      <c r="T279" s="4">
        <v>428</v>
      </c>
      <c r="U279" s="4">
        <v>557</v>
      </c>
      <c r="V279" s="4">
        <v>669</v>
      </c>
      <c r="W279" s="4">
        <v>690</v>
      </c>
      <c r="X279" s="4">
        <v>760</v>
      </c>
      <c r="Y279" s="4">
        <v>710</v>
      </c>
      <c r="Z279" s="4">
        <v>822</v>
      </c>
      <c r="AA279" s="4">
        <v>770</v>
      </c>
      <c r="AB279" s="4">
        <v>855</v>
      </c>
      <c r="AC279" s="4">
        <v>970</v>
      </c>
      <c r="AD279" s="3">
        <v>1101</v>
      </c>
      <c r="AE279" s="3">
        <v>1105</v>
      </c>
      <c r="AF279" s="3">
        <v>1109</v>
      </c>
      <c r="AG279" s="3">
        <v>1110</v>
      </c>
      <c r="AH279" s="3">
        <v>1233</v>
      </c>
      <c r="AI279" s="3">
        <v>1258</v>
      </c>
      <c r="AJ279" s="3">
        <v>1233</v>
      </c>
      <c r="AK279" s="3">
        <v>1258</v>
      </c>
      <c r="AL279" s="3">
        <v>1345</v>
      </c>
      <c r="AM279" s="3">
        <v>1411</v>
      </c>
      <c r="AN279" s="3">
        <v>1497</v>
      </c>
      <c r="AO279" s="3">
        <v>1424</v>
      </c>
      <c r="AP279" s="3">
        <v>1403</v>
      </c>
      <c r="AQ279" s="3">
        <v>1514</v>
      </c>
      <c r="AR279" s="3">
        <v>1574</v>
      </c>
      <c r="AS279" s="3">
        <v>1590</v>
      </c>
      <c r="AT279" s="3">
        <v>1590</v>
      </c>
      <c r="AU279" s="3">
        <v>1682</v>
      </c>
      <c r="AV279" s="3">
        <v>1652</v>
      </c>
      <c r="AW279" s="3">
        <v>1669</v>
      </c>
      <c r="AX279" s="3">
        <v>1518</v>
      </c>
      <c r="AY279" s="3">
        <v>1648</v>
      </c>
      <c r="AZ279" s="3">
        <v>1550</v>
      </c>
      <c r="BA279" s="3">
        <v>1600</v>
      </c>
      <c r="BB279" s="24">
        <v>1600</v>
      </c>
      <c r="BC279" s="21">
        <f t="shared" ref="BC279:BH279" si="76">AW279/AX$63</f>
        <v>3.240776699029126</v>
      </c>
      <c r="BD279" s="21">
        <f t="shared" si="76"/>
        <v>9.2560975609756095</v>
      </c>
      <c r="BE279" s="21">
        <f t="shared" si="76"/>
        <v>32.96</v>
      </c>
      <c r="BF279" s="21">
        <f t="shared" si="76"/>
        <v>10.264900662251655</v>
      </c>
      <c r="BG279" s="21">
        <f t="shared" si="76"/>
        <v>2.4615384615384617</v>
      </c>
      <c r="BH279" s="21" t="e">
        <f t="shared" si="76"/>
        <v>#DIV/0!</v>
      </c>
      <c r="BI279" s="5"/>
      <c r="BJ279" s="23" t="e">
        <f>AVERAGE(BF279,BG279,BH279)</f>
        <v>#DIV/0!</v>
      </c>
    </row>
    <row r="280" spans="1:62" s="5" customFormat="1" x14ac:dyDescent="0.25">
      <c r="A280" s="12"/>
      <c r="B280" s="6"/>
      <c r="C280" s="6" t="s">
        <v>44</v>
      </c>
      <c r="D280" s="7">
        <v>0</v>
      </c>
      <c r="E280" s="7">
        <v>0</v>
      </c>
      <c r="F280" s="7">
        <v>0</v>
      </c>
      <c r="G280" s="7">
        <v>0</v>
      </c>
      <c r="H280" s="7">
        <v>0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0</v>
      </c>
      <c r="Q280" s="7">
        <v>73</v>
      </c>
      <c r="R280" s="7">
        <v>167</v>
      </c>
      <c r="S280" s="7">
        <v>81</v>
      </c>
      <c r="T280" s="7">
        <v>86</v>
      </c>
      <c r="U280" s="7">
        <v>107</v>
      </c>
      <c r="V280" s="7">
        <v>122</v>
      </c>
      <c r="W280" s="7">
        <v>205</v>
      </c>
      <c r="X280" s="7">
        <v>380</v>
      </c>
      <c r="Y280" s="7">
        <v>300</v>
      </c>
      <c r="Z280" s="7">
        <v>335</v>
      </c>
      <c r="AA280" s="7">
        <v>234</v>
      </c>
      <c r="AB280" s="7">
        <v>360</v>
      </c>
      <c r="AC280" s="7">
        <v>296</v>
      </c>
      <c r="AD280" s="7">
        <v>289</v>
      </c>
      <c r="AE280" s="7">
        <v>320</v>
      </c>
      <c r="AF280" s="7">
        <v>305</v>
      </c>
      <c r="AG280" s="7">
        <v>372</v>
      </c>
      <c r="AH280" s="7">
        <v>260</v>
      </c>
      <c r="AI280" s="7">
        <v>276</v>
      </c>
      <c r="AJ280" s="7">
        <v>260</v>
      </c>
      <c r="AK280" s="7">
        <v>274</v>
      </c>
      <c r="AL280" s="7">
        <v>305</v>
      </c>
      <c r="AM280" s="7">
        <v>276</v>
      </c>
      <c r="AN280" s="7">
        <v>271</v>
      </c>
      <c r="AO280" s="7">
        <v>348</v>
      </c>
      <c r="AP280" s="7">
        <v>328</v>
      </c>
      <c r="AQ280" s="7">
        <v>348</v>
      </c>
      <c r="AR280" s="7">
        <v>316</v>
      </c>
      <c r="AS280" s="7">
        <v>314</v>
      </c>
      <c r="AT280" s="7">
        <v>326</v>
      </c>
      <c r="AU280" s="7">
        <v>338</v>
      </c>
      <c r="AV280" s="7">
        <v>314</v>
      </c>
      <c r="AW280" s="7">
        <v>338</v>
      </c>
      <c r="AX280" s="7">
        <v>407</v>
      </c>
      <c r="AY280" s="7">
        <v>310</v>
      </c>
      <c r="AZ280" s="7">
        <v>296</v>
      </c>
      <c r="BA280" s="7">
        <v>340</v>
      </c>
      <c r="BB280" s="15">
        <v>340</v>
      </c>
      <c r="BC280" s="21">
        <f t="shared" ref="BC280:BH280" si="77">AW280/AX$42</f>
        <v>2.8888888888888888</v>
      </c>
      <c r="BD280" s="21">
        <f t="shared" si="77"/>
        <v>31.307692307692307</v>
      </c>
      <c r="BE280" s="21">
        <f t="shared" si="77"/>
        <v>7.0454545454545459</v>
      </c>
      <c r="BF280" s="21">
        <f t="shared" si="77"/>
        <v>2.084507042253521</v>
      </c>
      <c r="BG280" s="21">
        <f t="shared" si="77"/>
        <v>0.55921052631578949</v>
      </c>
      <c r="BH280" s="21" t="e">
        <f t="shared" si="77"/>
        <v>#DIV/0!</v>
      </c>
      <c r="BJ280" s="23" t="e">
        <f>AVERAGE(BF280,BG280,BH280)</f>
        <v>#DIV/0!</v>
      </c>
    </row>
    <row r="281" spans="1:62" ht="30" x14ac:dyDescent="0.25">
      <c r="A281" s="12"/>
      <c r="B281" s="2"/>
      <c r="C281" s="2" t="s">
        <v>43</v>
      </c>
      <c r="D281" s="4">
        <v>0</v>
      </c>
      <c r="E281" s="4">
        <v>0</v>
      </c>
      <c r="F281" s="4">
        <v>0</v>
      </c>
      <c r="G281" s="4">
        <v>0</v>
      </c>
      <c r="H281" s="4">
        <v>0</v>
      </c>
      <c r="I281" s="4">
        <v>0</v>
      </c>
      <c r="J281" s="4">
        <v>0</v>
      </c>
      <c r="K281" s="4">
        <v>0</v>
      </c>
      <c r="L281" s="4">
        <v>0</v>
      </c>
      <c r="M281" s="4">
        <v>0</v>
      </c>
      <c r="N281" s="4">
        <v>0</v>
      </c>
      <c r="O281" s="4">
        <v>0</v>
      </c>
      <c r="P281" s="4">
        <v>0</v>
      </c>
      <c r="Q281" s="4">
        <v>241</v>
      </c>
      <c r="R281" s="4">
        <v>200</v>
      </c>
      <c r="S281" s="4">
        <v>235</v>
      </c>
      <c r="T281" s="4">
        <v>324</v>
      </c>
      <c r="U281" s="4">
        <v>452</v>
      </c>
      <c r="V281" s="4">
        <v>547</v>
      </c>
      <c r="W281" s="4">
        <v>455</v>
      </c>
      <c r="X281" s="4">
        <v>406</v>
      </c>
      <c r="Y281" s="4">
        <v>417</v>
      </c>
      <c r="Z281" s="4">
        <v>453</v>
      </c>
      <c r="AA281" s="4">
        <v>506</v>
      </c>
      <c r="AB281" s="4">
        <v>514</v>
      </c>
      <c r="AC281" s="4">
        <v>602</v>
      </c>
      <c r="AD281" s="4">
        <v>750</v>
      </c>
      <c r="AE281" s="4">
        <v>780</v>
      </c>
      <c r="AF281" s="4">
        <v>790</v>
      </c>
      <c r="AG281" s="4">
        <v>859</v>
      </c>
      <c r="AH281" s="4">
        <v>968</v>
      </c>
      <c r="AI281" s="4">
        <v>987</v>
      </c>
      <c r="AJ281" s="4">
        <v>968</v>
      </c>
      <c r="AK281" s="4">
        <v>987</v>
      </c>
      <c r="AL281" s="3">
        <v>1015</v>
      </c>
      <c r="AM281" s="3">
        <v>1122</v>
      </c>
      <c r="AN281" s="3">
        <v>1214</v>
      </c>
      <c r="AO281" s="3">
        <v>1092</v>
      </c>
      <c r="AP281" s="3">
        <v>1118</v>
      </c>
      <c r="AQ281" s="3">
        <v>1174</v>
      </c>
      <c r="AR281" s="3">
        <v>1245</v>
      </c>
      <c r="AS281" s="3">
        <v>1124</v>
      </c>
      <c r="AT281" s="3">
        <v>1114</v>
      </c>
      <c r="AU281" s="3">
        <v>1164</v>
      </c>
      <c r="AV281" s="3">
        <v>1198</v>
      </c>
      <c r="AW281" s="3">
        <v>1196</v>
      </c>
      <c r="AX281" s="3">
        <v>1005</v>
      </c>
      <c r="AY281" s="3">
        <v>1140</v>
      </c>
      <c r="AZ281" s="3">
        <v>1069</v>
      </c>
      <c r="BA281" s="3">
        <v>1155</v>
      </c>
      <c r="BB281" s="24">
        <v>1155</v>
      </c>
      <c r="BC281" s="20">
        <f t="shared" ref="BC281:BH281" si="78">AW281/AW$25</f>
        <v>0.71402985074626868</v>
      </c>
      <c r="BD281" s="20">
        <f t="shared" si="78"/>
        <v>0.58771929824561409</v>
      </c>
      <c r="BE281" s="20">
        <f t="shared" si="78"/>
        <v>0.63509749303621166</v>
      </c>
      <c r="BF281" s="20">
        <f t="shared" si="78"/>
        <v>0.61791907514450872</v>
      </c>
      <c r="BG281" s="20">
        <f t="shared" si="78"/>
        <v>0.66763005780346818</v>
      </c>
      <c r="BH281" s="20">
        <f t="shared" si="78"/>
        <v>0.65625</v>
      </c>
      <c r="BJ281" s="23">
        <f>AVERAGE(BF281,BG281,BH281)</f>
        <v>0.6472663776493256</v>
      </c>
    </row>
    <row r="282" spans="1:62" s="5" customFormat="1" x14ac:dyDescent="0.25">
      <c r="A282" s="14"/>
      <c r="B282" s="6" t="s">
        <v>15</v>
      </c>
      <c r="C282" s="6" t="s">
        <v>6</v>
      </c>
      <c r="D282" s="7">
        <v>159</v>
      </c>
      <c r="E282" s="7">
        <v>172</v>
      </c>
      <c r="F282" s="7">
        <v>164</v>
      </c>
      <c r="G282" s="7">
        <v>139</v>
      </c>
      <c r="H282" s="7">
        <v>190</v>
      </c>
      <c r="I282" s="7">
        <v>184</v>
      </c>
      <c r="J282" s="7">
        <v>193</v>
      </c>
      <c r="K282" s="7">
        <v>211</v>
      </c>
      <c r="L282" s="7">
        <v>224</v>
      </c>
      <c r="M282" s="7">
        <v>219</v>
      </c>
      <c r="N282" s="7">
        <v>196</v>
      </c>
      <c r="O282" s="7">
        <v>149</v>
      </c>
      <c r="P282" s="7">
        <v>100</v>
      </c>
      <c r="Q282" s="7">
        <v>74</v>
      </c>
      <c r="R282" s="7">
        <v>97</v>
      </c>
      <c r="S282" s="7">
        <v>82</v>
      </c>
      <c r="T282" s="7">
        <v>45</v>
      </c>
      <c r="U282" s="7">
        <v>36</v>
      </c>
      <c r="V282" s="7">
        <v>42</v>
      </c>
      <c r="W282" s="7">
        <v>42</v>
      </c>
      <c r="X282" s="7">
        <v>92</v>
      </c>
      <c r="Y282" s="7">
        <v>57</v>
      </c>
      <c r="Z282" s="7">
        <v>66</v>
      </c>
      <c r="AA282" s="7">
        <v>112</v>
      </c>
      <c r="AB282" s="7">
        <v>17</v>
      </c>
      <c r="AC282" s="7">
        <v>11</v>
      </c>
      <c r="AD282" s="7">
        <v>5</v>
      </c>
      <c r="AE282" s="7">
        <v>4</v>
      </c>
      <c r="AF282" s="7">
        <v>2</v>
      </c>
      <c r="AG282" s="7">
        <v>1</v>
      </c>
      <c r="AH282" s="7">
        <v>1</v>
      </c>
      <c r="AI282" s="7">
        <v>1</v>
      </c>
      <c r="AJ282" s="7">
        <v>1</v>
      </c>
      <c r="AK282" s="7">
        <v>1</v>
      </c>
      <c r="AL282" s="7">
        <v>2</v>
      </c>
      <c r="AM282" s="7">
        <v>10</v>
      </c>
      <c r="AN282" s="7">
        <v>11</v>
      </c>
      <c r="AO282" s="7">
        <v>5</v>
      </c>
      <c r="AP282" s="7">
        <v>5</v>
      </c>
      <c r="AQ282" s="7">
        <v>6</v>
      </c>
      <c r="AR282" s="7">
        <v>2</v>
      </c>
      <c r="AS282" s="7">
        <v>3</v>
      </c>
      <c r="AT282" s="7">
        <v>6</v>
      </c>
      <c r="AU282" s="7">
        <v>10</v>
      </c>
      <c r="AV282" s="7">
        <v>13</v>
      </c>
      <c r="AW282" s="7">
        <v>8</v>
      </c>
      <c r="AX282" s="7">
        <v>6</v>
      </c>
      <c r="AY282" s="7">
        <v>8</v>
      </c>
      <c r="AZ282" s="7">
        <v>10</v>
      </c>
      <c r="BA282" s="7">
        <v>26</v>
      </c>
      <c r="BB282" s="7">
        <v>27</v>
      </c>
      <c r="BC282" s="15">
        <v>0</v>
      </c>
      <c r="BD282" s="21">
        <f t="shared" ref="BD282:BI285" si="79">AW282/AW571</f>
        <v>1.2921232168699607E-5</v>
      </c>
      <c r="BE282" s="21">
        <f t="shared" si="79"/>
        <v>1.0062842451107164E-5</v>
      </c>
      <c r="BF282" s="21">
        <f t="shared" si="79"/>
        <v>1.3069866605673955E-5</v>
      </c>
      <c r="BG282" s="21">
        <f t="shared" si="79"/>
        <v>1.4658672803764347E-5</v>
      </c>
      <c r="BH282" s="21">
        <f t="shared" si="79"/>
        <v>3.8022424456023412E-5</v>
      </c>
      <c r="BI282" s="21">
        <f t="shared" si="79"/>
        <v>4.1719395346896772E-5</v>
      </c>
      <c r="BJ282" s="23">
        <f t="shared" si="73"/>
        <v>3.1466830868894844E-5</v>
      </c>
    </row>
    <row r="283" spans="1:62" x14ac:dyDescent="0.25">
      <c r="A283" s="12"/>
      <c r="B283" s="2"/>
      <c r="C283" s="2" t="s">
        <v>7</v>
      </c>
      <c r="D283" s="4">
        <v>361</v>
      </c>
      <c r="E283" s="4">
        <v>413</v>
      </c>
      <c r="F283" s="4">
        <v>913</v>
      </c>
      <c r="G283" s="4">
        <v>834</v>
      </c>
      <c r="H283" s="4">
        <v>528</v>
      </c>
      <c r="I283" s="4">
        <v>600</v>
      </c>
      <c r="J283" s="4">
        <v>654</v>
      </c>
      <c r="K283" s="3">
        <v>1126</v>
      </c>
      <c r="L283" s="3">
        <v>1369</v>
      </c>
      <c r="M283" s="3">
        <v>1254</v>
      </c>
      <c r="N283" s="3">
        <v>1384</v>
      </c>
      <c r="O283" s="3">
        <v>1778</v>
      </c>
      <c r="P283" s="3">
        <v>1772</v>
      </c>
      <c r="Q283" s="3">
        <v>1427</v>
      </c>
      <c r="R283" s="3">
        <v>1584</v>
      </c>
      <c r="S283" s="3">
        <v>1857</v>
      </c>
      <c r="T283" s="3">
        <v>1979</v>
      </c>
      <c r="U283" s="3">
        <v>1587</v>
      </c>
      <c r="V283" s="3">
        <v>1652</v>
      </c>
      <c r="W283" s="3">
        <v>1810</v>
      </c>
      <c r="X283" s="3">
        <v>2095</v>
      </c>
      <c r="Y283" s="3">
        <v>1868</v>
      </c>
      <c r="Z283" s="3">
        <v>1880</v>
      </c>
      <c r="AA283" s="3">
        <v>2351</v>
      </c>
      <c r="AB283" s="3">
        <v>3111</v>
      </c>
      <c r="AC283" s="3">
        <v>3032</v>
      </c>
      <c r="AD283" s="3">
        <v>3895</v>
      </c>
      <c r="AE283" s="3">
        <v>4459</v>
      </c>
      <c r="AF283" s="3">
        <v>2822</v>
      </c>
      <c r="AG283" s="3">
        <v>2009</v>
      </c>
      <c r="AH283" s="3">
        <v>4206</v>
      </c>
      <c r="AI283" s="3">
        <v>4396</v>
      </c>
      <c r="AJ283" s="3">
        <v>3994</v>
      </c>
      <c r="AK283" s="3">
        <v>5647</v>
      </c>
      <c r="AL283" s="3">
        <v>4293</v>
      </c>
      <c r="AM283" s="3">
        <v>2554</v>
      </c>
      <c r="AN283" s="3">
        <v>3465</v>
      </c>
      <c r="AO283" s="3">
        <v>3917</v>
      </c>
      <c r="AP283" s="3">
        <v>4689</v>
      </c>
      <c r="AQ283" s="3">
        <v>3811</v>
      </c>
      <c r="AR283" s="3">
        <v>3127</v>
      </c>
      <c r="AS283" s="3">
        <v>3979</v>
      </c>
      <c r="AT283" s="3">
        <v>4052</v>
      </c>
      <c r="AU283" s="3">
        <v>3434</v>
      </c>
      <c r="AV283" s="3">
        <v>3591</v>
      </c>
      <c r="AW283" s="3">
        <v>3884</v>
      </c>
      <c r="AX283" s="3">
        <v>3439</v>
      </c>
      <c r="AY283" s="3">
        <v>3092</v>
      </c>
      <c r="AZ283" s="3">
        <v>3371</v>
      </c>
      <c r="BA283" s="3">
        <v>4470</v>
      </c>
      <c r="BB283" s="3">
        <v>4200</v>
      </c>
      <c r="BC283" s="13">
        <v>0</v>
      </c>
      <c r="BD283" s="20">
        <f t="shared" si="79"/>
        <v>3.4810041496007242E-2</v>
      </c>
      <c r="BE283" s="20">
        <f t="shared" si="79"/>
        <v>3.0164549856150445E-2</v>
      </c>
      <c r="BF283" s="20">
        <f t="shared" si="79"/>
        <v>2.716928078731163E-2</v>
      </c>
      <c r="BG283" s="20">
        <f t="shared" si="79"/>
        <v>2.4617878816647558E-2</v>
      </c>
      <c r="BH283" s="20">
        <f t="shared" si="79"/>
        <v>3.3494436326851749E-2</v>
      </c>
      <c r="BI283" s="20">
        <f t="shared" si="79"/>
        <v>3.4237083652607726E-2</v>
      </c>
      <c r="BJ283" s="23">
        <f t="shared" si="73"/>
        <v>3.0783132932035679E-2</v>
      </c>
    </row>
    <row r="284" spans="1:62" s="5" customFormat="1" x14ac:dyDescent="0.25">
      <c r="A284" s="14"/>
      <c r="B284" s="6"/>
      <c r="C284" s="6" t="s">
        <v>8</v>
      </c>
      <c r="D284" s="7">
        <v>0</v>
      </c>
      <c r="E284" s="7">
        <v>0</v>
      </c>
      <c r="F284" s="7">
        <v>0</v>
      </c>
      <c r="G284" s="7">
        <v>0</v>
      </c>
      <c r="H284" s="7">
        <v>0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0</v>
      </c>
      <c r="Q284" s="7">
        <v>0</v>
      </c>
      <c r="R284" s="7">
        <v>0</v>
      </c>
      <c r="S284" s="7">
        <v>0</v>
      </c>
      <c r="T284" s="7">
        <v>0</v>
      </c>
      <c r="U284" s="7">
        <v>0</v>
      </c>
      <c r="V284" s="7">
        <v>0</v>
      </c>
      <c r="W284" s="7">
        <v>0</v>
      </c>
      <c r="X284" s="7">
        <v>0</v>
      </c>
      <c r="Y284" s="7">
        <v>0</v>
      </c>
      <c r="Z284" s="7">
        <v>0</v>
      </c>
      <c r="AA284" s="7">
        <v>0</v>
      </c>
      <c r="AB284" s="7">
        <v>0</v>
      </c>
      <c r="AC284" s="7">
        <v>0</v>
      </c>
      <c r="AD284" s="7">
        <v>4</v>
      </c>
      <c r="AE284" s="7">
        <v>5</v>
      </c>
      <c r="AF284" s="7">
        <v>5</v>
      </c>
      <c r="AG284" s="7">
        <v>8</v>
      </c>
      <c r="AH284" s="7">
        <v>25</v>
      </c>
      <c r="AI284" s="7">
        <v>27</v>
      </c>
      <c r="AJ284" s="7">
        <v>38</v>
      </c>
      <c r="AK284" s="7">
        <v>32</v>
      </c>
      <c r="AL284" s="7">
        <v>50</v>
      </c>
      <c r="AM284" s="7">
        <v>59</v>
      </c>
      <c r="AN284" s="7">
        <v>65</v>
      </c>
      <c r="AO284" s="7">
        <v>82</v>
      </c>
      <c r="AP284" s="7">
        <v>96</v>
      </c>
      <c r="AQ284" s="7">
        <v>124</v>
      </c>
      <c r="AR284" s="7">
        <v>128</v>
      </c>
      <c r="AS284" s="7">
        <v>122</v>
      </c>
      <c r="AT284" s="7">
        <v>123</v>
      </c>
      <c r="AU284" s="7">
        <v>131</v>
      </c>
      <c r="AV284" s="7">
        <v>126</v>
      </c>
      <c r="AW284" s="7">
        <v>94</v>
      </c>
      <c r="AX284" s="7">
        <v>87</v>
      </c>
      <c r="AY284" s="7">
        <v>92</v>
      </c>
      <c r="AZ284" s="7">
        <v>94</v>
      </c>
      <c r="BA284" s="7">
        <v>105</v>
      </c>
      <c r="BB284" s="7">
        <v>100</v>
      </c>
      <c r="BC284" s="15">
        <v>0</v>
      </c>
      <c r="BD284" s="21">
        <f t="shared" si="79"/>
        <v>8.0352181903662863E-4</v>
      </c>
      <c r="BE284" s="21">
        <f t="shared" si="79"/>
        <v>7.7800134138162312E-4</v>
      </c>
      <c r="BF284" s="21">
        <f t="shared" si="79"/>
        <v>7.844340990092256E-4</v>
      </c>
      <c r="BG284" s="21">
        <f t="shared" si="79"/>
        <v>6.5432270639008774E-4</v>
      </c>
      <c r="BH284" s="21">
        <f t="shared" si="79"/>
        <v>7.7319018269379454E-4</v>
      </c>
      <c r="BI284" s="21">
        <f t="shared" si="79"/>
        <v>8.0543183227687525E-4</v>
      </c>
      <c r="BJ284" s="23">
        <f t="shared" si="73"/>
        <v>7.4431490712025244E-4</v>
      </c>
    </row>
    <row r="285" spans="1:62" x14ac:dyDescent="0.25">
      <c r="A285" s="12"/>
      <c r="B285" s="2"/>
      <c r="C285" s="2" t="s">
        <v>9</v>
      </c>
      <c r="D285" s="4">
        <v>520</v>
      </c>
      <c r="E285" s="4">
        <v>585</v>
      </c>
      <c r="F285" s="3">
        <v>1077</v>
      </c>
      <c r="G285" s="4">
        <v>973</v>
      </c>
      <c r="H285" s="4">
        <v>718</v>
      </c>
      <c r="I285" s="4">
        <v>784</v>
      </c>
      <c r="J285" s="4">
        <v>847</v>
      </c>
      <c r="K285" s="3">
        <v>1242</v>
      </c>
      <c r="L285" s="3">
        <v>1402</v>
      </c>
      <c r="M285" s="3">
        <v>1421</v>
      </c>
      <c r="N285" s="3">
        <v>1656</v>
      </c>
      <c r="O285" s="3">
        <v>2033</v>
      </c>
      <c r="P285" s="3">
        <v>1896</v>
      </c>
      <c r="Q285" s="3">
        <v>1497</v>
      </c>
      <c r="R285" s="3">
        <v>1704</v>
      </c>
      <c r="S285" s="3">
        <v>1816</v>
      </c>
      <c r="T285" s="3">
        <v>1981</v>
      </c>
      <c r="U285" s="3">
        <v>1691</v>
      </c>
      <c r="V285" s="3">
        <v>1741</v>
      </c>
      <c r="W285" s="3">
        <v>1874</v>
      </c>
      <c r="X285" s="3">
        <v>2069</v>
      </c>
      <c r="Y285" s="3">
        <v>1983</v>
      </c>
      <c r="Z285" s="3">
        <v>1980</v>
      </c>
      <c r="AA285" s="3">
        <v>2356</v>
      </c>
      <c r="AB285" s="3">
        <v>2988</v>
      </c>
      <c r="AC285" s="3">
        <v>3145</v>
      </c>
      <c r="AD285" s="3">
        <v>3844</v>
      </c>
      <c r="AE285" s="3">
        <v>4282</v>
      </c>
      <c r="AF285" s="3">
        <v>3283</v>
      </c>
      <c r="AG285" s="3">
        <v>1992</v>
      </c>
      <c r="AH285" s="3">
        <v>3525</v>
      </c>
      <c r="AI285" s="3">
        <v>4846</v>
      </c>
      <c r="AJ285" s="3">
        <v>3481</v>
      </c>
      <c r="AK285" s="3">
        <v>5619</v>
      </c>
      <c r="AL285" s="3">
        <v>4245</v>
      </c>
      <c r="AM285" s="3">
        <v>2496</v>
      </c>
      <c r="AN285" s="3">
        <v>3351</v>
      </c>
      <c r="AO285" s="3">
        <v>3850</v>
      </c>
      <c r="AP285" s="3">
        <v>4548</v>
      </c>
      <c r="AQ285" s="3">
        <v>3493</v>
      </c>
      <c r="AR285" s="3">
        <v>3001</v>
      </c>
      <c r="AS285" s="3">
        <v>3810</v>
      </c>
      <c r="AT285" s="3">
        <v>4050</v>
      </c>
      <c r="AU285" s="3">
        <v>3340</v>
      </c>
      <c r="AV285" s="3">
        <v>3500</v>
      </c>
      <c r="AW285" s="3">
        <v>3900</v>
      </c>
      <c r="AX285" s="3">
        <v>3300</v>
      </c>
      <c r="AY285" s="3">
        <v>3000</v>
      </c>
      <c r="AZ285" s="3">
        <v>3050</v>
      </c>
      <c r="BA285" s="3">
        <v>4450</v>
      </c>
      <c r="BB285" s="3">
        <v>4000</v>
      </c>
      <c r="BC285" s="13">
        <v>0</v>
      </c>
      <c r="BD285" s="20">
        <f t="shared" si="79"/>
        <v>6.3240542701149521E-3</v>
      </c>
      <c r="BE285" s="20">
        <f t="shared" si="79"/>
        <v>5.3372840017338087E-3</v>
      </c>
      <c r="BF285" s="20">
        <f t="shared" si="79"/>
        <v>4.8917297156274462E-3</v>
      </c>
      <c r="BG285" s="20">
        <f t="shared" si="79"/>
        <v>4.8050035052894426E-3</v>
      </c>
      <c r="BH285" s="20">
        <f t="shared" si="79"/>
        <v>6.8439532519543713E-3</v>
      </c>
      <c r="BI285" s="20">
        <f t="shared" si="79"/>
        <v>6.0535069479125993E-3</v>
      </c>
      <c r="BJ285" s="23">
        <f t="shared" si="73"/>
        <v>5.900821235052138E-3</v>
      </c>
    </row>
    <row r="286" spans="1:62" s="5" customFormat="1" x14ac:dyDescent="0.25">
      <c r="A286" s="14" t="s">
        <v>26</v>
      </c>
      <c r="B286" s="6" t="s">
        <v>5</v>
      </c>
      <c r="C286" s="6" t="s">
        <v>6</v>
      </c>
      <c r="D286" s="8">
        <v>5386</v>
      </c>
      <c r="E286" s="8">
        <v>5561</v>
      </c>
      <c r="F286" s="8">
        <v>5450</v>
      </c>
      <c r="G286" s="8">
        <v>6690</v>
      </c>
      <c r="H286" s="8">
        <v>7500</v>
      </c>
      <c r="I286" s="8">
        <v>8000</v>
      </c>
      <c r="J286" s="8">
        <v>8200</v>
      </c>
      <c r="K286" s="8">
        <v>8000</v>
      </c>
      <c r="L286" s="8">
        <v>8500</v>
      </c>
      <c r="M286" s="8">
        <v>6500</v>
      </c>
      <c r="N286" s="8">
        <v>8900</v>
      </c>
      <c r="O286" s="8">
        <v>9100</v>
      </c>
      <c r="P286" s="8">
        <v>8100</v>
      </c>
      <c r="Q286" s="8">
        <v>9000</v>
      </c>
      <c r="R286" s="8">
        <v>7780</v>
      </c>
      <c r="S286" s="8">
        <v>9300</v>
      </c>
      <c r="T286" s="8">
        <v>9600</v>
      </c>
      <c r="U286" s="8">
        <v>9700</v>
      </c>
      <c r="V286" s="8">
        <v>10200</v>
      </c>
      <c r="W286" s="8">
        <v>9200</v>
      </c>
      <c r="X286" s="8">
        <v>10400</v>
      </c>
      <c r="Y286" s="8">
        <v>12500</v>
      </c>
      <c r="Z286" s="8">
        <v>7000</v>
      </c>
      <c r="AA286" s="8">
        <v>9300</v>
      </c>
      <c r="AB286" s="8">
        <v>9900</v>
      </c>
      <c r="AC286" s="8">
        <v>10500</v>
      </c>
      <c r="AD286" s="8">
        <v>10000</v>
      </c>
      <c r="AE286" s="8">
        <v>9900</v>
      </c>
      <c r="AF286" s="8">
        <v>10100</v>
      </c>
      <c r="AG286" s="8">
        <v>9750</v>
      </c>
      <c r="AH286" s="8">
        <v>14100</v>
      </c>
      <c r="AI286" s="8">
        <v>14689</v>
      </c>
      <c r="AJ286" s="8">
        <v>18631</v>
      </c>
      <c r="AK286" s="8">
        <v>19276</v>
      </c>
      <c r="AL286" s="8">
        <v>16994</v>
      </c>
      <c r="AM286" s="8">
        <v>17780</v>
      </c>
      <c r="AN286" s="8">
        <v>18922</v>
      </c>
      <c r="AO286" s="8">
        <v>17368</v>
      </c>
      <c r="AP286" s="8">
        <v>17789</v>
      </c>
      <c r="AQ286" s="8">
        <v>19240</v>
      </c>
      <c r="AR286" s="8">
        <v>17917</v>
      </c>
      <c r="AS286" s="8">
        <v>20400</v>
      </c>
      <c r="AT286" s="8">
        <v>19280</v>
      </c>
      <c r="AU286" s="8">
        <v>21800</v>
      </c>
      <c r="AV286" s="8">
        <v>22050</v>
      </c>
      <c r="AW286" s="8">
        <v>19500</v>
      </c>
      <c r="AX286" s="8">
        <v>22350</v>
      </c>
      <c r="AY286" s="8">
        <v>23600</v>
      </c>
      <c r="AZ286" s="8">
        <v>24226</v>
      </c>
      <c r="BA286" s="8">
        <v>20374</v>
      </c>
      <c r="BB286" s="8">
        <v>22000</v>
      </c>
      <c r="BC286" s="15">
        <v>0</v>
      </c>
      <c r="BD286" s="21">
        <f t="shared" ref="BD286:BI305" si="80">AW286/AW547</f>
        <v>2.7878728958708028E-2</v>
      </c>
      <c r="BE286" s="21">
        <f t="shared" si="80"/>
        <v>3.1321340132937019E-2</v>
      </c>
      <c r="BF286" s="21">
        <f t="shared" si="80"/>
        <v>2.9705263369885913E-2</v>
      </c>
      <c r="BG286" s="21">
        <f t="shared" si="80"/>
        <v>3.0327080808788921E-2</v>
      </c>
      <c r="BH286" s="21">
        <f t="shared" si="80"/>
        <v>2.5077945464638669E-2</v>
      </c>
      <c r="BI286" s="21">
        <f t="shared" si="80"/>
        <v>2.6995819329252057E-2</v>
      </c>
      <c r="BJ286" s="23">
        <f t="shared" si="73"/>
        <v>2.7466948534226546E-2</v>
      </c>
    </row>
    <row r="287" spans="1:62" x14ac:dyDescent="0.25">
      <c r="A287" s="12"/>
      <c r="B287" s="2"/>
      <c r="C287" s="2" t="s">
        <v>7</v>
      </c>
      <c r="D287" s="4">
        <v>61</v>
      </c>
      <c r="E287" s="4">
        <v>20</v>
      </c>
      <c r="F287" s="4">
        <v>450</v>
      </c>
      <c r="G287" s="4">
        <v>117</v>
      </c>
      <c r="H287" s="4">
        <v>20</v>
      </c>
      <c r="I287" s="4">
        <v>14</v>
      </c>
      <c r="J287" s="4">
        <v>15</v>
      </c>
      <c r="K287" s="4">
        <v>25</v>
      </c>
      <c r="L287" s="4">
        <v>18</v>
      </c>
      <c r="M287" s="4">
        <v>780</v>
      </c>
      <c r="N287" s="4">
        <v>139</v>
      </c>
      <c r="O287" s="4">
        <v>37</v>
      </c>
      <c r="P287" s="3">
        <v>1300</v>
      </c>
      <c r="Q287" s="3">
        <v>1200</v>
      </c>
      <c r="R287" s="3">
        <v>2100</v>
      </c>
      <c r="S287" s="3">
        <v>1450</v>
      </c>
      <c r="T287" s="3">
        <v>1500</v>
      </c>
      <c r="U287" s="3">
        <v>1690</v>
      </c>
      <c r="V287" s="4">
        <v>630</v>
      </c>
      <c r="W287" s="3">
        <v>3870</v>
      </c>
      <c r="X287" s="3">
        <v>3833</v>
      </c>
      <c r="Y287" s="4">
        <v>571</v>
      </c>
      <c r="Z287" s="3">
        <v>4003</v>
      </c>
      <c r="AA287" s="3">
        <v>2459</v>
      </c>
      <c r="AB287" s="3">
        <v>1684</v>
      </c>
      <c r="AC287" s="3">
        <v>1736</v>
      </c>
      <c r="AD287" s="3">
        <v>3256</v>
      </c>
      <c r="AE287" s="3">
        <v>2899</v>
      </c>
      <c r="AF287" s="3">
        <v>3138</v>
      </c>
      <c r="AG287" s="3">
        <v>4995</v>
      </c>
      <c r="AH287" s="3">
        <v>1939</v>
      </c>
      <c r="AI287" s="3">
        <v>1024</v>
      </c>
      <c r="AJ287" s="4">
        <v>396</v>
      </c>
      <c r="AK287" s="3">
        <v>1691</v>
      </c>
      <c r="AL287" s="3">
        <v>3166</v>
      </c>
      <c r="AM287" s="3">
        <v>6433</v>
      </c>
      <c r="AN287" s="3">
        <v>3141</v>
      </c>
      <c r="AO287" s="3">
        <v>4376</v>
      </c>
      <c r="AP287" s="3">
        <v>5615</v>
      </c>
      <c r="AQ287" s="3">
        <v>4911</v>
      </c>
      <c r="AR287" s="3">
        <v>6017</v>
      </c>
      <c r="AS287" s="3">
        <v>4076</v>
      </c>
      <c r="AT287" s="3">
        <v>5269</v>
      </c>
      <c r="AU287" s="3">
        <v>5739</v>
      </c>
      <c r="AV287" s="3">
        <v>5945</v>
      </c>
      <c r="AW287" s="3">
        <v>6787</v>
      </c>
      <c r="AX287" s="3">
        <v>8944</v>
      </c>
      <c r="AY287" s="3">
        <v>9556</v>
      </c>
      <c r="AZ287" s="3">
        <v>7764</v>
      </c>
      <c r="BA287" s="3">
        <v>8298</v>
      </c>
      <c r="BB287" s="3">
        <v>9000</v>
      </c>
      <c r="BC287" s="13">
        <v>0</v>
      </c>
      <c r="BD287" s="20">
        <f t="shared" si="80"/>
        <v>8.4170449190167917E-2</v>
      </c>
      <c r="BE287" s="20">
        <f t="shared" si="80"/>
        <v>9.8747985072978994E-2</v>
      </c>
      <c r="BF287" s="20">
        <f t="shared" si="80"/>
        <v>9.6998487570673086E-2</v>
      </c>
      <c r="BG287" s="20">
        <f t="shared" si="80"/>
        <v>9.4009953140324745E-2</v>
      </c>
      <c r="BH287" s="20">
        <f t="shared" si="80"/>
        <v>9.2362146880078363E-2</v>
      </c>
      <c r="BI287" s="20">
        <f t="shared" si="80"/>
        <v>9.8142917897996798E-2</v>
      </c>
      <c r="BJ287" s="23">
        <f t="shared" si="73"/>
        <v>9.4838339306133293E-2</v>
      </c>
    </row>
    <row r="288" spans="1:62" s="5" customFormat="1" x14ac:dyDescent="0.25">
      <c r="A288" s="14"/>
      <c r="B288" s="6"/>
      <c r="C288" s="6" t="s">
        <v>8</v>
      </c>
      <c r="D288" s="7">
        <v>53</v>
      </c>
      <c r="E288" s="7">
        <v>3</v>
      </c>
      <c r="F288" s="7">
        <v>0</v>
      </c>
      <c r="G288" s="7">
        <v>66</v>
      </c>
      <c r="H288" s="8">
        <v>1170</v>
      </c>
      <c r="I288" s="8">
        <v>1105</v>
      </c>
      <c r="J288" s="8">
        <v>1055</v>
      </c>
      <c r="K288" s="7">
        <v>921</v>
      </c>
      <c r="L288" s="7">
        <v>938</v>
      </c>
      <c r="M288" s="7">
        <v>61</v>
      </c>
      <c r="N288" s="7">
        <v>293</v>
      </c>
      <c r="O288" s="7">
        <v>469</v>
      </c>
      <c r="P288" s="7">
        <v>96</v>
      </c>
      <c r="Q288" s="7">
        <v>0</v>
      </c>
      <c r="R288" s="7">
        <v>0</v>
      </c>
      <c r="S288" s="7">
        <v>4</v>
      </c>
      <c r="T288" s="7">
        <v>40</v>
      </c>
      <c r="U288" s="7">
        <v>0</v>
      </c>
      <c r="V288" s="7">
        <v>0</v>
      </c>
      <c r="W288" s="7">
        <v>0</v>
      </c>
      <c r="X288" s="7">
        <v>0</v>
      </c>
      <c r="Y288" s="7">
        <v>0</v>
      </c>
      <c r="Z288" s="7">
        <v>0</v>
      </c>
      <c r="AA288" s="7">
        <v>0</v>
      </c>
      <c r="AB288" s="7">
        <v>0</v>
      </c>
      <c r="AC288" s="7">
        <v>0</v>
      </c>
      <c r="AD288" s="7">
        <v>0</v>
      </c>
      <c r="AE288" s="7">
        <v>0</v>
      </c>
      <c r="AF288" s="7">
        <v>0</v>
      </c>
      <c r="AG288" s="7">
        <v>0</v>
      </c>
      <c r="AH288" s="7">
        <v>0</v>
      </c>
      <c r="AI288" s="7">
        <v>12</v>
      </c>
      <c r="AJ288" s="7">
        <v>8</v>
      </c>
      <c r="AK288" s="7">
        <v>113</v>
      </c>
      <c r="AL288" s="7">
        <v>74</v>
      </c>
      <c r="AM288" s="7">
        <v>72</v>
      </c>
      <c r="AN288" s="7">
        <v>123</v>
      </c>
      <c r="AO288" s="7">
        <v>258</v>
      </c>
      <c r="AP288" s="7">
        <v>16</v>
      </c>
      <c r="AQ288" s="7">
        <v>8</v>
      </c>
      <c r="AR288" s="7">
        <v>17</v>
      </c>
      <c r="AS288" s="7">
        <v>164</v>
      </c>
      <c r="AT288" s="7">
        <v>7</v>
      </c>
      <c r="AU288" s="7">
        <v>5</v>
      </c>
      <c r="AV288" s="7">
        <v>27</v>
      </c>
      <c r="AW288" s="7">
        <v>209</v>
      </c>
      <c r="AX288" s="7">
        <v>217</v>
      </c>
      <c r="AY288" s="7">
        <v>109</v>
      </c>
      <c r="AZ288" s="7">
        <v>162</v>
      </c>
      <c r="BA288" s="7">
        <v>642</v>
      </c>
      <c r="BB288" s="7">
        <v>100</v>
      </c>
      <c r="BC288" s="15">
        <v>0</v>
      </c>
      <c r="BD288" s="21">
        <f t="shared" si="80"/>
        <v>2.5779553976712057E-3</v>
      </c>
      <c r="BE288" s="21">
        <f t="shared" si="80"/>
        <v>2.3071116450662896E-3</v>
      </c>
      <c r="BF288" s="21">
        <f t="shared" si="80"/>
        <v>1.105118014437505E-3</v>
      </c>
      <c r="BG288" s="21">
        <f t="shared" si="80"/>
        <v>1.9179087691050944E-3</v>
      </c>
      <c r="BH288" s="21">
        <f t="shared" si="80"/>
        <v>6.6197168575935989E-3</v>
      </c>
      <c r="BI288" s="21">
        <f t="shared" si="80"/>
        <v>1.1013579743824136E-3</v>
      </c>
      <c r="BJ288" s="23">
        <f t="shared" si="73"/>
        <v>3.2129945336937023E-3</v>
      </c>
    </row>
    <row r="289" spans="1:62" x14ac:dyDescent="0.25">
      <c r="A289" s="12"/>
      <c r="B289" s="2"/>
      <c r="C289" s="2" t="s">
        <v>9</v>
      </c>
      <c r="D289" s="3">
        <v>5399</v>
      </c>
      <c r="E289" s="3">
        <v>5497</v>
      </c>
      <c r="F289" s="3">
        <v>5700</v>
      </c>
      <c r="G289" s="3">
        <v>6000</v>
      </c>
      <c r="H289" s="3">
        <v>6500</v>
      </c>
      <c r="I289" s="3">
        <v>7010</v>
      </c>
      <c r="J289" s="3">
        <v>7410</v>
      </c>
      <c r="K289" s="3">
        <v>7520</v>
      </c>
      <c r="L289" s="3">
        <v>7810</v>
      </c>
      <c r="M289" s="3">
        <v>7300</v>
      </c>
      <c r="N289" s="3">
        <v>8300</v>
      </c>
      <c r="O289" s="3">
        <v>9092</v>
      </c>
      <c r="P289" s="3">
        <v>9254</v>
      </c>
      <c r="Q289" s="3">
        <v>9800</v>
      </c>
      <c r="R289" s="3">
        <v>9980</v>
      </c>
      <c r="S289" s="3">
        <v>10570</v>
      </c>
      <c r="T289" s="3">
        <v>10980</v>
      </c>
      <c r="U289" s="3">
        <v>11300</v>
      </c>
      <c r="V289" s="3">
        <v>11400</v>
      </c>
      <c r="W289" s="3">
        <v>12700</v>
      </c>
      <c r="X289" s="3">
        <v>12800</v>
      </c>
      <c r="Y289" s="3">
        <v>13518</v>
      </c>
      <c r="Z289" s="3">
        <v>12300</v>
      </c>
      <c r="AA289" s="3">
        <v>11600</v>
      </c>
      <c r="AB289" s="3">
        <v>11800</v>
      </c>
      <c r="AC289" s="3">
        <v>11986</v>
      </c>
      <c r="AD289" s="3">
        <v>13106</v>
      </c>
      <c r="AE289" s="3">
        <v>13024</v>
      </c>
      <c r="AF289" s="3">
        <v>13447</v>
      </c>
      <c r="AG289" s="3">
        <v>13989</v>
      </c>
      <c r="AH289" s="3">
        <v>15239</v>
      </c>
      <c r="AI289" s="3">
        <v>16451</v>
      </c>
      <c r="AJ289" s="3">
        <v>18461</v>
      </c>
      <c r="AK289" s="3">
        <v>20500</v>
      </c>
      <c r="AL289" s="3">
        <v>20250</v>
      </c>
      <c r="AM289" s="3">
        <v>23200</v>
      </c>
      <c r="AN289" s="3">
        <v>22090</v>
      </c>
      <c r="AO289" s="3">
        <v>22000</v>
      </c>
      <c r="AP289" s="3">
        <v>23040</v>
      </c>
      <c r="AQ289" s="3">
        <v>23660</v>
      </c>
      <c r="AR289" s="3">
        <v>24000</v>
      </c>
      <c r="AS289" s="3">
        <v>23600</v>
      </c>
      <c r="AT289" s="3">
        <v>24700</v>
      </c>
      <c r="AU289" s="3">
        <v>26400</v>
      </c>
      <c r="AV289" s="3">
        <v>27900</v>
      </c>
      <c r="AW289" s="3">
        <v>27900</v>
      </c>
      <c r="AX289" s="3">
        <v>30700</v>
      </c>
      <c r="AY289" s="3">
        <v>32000</v>
      </c>
      <c r="AZ289" s="3">
        <v>32400</v>
      </c>
      <c r="BA289" s="3">
        <v>30200</v>
      </c>
      <c r="BB289" s="3">
        <v>30800</v>
      </c>
      <c r="BC289" s="13">
        <v>0</v>
      </c>
      <c r="BD289" s="20">
        <f t="shared" si="80"/>
        <v>3.9519924982966768E-2</v>
      </c>
      <c r="BE289" s="20">
        <f t="shared" si="80"/>
        <v>4.236165538862334E-2</v>
      </c>
      <c r="BF289" s="20">
        <f t="shared" si="80"/>
        <v>4.1437626659933051E-2</v>
      </c>
      <c r="BG289" s="20">
        <f t="shared" si="80"/>
        <v>4.1530741080183814E-2</v>
      </c>
      <c r="BH289" s="20">
        <f t="shared" si="80"/>
        <v>3.7350674600180815E-2</v>
      </c>
      <c r="BI289" s="20">
        <f t="shared" si="80"/>
        <v>3.6700614735296816E-2</v>
      </c>
      <c r="BJ289" s="23">
        <f t="shared" si="73"/>
        <v>3.8527343471887153E-2</v>
      </c>
    </row>
    <row r="290" spans="1:62" s="5" customFormat="1" x14ac:dyDescent="0.25">
      <c r="A290" s="14"/>
      <c r="B290" s="6" t="s">
        <v>10</v>
      </c>
      <c r="C290" s="6" t="s">
        <v>6</v>
      </c>
      <c r="D290" s="8">
        <v>2100</v>
      </c>
      <c r="E290" s="8">
        <v>1995</v>
      </c>
      <c r="F290" s="8">
        <v>2425</v>
      </c>
      <c r="G290" s="8">
        <v>2109</v>
      </c>
      <c r="H290" s="8">
        <v>2400</v>
      </c>
      <c r="I290" s="8">
        <v>2625</v>
      </c>
      <c r="J290" s="8">
        <v>2250</v>
      </c>
      <c r="K290" s="8">
        <v>2000</v>
      </c>
      <c r="L290" s="8">
        <v>2450</v>
      </c>
      <c r="M290" s="8">
        <v>1750</v>
      </c>
      <c r="N290" s="8">
        <v>1450</v>
      </c>
      <c r="O290" s="8">
        <v>1710</v>
      </c>
      <c r="P290" s="8">
        <v>1790</v>
      </c>
      <c r="Q290" s="8">
        <v>1470</v>
      </c>
      <c r="R290" s="8">
        <v>2230</v>
      </c>
      <c r="S290" s="7">
        <v>902</v>
      </c>
      <c r="T290" s="8">
        <v>1005</v>
      </c>
      <c r="U290" s="8">
        <v>1610</v>
      </c>
      <c r="V290" s="8">
        <v>1550</v>
      </c>
      <c r="W290" s="8">
        <v>1500</v>
      </c>
      <c r="X290" s="8">
        <v>1595</v>
      </c>
      <c r="Y290" s="8">
        <v>1424</v>
      </c>
      <c r="Z290" s="7">
        <v>830</v>
      </c>
      <c r="AA290" s="7">
        <v>996</v>
      </c>
      <c r="AB290" s="8">
        <v>1241</v>
      </c>
      <c r="AC290" s="7">
        <v>958</v>
      </c>
      <c r="AD290" s="7">
        <v>636</v>
      </c>
      <c r="AE290" s="8">
        <v>1014</v>
      </c>
      <c r="AF290" s="8">
        <v>1402</v>
      </c>
      <c r="AG290" s="7">
        <v>751</v>
      </c>
      <c r="AH290" s="7">
        <v>857</v>
      </c>
      <c r="AI290" s="7">
        <v>898</v>
      </c>
      <c r="AJ290" s="7">
        <v>147</v>
      </c>
      <c r="AK290" s="7">
        <v>122</v>
      </c>
      <c r="AL290" s="7">
        <v>460</v>
      </c>
      <c r="AM290" s="7">
        <v>974</v>
      </c>
      <c r="AN290" s="8">
        <v>1078</v>
      </c>
      <c r="AO290" s="7">
        <v>984</v>
      </c>
      <c r="AP290" s="8">
        <v>1039</v>
      </c>
      <c r="AQ290" s="7">
        <v>669</v>
      </c>
      <c r="AR290" s="7">
        <v>394</v>
      </c>
      <c r="AS290" s="7">
        <v>432</v>
      </c>
      <c r="AT290" s="7">
        <v>205</v>
      </c>
      <c r="AU290" s="7">
        <v>357</v>
      </c>
      <c r="AV290" s="7">
        <v>625</v>
      </c>
      <c r="AW290" s="7">
        <v>635</v>
      </c>
      <c r="AX290" s="7">
        <v>650</v>
      </c>
      <c r="AY290" s="7">
        <v>620</v>
      </c>
      <c r="AZ290" s="7">
        <v>567</v>
      </c>
      <c r="BA290" s="7">
        <v>422</v>
      </c>
      <c r="BB290" s="7">
        <v>683</v>
      </c>
      <c r="BC290" s="15">
        <v>0</v>
      </c>
      <c r="BD290" s="21">
        <f t="shared" si="80"/>
        <v>5.4537802856578464E-3</v>
      </c>
      <c r="BE290" s="21">
        <f t="shared" si="80"/>
        <v>5.3360916822644735E-3</v>
      </c>
      <c r="BF290" s="21">
        <f t="shared" si="80"/>
        <v>5.1803514283565756E-3</v>
      </c>
      <c r="BG290" s="21">
        <f t="shared" si="80"/>
        <v>5.2940187858303298E-3</v>
      </c>
      <c r="BH290" s="21">
        <f t="shared" si="80"/>
        <v>4.1640353646984528E-3</v>
      </c>
      <c r="BI290" s="21">
        <f t="shared" si="80"/>
        <v>5.9633468083434464E-3</v>
      </c>
      <c r="BJ290" s="23">
        <f t="shared" si="73"/>
        <v>5.1404669862907433E-3</v>
      </c>
    </row>
    <row r="291" spans="1:62" x14ac:dyDescent="0.25">
      <c r="A291" s="12"/>
      <c r="B291" s="2"/>
      <c r="C291" s="2" t="s">
        <v>7</v>
      </c>
      <c r="D291" s="4">
        <v>1</v>
      </c>
      <c r="E291" s="4">
        <v>1</v>
      </c>
      <c r="F291" s="4">
        <v>1</v>
      </c>
      <c r="G291" s="4">
        <v>1</v>
      </c>
      <c r="H291" s="4">
        <v>2</v>
      </c>
      <c r="I291" s="4">
        <v>2</v>
      </c>
      <c r="J291" s="4">
        <v>2</v>
      </c>
      <c r="K291" s="4">
        <v>2</v>
      </c>
      <c r="L291" s="4">
        <v>2</v>
      </c>
      <c r="M291" s="4">
        <v>3</v>
      </c>
      <c r="N291" s="4">
        <v>6</v>
      </c>
      <c r="O291" s="4">
        <v>2</v>
      </c>
      <c r="P291" s="4">
        <v>1</v>
      </c>
      <c r="Q291" s="4">
        <v>1</v>
      </c>
      <c r="R291" s="4">
        <v>0</v>
      </c>
      <c r="S291" s="4">
        <v>1</v>
      </c>
      <c r="T291" s="4">
        <v>1</v>
      </c>
      <c r="U291" s="4">
        <v>1</v>
      </c>
      <c r="V291" s="4">
        <v>1</v>
      </c>
      <c r="W291" s="4">
        <v>1</v>
      </c>
      <c r="X291" s="4">
        <v>1</v>
      </c>
      <c r="Y291" s="4">
        <v>1</v>
      </c>
      <c r="Z291" s="4">
        <v>15</v>
      </c>
      <c r="AA291" s="4">
        <v>7</v>
      </c>
      <c r="AB291" s="4">
        <v>0</v>
      </c>
      <c r="AC291" s="4">
        <v>20</v>
      </c>
      <c r="AD291" s="4">
        <v>180</v>
      </c>
      <c r="AE291" s="4">
        <v>15</v>
      </c>
      <c r="AF291" s="4">
        <v>39</v>
      </c>
      <c r="AG291" s="4">
        <v>142</v>
      </c>
      <c r="AH291" s="4">
        <v>211</v>
      </c>
      <c r="AI291" s="4">
        <v>300</v>
      </c>
      <c r="AJ291" s="4">
        <v>656</v>
      </c>
      <c r="AK291" s="4">
        <v>794</v>
      </c>
      <c r="AL291" s="4">
        <v>580</v>
      </c>
      <c r="AM291" s="4">
        <v>528</v>
      </c>
      <c r="AN291" s="4">
        <v>894</v>
      </c>
      <c r="AO291" s="3">
        <v>1371</v>
      </c>
      <c r="AP291" s="3">
        <v>1422</v>
      </c>
      <c r="AQ291" s="3">
        <v>1813</v>
      </c>
      <c r="AR291" s="3">
        <v>1865</v>
      </c>
      <c r="AS291" s="3">
        <v>2065</v>
      </c>
      <c r="AT291" s="3">
        <v>2330</v>
      </c>
      <c r="AU291" s="3">
        <v>1858</v>
      </c>
      <c r="AV291" s="3">
        <v>1810</v>
      </c>
      <c r="AW291" s="3">
        <v>1744</v>
      </c>
      <c r="AX291" s="3">
        <v>1353</v>
      </c>
      <c r="AY291" s="3">
        <v>1530</v>
      </c>
      <c r="AZ291" s="3">
        <v>1315</v>
      </c>
      <c r="BA291" s="3">
        <v>1393</v>
      </c>
      <c r="BB291" s="3">
        <v>1350</v>
      </c>
      <c r="BC291" s="13">
        <v>0</v>
      </c>
      <c r="BD291" s="20">
        <f t="shared" si="80"/>
        <v>3.8953787049652674E-2</v>
      </c>
      <c r="BE291" s="20">
        <f t="shared" si="80"/>
        <v>3.5578111441268503E-2</v>
      </c>
      <c r="BF291" s="20">
        <f t="shared" si="80"/>
        <v>3.9272055237557432E-2</v>
      </c>
      <c r="BG291" s="20">
        <f t="shared" si="80"/>
        <v>4.3625385661679325E-2</v>
      </c>
      <c r="BH291" s="20">
        <f t="shared" si="80"/>
        <v>3.8518969140581796E-2</v>
      </c>
      <c r="BI291" s="20">
        <f t="shared" si="80"/>
        <v>3.5407049937054132E-2</v>
      </c>
      <c r="BJ291" s="23">
        <f t="shared" si="73"/>
        <v>3.9183801579771756E-2</v>
      </c>
    </row>
    <row r="292" spans="1:62" s="5" customFormat="1" x14ac:dyDescent="0.25">
      <c r="A292" s="14"/>
      <c r="B292" s="6"/>
      <c r="C292" s="6" t="s">
        <v>8</v>
      </c>
      <c r="D292" s="8">
        <v>1610</v>
      </c>
      <c r="E292" s="8">
        <v>1482</v>
      </c>
      <c r="F292" s="8">
        <v>1897</v>
      </c>
      <c r="G292" s="8">
        <v>1426</v>
      </c>
      <c r="H292" s="8">
        <v>1616</v>
      </c>
      <c r="I292" s="8">
        <v>2127</v>
      </c>
      <c r="J292" s="8">
        <v>1518</v>
      </c>
      <c r="K292" s="8">
        <v>1327</v>
      </c>
      <c r="L292" s="8">
        <v>1641</v>
      </c>
      <c r="M292" s="8">
        <v>1266</v>
      </c>
      <c r="N292" s="7">
        <v>802</v>
      </c>
      <c r="O292" s="7">
        <v>944</v>
      </c>
      <c r="P292" s="7">
        <v>940</v>
      </c>
      <c r="Q292" s="7">
        <v>767</v>
      </c>
      <c r="R292" s="7">
        <v>891</v>
      </c>
      <c r="S292" s="7">
        <v>536</v>
      </c>
      <c r="T292" s="7">
        <v>542</v>
      </c>
      <c r="U292" s="7">
        <v>597</v>
      </c>
      <c r="V292" s="7">
        <v>963</v>
      </c>
      <c r="W292" s="7">
        <v>913</v>
      </c>
      <c r="X292" s="7">
        <v>818</v>
      </c>
      <c r="Y292" s="7">
        <v>756</v>
      </c>
      <c r="Z292" s="7">
        <v>395</v>
      </c>
      <c r="AA292" s="7">
        <v>475</v>
      </c>
      <c r="AB292" s="7">
        <v>575</v>
      </c>
      <c r="AC292" s="7">
        <v>380</v>
      </c>
      <c r="AD292" s="7">
        <v>220</v>
      </c>
      <c r="AE292" s="7">
        <v>375</v>
      </c>
      <c r="AF292" s="7">
        <v>561</v>
      </c>
      <c r="AG292" s="7">
        <v>212</v>
      </c>
      <c r="AH292" s="7">
        <v>223</v>
      </c>
      <c r="AI292" s="7">
        <v>248</v>
      </c>
      <c r="AJ292" s="7">
        <v>25</v>
      </c>
      <c r="AK292" s="7">
        <v>34</v>
      </c>
      <c r="AL292" s="7">
        <v>185</v>
      </c>
      <c r="AM292" s="7">
        <v>221</v>
      </c>
      <c r="AN292" s="7">
        <v>349</v>
      </c>
      <c r="AO292" s="7">
        <v>204</v>
      </c>
      <c r="AP292" s="7">
        <v>103</v>
      </c>
      <c r="AQ292" s="7">
        <v>134</v>
      </c>
      <c r="AR292" s="7">
        <v>80</v>
      </c>
      <c r="AS292" s="7">
        <v>90</v>
      </c>
      <c r="AT292" s="7">
        <v>64</v>
      </c>
      <c r="AU292" s="7">
        <v>114</v>
      </c>
      <c r="AV292" s="7">
        <v>135</v>
      </c>
      <c r="AW292" s="7">
        <v>249</v>
      </c>
      <c r="AX292" s="7">
        <v>175</v>
      </c>
      <c r="AY292" s="7">
        <v>220</v>
      </c>
      <c r="AZ292" s="7">
        <v>175</v>
      </c>
      <c r="BA292" s="7">
        <v>75</v>
      </c>
      <c r="BB292" s="7">
        <v>200</v>
      </c>
      <c r="BC292" s="15">
        <v>0</v>
      </c>
      <c r="BD292" s="21">
        <f t="shared" si="80"/>
        <v>5.5513443617068708E-3</v>
      </c>
      <c r="BE292" s="21">
        <f t="shared" si="80"/>
        <v>4.6696552460241221E-3</v>
      </c>
      <c r="BF292" s="21">
        <f t="shared" si="80"/>
        <v>5.6403025253172669E-3</v>
      </c>
      <c r="BG292" s="21">
        <f t="shared" si="80"/>
        <v>5.8207217694994182E-3</v>
      </c>
      <c r="BH292" s="21">
        <f t="shared" si="80"/>
        <v>2.1079258010118043E-3</v>
      </c>
      <c r="BI292" s="21">
        <f t="shared" si="80"/>
        <v>5.2452137424600052E-3</v>
      </c>
      <c r="BJ292" s="23">
        <f t="shared" si="73"/>
        <v>4.3912871043237421E-3</v>
      </c>
    </row>
    <row r="293" spans="1:62" x14ac:dyDescent="0.25">
      <c r="A293" s="12"/>
      <c r="B293" s="2"/>
      <c r="C293" s="2" t="s">
        <v>9</v>
      </c>
      <c r="D293" s="4">
        <v>516</v>
      </c>
      <c r="E293" s="4">
        <v>514</v>
      </c>
      <c r="F293" s="4">
        <v>514</v>
      </c>
      <c r="G293" s="4">
        <v>581</v>
      </c>
      <c r="H293" s="4">
        <v>611</v>
      </c>
      <c r="I293" s="4">
        <v>640</v>
      </c>
      <c r="J293" s="4">
        <v>718</v>
      </c>
      <c r="K293" s="4">
        <v>708</v>
      </c>
      <c r="L293" s="4">
        <v>712</v>
      </c>
      <c r="M293" s="4">
        <v>686</v>
      </c>
      <c r="N293" s="4">
        <v>685</v>
      </c>
      <c r="O293" s="4">
        <v>725</v>
      </c>
      <c r="P293" s="4">
        <v>800</v>
      </c>
      <c r="Q293" s="4">
        <v>795</v>
      </c>
      <c r="R293" s="4">
        <v>725</v>
      </c>
      <c r="S293" s="4">
        <v>808</v>
      </c>
      <c r="T293" s="4">
        <v>732</v>
      </c>
      <c r="U293" s="4">
        <v>749</v>
      </c>
      <c r="V293" s="4">
        <v>727</v>
      </c>
      <c r="W293" s="4">
        <v>750</v>
      </c>
      <c r="X293" s="4">
        <v>735</v>
      </c>
      <c r="Y293" s="4">
        <v>620</v>
      </c>
      <c r="Z293" s="4">
        <v>625</v>
      </c>
      <c r="AA293" s="4">
        <v>519</v>
      </c>
      <c r="AB293" s="4">
        <v>555</v>
      </c>
      <c r="AC293" s="4">
        <v>675</v>
      </c>
      <c r="AD293" s="4">
        <v>555</v>
      </c>
      <c r="AE293" s="4">
        <v>605</v>
      </c>
      <c r="AF293" s="4">
        <v>778</v>
      </c>
      <c r="AG293" s="4">
        <v>763</v>
      </c>
      <c r="AH293" s="4">
        <v>903</v>
      </c>
      <c r="AI293" s="4">
        <v>872</v>
      </c>
      <c r="AJ293" s="4">
        <v>762</v>
      </c>
      <c r="AK293" s="4">
        <v>860</v>
      </c>
      <c r="AL293" s="4">
        <v>898</v>
      </c>
      <c r="AM293" s="3">
        <v>1132</v>
      </c>
      <c r="AN293" s="3">
        <v>1635</v>
      </c>
      <c r="AO293" s="3">
        <v>2035</v>
      </c>
      <c r="AP293" s="3">
        <v>2235</v>
      </c>
      <c r="AQ293" s="3">
        <v>2425</v>
      </c>
      <c r="AR293" s="3">
        <v>2125</v>
      </c>
      <c r="AS293" s="3">
        <v>2225</v>
      </c>
      <c r="AT293" s="3">
        <v>2125</v>
      </c>
      <c r="AU293" s="3">
        <v>2025</v>
      </c>
      <c r="AV293" s="3">
        <v>2125</v>
      </c>
      <c r="AW293" s="3">
        <v>2125</v>
      </c>
      <c r="AX293" s="3">
        <v>2125</v>
      </c>
      <c r="AY293" s="3">
        <v>2025</v>
      </c>
      <c r="AZ293" s="3">
        <v>1875</v>
      </c>
      <c r="BA293" s="3">
        <v>1925</v>
      </c>
      <c r="BB293" s="3">
        <v>1925</v>
      </c>
      <c r="BC293" s="13">
        <v>0</v>
      </c>
      <c r="BD293" s="20">
        <f t="shared" si="80"/>
        <v>1.8472157026373892E-2</v>
      </c>
      <c r="BE293" s="20">
        <f t="shared" si="80"/>
        <v>1.7420031806928665E-2</v>
      </c>
      <c r="BF293" s="20">
        <f t="shared" si="80"/>
        <v>1.6711367856406024E-2</v>
      </c>
      <c r="BG293" s="20">
        <f t="shared" si="80"/>
        <v>1.7459563650585246E-2</v>
      </c>
      <c r="BH293" s="20">
        <f t="shared" si="80"/>
        <v>1.6251445745498139E-2</v>
      </c>
      <c r="BI293" s="20">
        <f t="shared" si="80"/>
        <v>1.645678917356997E-2</v>
      </c>
      <c r="BJ293" s="23">
        <f t="shared" si="73"/>
        <v>1.6722599523217783E-2</v>
      </c>
    </row>
    <row r="294" spans="1:62" s="5" customFormat="1" x14ac:dyDescent="0.25">
      <c r="A294" s="14"/>
      <c r="B294" s="6" t="s">
        <v>11</v>
      </c>
      <c r="C294" s="6" t="s">
        <v>6</v>
      </c>
      <c r="D294" s="7">
        <v>0</v>
      </c>
      <c r="E294" s="7">
        <v>0</v>
      </c>
      <c r="F294" s="7">
        <v>0</v>
      </c>
      <c r="G294" s="7">
        <v>0</v>
      </c>
      <c r="H294" s="7">
        <v>36</v>
      </c>
      <c r="I294" s="7">
        <v>60</v>
      </c>
      <c r="J294" s="7">
        <v>100</v>
      </c>
      <c r="K294" s="7">
        <v>121</v>
      </c>
      <c r="L294" s="7">
        <v>270</v>
      </c>
      <c r="M294" s="7">
        <v>300</v>
      </c>
      <c r="N294" s="7">
        <v>240</v>
      </c>
      <c r="O294" s="7">
        <v>250</v>
      </c>
      <c r="P294" s="7">
        <v>375</v>
      </c>
      <c r="Q294" s="7">
        <v>510</v>
      </c>
      <c r="R294" s="7">
        <v>420</v>
      </c>
      <c r="S294" s="7">
        <v>625</v>
      </c>
      <c r="T294" s="7">
        <v>280</v>
      </c>
      <c r="U294" s="7">
        <v>470</v>
      </c>
      <c r="V294" s="7">
        <v>330</v>
      </c>
      <c r="W294" s="7">
        <v>680</v>
      </c>
      <c r="X294" s="7">
        <v>280</v>
      </c>
      <c r="Y294" s="7">
        <v>680</v>
      </c>
      <c r="Z294" s="7">
        <v>550</v>
      </c>
      <c r="AA294" s="7">
        <v>600</v>
      </c>
      <c r="AB294" s="7">
        <v>550</v>
      </c>
      <c r="AC294" s="7">
        <v>710</v>
      </c>
      <c r="AD294" s="7">
        <v>660</v>
      </c>
      <c r="AE294" s="7">
        <v>750</v>
      </c>
      <c r="AF294" s="7">
        <v>300</v>
      </c>
      <c r="AG294" s="7">
        <v>984</v>
      </c>
      <c r="AH294" s="7">
        <v>567</v>
      </c>
      <c r="AI294" s="7">
        <v>718</v>
      </c>
      <c r="AJ294" s="7">
        <v>572</v>
      </c>
      <c r="AK294" s="7">
        <v>497</v>
      </c>
      <c r="AL294" s="7">
        <v>523</v>
      </c>
      <c r="AM294" s="7">
        <v>190</v>
      </c>
      <c r="AN294" s="7">
        <v>61</v>
      </c>
      <c r="AO294" s="7">
        <v>189</v>
      </c>
      <c r="AP294" s="7">
        <v>143</v>
      </c>
      <c r="AQ294" s="7">
        <v>123</v>
      </c>
      <c r="AR294" s="7">
        <v>103</v>
      </c>
      <c r="AS294" s="7">
        <v>66</v>
      </c>
      <c r="AT294" s="7">
        <v>89</v>
      </c>
      <c r="AU294" s="7">
        <v>125</v>
      </c>
      <c r="AV294" s="7">
        <v>132</v>
      </c>
      <c r="AW294" s="7">
        <v>185</v>
      </c>
      <c r="AX294" s="7">
        <v>80</v>
      </c>
      <c r="AY294" s="7">
        <v>88</v>
      </c>
      <c r="AZ294" s="7">
        <v>153</v>
      </c>
      <c r="BA294" s="7">
        <v>105</v>
      </c>
      <c r="BB294" s="7">
        <v>105</v>
      </c>
      <c r="BC294" s="15">
        <v>0</v>
      </c>
      <c r="BD294" s="21">
        <f t="shared" si="80"/>
        <v>8.3837491219722208E-4</v>
      </c>
      <c r="BE294" s="21">
        <f t="shared" si="80"/>
        <v>3.3864870699690561E-4</v>
      </c>
      <c r="BF294" s="21">
        <f t="shared" si="80"/>
        <v>3.9927404718693283E-4</v>
      </c>
      <c r="BG294" s="21">
        <f t="shared" si="80"/>
        <v>7.2186155355929646E-4</v>
      </c>
      <c r="BH294" s="21">
        <f t="shared" si="80"/>
        <v>4.0350162553512002E-4</v>
      </c>
      <c r="BI294" s="21">
        <f t="shared" si="80"/>
        <v>4.0234201370261942E-4</v>
      </c>
      <c r="BJ294" s="23">
        <f t="shared" si="73"/>
        <v>5.0923506426567863E-4</v>
      </c>
    </row>
    <row r="295" spans="1:62" x14ac:dyDescent="0.25">
      <c r="A295" s="12"/>
      <c r="B295" s="2"/>
      <c r="C295" s="2" t="s">
        <v>7</v>
      </c>
      <c r="D295" s="4">
        <v>0</v>
      </c>
      <c r="E295" s="4">
        <v>0</v>
      </c>
      <c r="F295" s="4">
        <v>0</v>
      </c>
      <c r="G295" s="4">
        <v>0</v>
      </c>
      <c r="H295" s="4">
        <v>3</v>
      </c>
      <c r="I295" s="4">
        <v>5</v>
      </c>
      <c r="J295" s="4">
        <v>7</v>
      </c>
      <c r="K295" s="4">
        <v>8</v>
      </c>
      <c r="L295" s="4">
        <v>22</v>
      </c>
      <c r="M295" s="4">
        <v>133</v>
      </c>
      <c r="N295" s="4">
        <v>62</v>
      </c>
      <c r="O295" s="4">
        <v>18</v>
      </c>
      <c r="P295" s="4">
        <v>50</v>
      </c>
      <c r="Q295" s="4">
        <v>271</v>
      </c>
      <c r="R295" s="4">
        <v>118</v>
      </c>
      <c r="S295" s="4">
        <v>135</v>
      </c>
      <c r="T295" s="4">
        <v>498</v>
      </c>
      <c r="U295" s="4">
        <v>551</v>
      </c>
      <c r="V295" s="4">
        <v>589</v>
      </c>
      <c r="W295" s="4">
        <v>711</v>
      </c>
      <c r="X295" s="3">
        <v>1370</v>
      </c>
      <c r="Y295" s="4">
        <v>566</v>
      </c>
      <c r="Z295" s="3">
        <v>1070</v>
      </c>
      <c r="AA295" s="3">
        <v>1805</v>
      </c>
      <c r="AB295" s="3">
        <v>1472</v>
      </c>
      <c r="AC295" s="4">
        <v>877</v>
      </c>
      <c r="AD295" s="3">
        <v>1092</v>
      </c>
      <c r="AE295" s="4">
        <v>956</v>
      </c>
      <c r="AF295" s="3">
        <v>1220</v>
      </c>
      <c r="AG295" s="4">
        <v>945</v>
      </c>
      <c r="AH295" s="3">
        <v>1376</v>
      </c>
      <c r="AI295" s="3">
        <v>2100</v>
      </c>
      <c r="AJ295" s="3">
        <v>2136</v>
      </c>
      <c r="AK295" s="3">
        <v>2200</v>
      </c>
      <c r="AL295" s="3">
        <v>1867</v>
      </c>
      <c r="AM295" s="3">
        <v>2401</v>
      </c>
      <c r="AN295" s="3">
        <v>2720</v>
      </c>
      <c r="AO295" s="3">
        <v>3502</v>
      </c>
      <c r="AP295" s="3">
        <v>3766</v>
      </c>
      <c r="AQ295" s="3">
        <v>4039</v>
      </c>
      <c r="AR295" s="3">
        <v>4381</v>
      </c>
      <c r="AS295" s="3">
        <v>4510</v>
      </c>
      <c r="AT295" s="3">
        <v>4230</v>
      </c>
      <c r="AU295" s="3">
        <v>3797</v>
      </c>
      <c r="AV295" s="3">
        <v>3640</v>
      </c>
      <c r="AW295" s="3">
        <v>3667</v>
      </c>
      <c r="AX295" s="3">
        <v>3844</v>
      </c>
      <c r="AY295" s="3">
        <v>3614</v>
      </c>
      <c r="AZ295" s="3">
        <v>3327</v>
      </c>
      <c r="BA295" s="3">
        <v>3523</v>
      </c>
      <c r="BB295" s="3">
        <v>3700</v>
      </c>
      <c r="BC295" s="13">
        <v>0</v>
      </c>
      <c r="BD295" s="20">
        <f t="shared" si="80"/>
        <v>5.718161830061283E-2</v>
      </c>
      <c r="BE295" s="20">
        <f t="shared" si="80"/>
        <v>5.5659325543344483E-2</v>
      </c>
      <c r="BF295" s="20">
        <f t="shared" si="80"/>
        <v>4.6267491134411289E-2</v>
      </c>
      <c r="BG295" s="20">
        <f t="shared" si="80"/>
        <v>4.2997828784119105E-2</v>
      </c>
      <c r="BH295" s="20">
        <f t="shared" si="80"/>
        <v>4.06273424436372E-2</v>
      </c>
      <c r="BI295" s="20">
        <f t="shared" si="80"/>
        <v>3.8796267169969589E-2</v>
      </c>
      <c r="BJ295" s="23">
        <f t="shared" si="73"/>
        <v>4.0807146132575293E-2</v>
      </c>
    </row>
    <row r="296" spans="1:62" s="5" customFormat="1" x14ac:dyDescent="0.25">
      <c r="A296" s="14"/>
      <c r="B296" s="6"/>
      <c r="C296" s="6" t="s">
        <v>8</v>
      </c>
      <c r="D296" s="7">
        <v>0</v>
      </c>
      <c r="E296" s="7">
        <v>0</v>
      </c>
      <c r="F296" s="7">
        <v>0</v>
      </c>
      <c r="G296" s="7">
        <v>0</v>
      </c>
      <c r="H296" s="7">
        <v>0</v>
      </c>
      <c r="I296" s="7">
        <v>0</v>
      </c>
      <c r="J296" s="7">
        <v>0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0</v>
      </c>
      <c r="Q296" s="7">
        <v>0</v>
      </c>
      <c r="R296" s="7">
        <v>0</v>
      </c>
      <c r="S296" s="7">
        <v>0</v>
      </c>
      <c r="T296" s="7">
        <v>0</v>
      </c>
      <c r="U296" s="7">
        <v>0</v>
      </c>
      <c r="V296" s="7">
        <v>0</v>
      </c>
      <c r="W296" s="7">
        <v>0</v>
      </c>
      <c r="X296" s="7">
        <v>0</v>
      </c>
      <c r="Y296" s="7">
        <v>0</v>
      </c>
      <c r="Z296" s="7">
        <v>0</v>
      </c>
      <c r="AA296" s="7">
        <v>0</v>
      </c>
      <c r="AB296" s="7">
        <v>0</v>
      </c>
      <c r="AC296" s="7">
        <v>0</v>
      </c>
      <c r="AD296" s="7">
        <v>0</v>
      </c>
      <c r="AE296" s="7">
        <v>0</v>
      </c>
      <c r="AF296" s="7">
        <v>0</v>
      </c>
      <c r="AG296" s="7">
        <v>0</v>
      </c>
      <c r="AH296" s="7">
        <v>0</v>
      </c>
      <c r="AI296" s="7">
        <v>0</v>
      </c>
      <c r="AJ296" s="7">
        <v>0</v>
      </c>
      <c r="AK296" s="7">
        <v>0</v>
      </c>
      <c r="AL296" s="7">
        <v>0</v>
      </c>
      <c r="AM296" s="7">
        <v>0</v>
      </c>
      <c r="AN296" s="7">
        <v>0</v>
      </c>
      <c r="AO296" s="7">
        <v>0</v>
      </c>
      <c r="AP296" s="7">
        <v>0</v>
      </c>
      <c r="AQ296" s="7">
        <v>0</v>
      </c>
      <c r="AR296" s="7">
        <v>0</v>
      </c>
      <c r="AS296" s="7">
        <v>0</v>
      </c>
      <c r="AT296" s="7">
        <v>1</v>
      </c>
      <c r="AU296" s="7">
        <v>3</v>
      </c>
      <c r="AV296" s="7">
        <v>1</v>
      </c>
      <c r="AW296" s="7">
        <v>0</v>
      </c>
      <c r="AX296" s="7">
        <v>0</v>
      </c>
      <c r="AY296" s="7">
        <v>0</v>
      </c>
      <c r="AZ296" s="7">
        <v>0</v>
      </c>
      <c r="BA296" s="7">
        <v>0</v>
      </c>
      <c r="BB296" s="7">
        <v>0</v>
      </c>
      <c r="BC296" s="15">
        <v>0</v>
      </c>
      <c r="BD296" s="21">
        <f t="shared" si="80"/>
        <v>0</v>
      </c>
      <c r="BE296" s="21">
        <f t="shared" si="80"/>
        <v>0</v>
      </c>
      <c r="BF296" s="21">
        <f t="shared" si="80"/>
        <v>0</v>
      </c>
      <c r="BG296" s="21">
        <f t="shared" si="80"/>
        <v>0</v>
      </c>
      <c r="BH296" s="21">
        <f t="shared" si="80"/>
        <v>0</v>
      </c>
      <c r="BI296" s="21">
        <f t="shared" si="80"/>
        <v>0</v>
      </c>
      <c r="BJ296" s="23">
        <f t="shared" si="73"/>
        <v>0</v>
      </c>
    </row>
    <row r="297" spans="1:62" x14ac:dyDescent="0.25">
      <c r="A297" s="12"/>
      <c r="B297" s="2"/>
      <c r="C297" s="2" t="s">
        <v>9</v>
      </c>
      <c r="D297" s="4">
        <v>0</v>
      </c>
      <c r="E297" s="4">
        <v>0</v>
      </c>
      <c r="F297" s="4">
        <v>0</v>
      </c>
      <c r="G297" s="4">
        <v>0</v>
      </c>
      <c r="H297" s="4">
        <v>39</v>
      </c>
      <c r="I297" s="4">
        <v>65</v>
      </c>
      <c r="J297" s="4">
        <v>107</v>
      </c>
      <c r="K297" s="4">
        <v>129</v>
      </c>
      <c r="L297" s="4">
        <v>268</v>
      </c>
      <c r="M297" s="4">
        <v>419</v>
      </c>
      <c r="N297" s="4">
        <v>312</v>
      </c>
      <c r="O297" s="4">
        <v>271</v>
      </c>
      <c r="P297" s="4">
        <v>412</v>
      </c>
      <c r="Q297" s="4">
        <v>751</v>
      </c>
      <c r="R297" s="4">
        <v>555</v>
      </c>
      <c r="S297" s="4">
        <v>736</v>
      </c>
      <c r="T297" s="4">
        <v>773</v>
      </c>
      <c r="U297" s="3">
        <v>1001</v>
      </c>
      <c r="V297" s="4">
        <v>919</v>
      </c>
      <c r="W297" s="3">
        <v>1241</v>
      </c>
      <c r="X297" s="3">
        <v>1530</v>
      </c>
      <c r="Y297" s="3">
        <v>1530</v>
      </c>
      <c r="Z297" s="3">
        <v>1480</v>
      </c>
      <c r="AA297" s="3">
        <v>2353</v>
      </c>
      <c r="AB297" s="3">
        <v>2082</v>
      </c>
      <c r="AC297" s="3">
        <v>1642</v>
      </c>
      <c r="AD297" s="3">
        <v>1744</v>
      </c>
      <c r="AE297" s="3">
        <v>1746</v>
      </c>
      <c r="AF297" s="3">
        <v>1550</v>
      </c>
      <c r="AG297" s="3">
        <v>1830</v>
      </c>
      <c r="AH297" s="3">
        <v>1993</v>
      </c>
      <c r="AI297" s="3">
        <v>2793</v>
      </c>
      <c r="AJ297" s="3">
        <v>2770</v>
      </c>
      <c r="AK297" s="3">
        <v>2710</v>
      </c>
      <c r="AL297" s="3">
        <v>2400</v>
      </c>
      <c r="AM297" s="3">
        <v>2506</v>
      </c>
      <c r="AN297" s="3">
        <v>2761</v>
      </c>
      <c r="AO297" s="3">
        <v>3658</v>
      </c>
      <c r="AP297" s="3">
        <v>3982</v>
      </c>
      <c r="AQ297" s="3">
        <v>4135</v>
      </c>
      <c r="AR297" s="3">
        <v>4485</v>
      </c>
      <c r="AS297" s="3">
        <v>4655</v>
      </c>
      <c r="AT297" s="3">
        <v>4375</v>
      </c>
      <c r="AU297" s="3">
        <v>3924</v>
      </c>
      <c r="AV297" s="3">
        <v>3764</v>
      </c>
      <c r="AW297" s="3">
        <v>3858</v>
      </c>
      <c r="AX297" s="3">
        <v>3926</v>
      </c>
      <c r="AY297" s="3">
        <v>3685</v>
      </c>
      <c r="AZ297" s="3">
        <v>3500</v>
      </c>
      <c r="BA297" s="3">
        <v>3618</v>
      </c>
      <c r="BB297" s="3">
        <v>3805</v>
      </c>
      <c r="BC297" s="13">
        <v>0</v>
      </c>
      <c r="BD297" s="20">
        <f t="shared" si="80"/>
        <v>1.7849872302624272E-2</v>
      </c>
      <c r="BE297" s="20">
        <f t="shared" si="80"/>
        <v>1.7404333794375289E-2</v>
      </c>
      <c r="BF297" s="20">
        <f t="shared" si="80"/>
        <v>1.5983656331870152E-2</v>
      </c>
      <c r="BG297" s="20">
        <f t="shared" si="80"/>
        <v>1.5812991049847066E-2</v>
      </c>
      <c r="BH297" s="20">
        <f t="shared" si="80"/>
        <v>1.5203980434015229E-2</v>
      </c>
      <c r="BI297" s="20">
        <f t="shared" si="80"/>
        <v>1.4876530660119168E-2</v>
      </c>
      <c r="BJ297" s="23">
        <f t="shared" si="73"/>
        <v>1.5297834047993822E-2</v>
      </c>
    </row>
    <row r="298" spans="1:62" s="5" customFormat="1" x14ac:dyDescent="0.25">
      <c r="A298" s="14"/>
      <c r="B298" s="6" t="s">
        <v>12</v>
      </c>
      <c r="C298" s="6" t="s">
        <v>6</v>
      </c>
      <c r="D298" s="7">
        <v>219</v>
      </c>
      <c r="E298" s="7">
        <v>222</v>
      </c>
      <c r="F298" s="7">
        <v>193</v>
      </c>
      <c r="G298" s="7">
        <v>197</v>
      </c>
      <c r="H298" s="7">
        <v>183</v>
      </c>
      <c r="I298" s="7">
        <v>252</v>
      </c>
      <c r="J298" s="7">
        <v>248</v>
      </c>
      <c r="K298" s="7">
        <v>278</v>
      </c>
      <c r="L298" s="7">
        <v>231</v>
      </c>
      <c r="M298" s="7">
        <v>263</v>
      </c>
      <c r="N298" s="7">
        <v>270</v>
      </c>
      <c r="O298" s="7">
        <v>245</v>
      </c>
      <c r="P298" s="7">
        <v>280</v>
      </c>
      <c r="Q298" s="7">
        <v>290</v>
      </c>
      <c r="R298" s="7">
        <v>325</v>
      </c>
      <c r="S298" s="7">
        <v>480</v>
      </c>
      <c r="T298" s="7">
        <v>300</v>
      </c>
      <c r="U298" s="7">
        <v>350</v>
      </c>
      <c r="V298" s="7">
        <v>275</v>
      </c>
      <c r="W298" s="7">
        <v>320</v>
      </c>
      <c r="X298" s="7">
        <v>260</v>
      </c>
      <c r="Y298" s="7">
        <v>390</v>
      </c>
      <c r="Z298" s="7">
        <v>340</v>
      </c>
      <c r="AA298" s="7">
        <v>290</v>
      </c>
      <c r="AB298" s="7">
        <v>291</v>
      </c>
      <c r="AC298" s="7">
        <v>498</v>
      </c>
      <c r="AD298" s="7">
        <v>351</v>
      </c>
      <c r="AE298" s="7">
        <v>380</v>
      </c>
      <c r="AF298" s="7">
        <v>266</v>
      </c>
      <c r="AG298" s="7">
        <v>360</v>
      </c>
      <c r="AH298" s="7">
        <v>200</v>
      </c>
      <c r="AI298" s="7">
        <v>190</v>
      </c>
      <c r="AJ298" s="7">
        <v>200</v>
      </c>
      <c r="AK298" s="7">
        <v>140</v>
      </c>
      <c r="AL298" s="7">
        <v>257</v>
      </c>
      <c r="AM298" s="7">
        <v>233</v>
      </c>
      <c r="AN298" s="7">
        <v>267</v>
      </c>
      <c r="AO298" s="7">
        <v>300</v>
      </c>
      <c r="AP298" s="7">
        <v>313</v>
      </c>
      <c r="AQ298" s="7">
        <v>269</v>
      </c>
      <c r="AR298" s="7">
        <v>215</v>
      </c>
      <c r="AS298" s="7">
        <v>185</v>
      </c>
      <c r="AT298" s="7">
        <v>133</v>
      </c>
      <c r="AU298" s="7">
        <v>200</v>
      </c>
      <c r="AV298" s="7">
        <v>195</v>
      </c>
      <c r="AW298" s="7">
        <v>181</v>
      </c>
      <c r="AX298" s="7">
        <v>178</v>
      </c>
      <c r="AY298" s="7">
        <v>178</v>
      </c>
      <c r="AZ298" s="7">
        <v>156</v>
      </c>
      <c r="BA298" s="7">
        <v>178</v>
      </c>
      <c r="BB298" s="7">
        <v>150</v>
      </c>
      <c r="BC298" s="15">
        <v>0</v>
      </c>
      <c r="BD298" s="21">
        <f t="shared" si="80"/>
        <v>4.3238956149487342E-4</v>
      </c>
      <c r="BE298" s="21">
        <f t="shared" si="80"/>
        <v>4.2351911070504037E-4</v>
      </c>
      <c r="BF298" s="21">
        <f t="shared" si="80"/>
        <v>4.1051376489553807E-4</v>
      </c>
      <c r="BG298" s="21">
        <f t="shared" si="80"/>
        <v>3.4815910871268172E-4</v>
      </c>
      <c r="BH298" s="21">
        <f t="shared" si="80"/>
        <v>4.0422115893385535E-4</v>
      </c>
      <c r="BI298" s="21">
        <f t="shared" si="80"/>
        <v>3.3282965112795969E-4</v>
      </c>
      <c r="BJ298" s="23">
        <f t="shared" si="73"/>
        <v>3.6173663959149894E-4</v>
      </c>
    </row>
    <row r="299" spans="1:62" x14ac:dyDescent="0.25">
      <c r="A299" s="12"/>
      <c r="B299" s="2"/>
      <c r="C299" s="2" t="s">
        <v>7</v>
      </c>
      <c r="D299" s="4">
        <v>0</v>
      </c>
      <c r="E299" s="4">
        <v>0</v>
      </c>
      <c r="F299" s="4">
        <v>2</v>
      </c>
      <c r="G299" s="4">
        <v>0</v>
      </c>
      <c r="H299" s="4">
        <v>17</v>
      </c>
      <c r="I299" s="4">
        <v>12</v>
      </c>
      <c r="J299" s="4">
        <v>0</v>
      </c>
      <c r="K299" s="4">
        <v>0</v>
      </c>
      <c r="L299" s="4">
        <v>5</v>
      </c>
      <c r="M299" s="4">
        <v>5</v>
      </c>
      <c r="N299" s="4">
        <v>18</v>
      </c>
      <c r="O299" s="4">
        <v>0</v>
      </c>
      <c r="P299" s="4">
        <v>9</v>
      </c>
      <c r="Q299" s="4">
        <v>72</v>
      </c>
      <c r="R299" s="4">
        <v>30</v>
      </c>
      <c r="S299" s="4">
        <v>1</v>
      </c>
      <c r="T299" s="4">
        <v>1</v>
      </c>
      <c r="U299" s="4">
        <v>1</v>
      </c>
      <c r="V299" s="4">
        <v>13</v>
      </c>
      <c r="W299" s="4">
        <v>65</v>
      </c>
      <c r="X299" s="4">
        <v>140</v>
      </c>
      <c r="Y299" s="4">
        <v>17</v>
      </c>
      <c r="Z299" s="4">
        <v>0</v>
      </c>
      <c r="AA299" s="4">
        <v>106</v>
      </c>
      <c r="AB299" s="4">
        <v>203</v>
      </c>
      <c r="AC299" s="4">
        <v>23</v>
      </c>
      <c r="AD299" s="4">
        <v>0</v>
      </c>
      <c r="AE299" s="4">
        <v>0</v>
      </c>
      <c r="AF299" s="4">
        <v>189</v>
      </c>
      <c r="AG299" s="4">
        <v>136</v>
      </c>
      <c r="AH299" s="4">
        <v>175</v>
      </c>
      <c r="AI299" s="4">
        <v>385</v>
      </c>
      <c r="AJ299" s="4">
        <v>275</v>
      </c>
      <c r="AK299" s="4">
        <v>250</v>
      </c>
      <c r="AL299" s="4">
        <v>245</v>
      </c>
      <c r="AM299" s="4">
        <v>300</v>
      </c>
      <c r="AN299" s="4">
        <v>279</v>
      </c>
      <c r="AO299" s="4">
        <v>308</v>
      </c>
      <c r="AP299" s="4">
        <v>310</v>
      </c>
      <c r="AQ299" s="4">
        <v>430</v>
      </c>
      <c r="AR299" s="4">
        <v>403</v>
      </c>
      <c r="AS299" s="4">
        <v>537</v>
      </c>
      <c r="AT299" s="4">
        <v>536</v>
      </c>
      <c r="AU299" s="4">
        <v>535</v>
      </c>
      <c r="AV299" s="4">
        <v>550</v>
      </c>
      <c r="AW299" s="4">
        <v>581</v>
      </c>
      <c r="AX299" s="4">
        <v>594</v>
      </c>
      <c r="AY299" s="4">
        <v>582</v>
      </c>
      <c r="AZ299" s="4">
        <v>588</v>
      </c>
      <c r="BA299" s="4">
        <v>608</v>
      </c>
      <c r="BB299" s="4">
        <v>655</v>
      </c>
      <c r="BC299" s="13">
        <v>0</v>
      </c>
      <c r="BD299" s="20">
        <f t="shared" si="80"/>
        <v>2.1924528301886792E-2</v>
      </c>
      <c r="BE299" s="20">
        <f t="shared" si="80"/>
        <v>2.1044427123928292E-2</v>
      </c>
      <c r="BF299" s="20">
        <f t="shared" si="80"/>
        <v>1.9771036450725279E-2</v>
      </c>
      <c r="BG299" s="20">
        <f t="shared" si="80"/>
        <v>2.1658256289366091E-2</v>
      </c>
      <c r="BH299" s="20">
        <f t="shared" si="80"/>
        <v>2.1656277827248441E-2</v>
      </c>
      <c r="BI299" s="20">
        <f t="shared" si="80"/>
        <v>2.240695128626163E-2</v>
      </c>
      <c r="BJ299" s="23">
        <f t="shared" si="73"/>
        <v>2.1907161800958721E-2</v>
      </c>
    </row>
    <row r="300" spans="1:62" s="5" customFormat="1" x14ac:dyDescent="0.25">
      <c r="A300" s="14"/>
      <c r="B300" s="6"/>
      <c r="C300" s="6" t="s">
        <v>8</v>
      </c>
      <c r="D300" s="7">
        <v>3</v>
      </c>
      <c r="E300" s="7">
        <v>63</v>
      </c>
      <c r="F300" s="7">
        <v>0</v>
      </c>
      <c r="G300" s="7">
        <v>0</v>
      </c>
      <c r="H300" s="7">
        <v>0</v>
      </c>
      <c r="I300" s="7">
        <v>0</v>
      </c>
      <c r="J300" s="7">
        <v>0</v>
      </c>
      <c r="K300" s="7">
        <v>46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7">
        <v>0</v>
      </c>
      <c r="R300" s="7">
        <v>0</v>
      </c>
      <c r="S300" s="7">
        <v>0</v>
      </c>
      <c r="T300" s="7">
        <v>3</v>
      </c>
      <c r="U300" s="7">
        <v>60</v>
      </c>
      <c r="V300" s="7">
        <v>0</v>
      </c>
      <c r="W300" s="7">
        <v>0</v>
      </c>
      <c r="X300" s="7">
        <v>0</v>
      </c>
      <c r="Y300" s="7">
        <v>0</v>
      </c>
      <c r="Z300" s="7">
        <v>0</v>
      </c>
      <c r="AA300" s="7">
        <v>0</v>
      </c>
      <c r="AB300" s="7">
        <v>0</v>
      </c>
      <c r="AC300" s="7">
        <v>0</v>
      </c>
      <c r="AD300" s="7">
        <v>0</v>
      </c>
      <c r="AE300" s="7">
        <v>0</v>
      </c>
      <c r="AF300" s="7">
        <v>0</v>
      </c>
      <c r="AG300" s="7">
        <v>0</v>
      </c>
      <c r="AH300" s="7">
        <v>0</v>
      </c>
      <c r="AI300" s="7">
        <v>0</v>
      </c>
      <c r="AJ300" s="7">
        <v>0</v>
      </c>
      <c r="AK300" s="7">
        <v>0</v>
      </c>
      <c r="AL300" s="7">
        <v>0</v>
      </c>
      <c r="AM300" s="7">
        <v>0</v>
      </c>
      <c r="AN300" s="7">
        <v>0</v>
      </c>
      <c r="AO300" s="7">
        <v>0</v>
      </c>
      <c r="AP300" s="7">
        <v>4</v>
      </c>
      <c r="AQ300" s="7">
        <v>3</v>
      </c>
      <c r="AR300" s="7">
        <v>4</v>
      </c>
      <c r="AS300" s="7">
        <v>3</v>
      </c>
      <c r="AT300" s="7">
        <v>3</v>
      </c>
      <c r="AU300" s="7">
        <v>0</v>
      </c>
      <c r="AV300" s="7">
        <v>0</v>
      </c>
      <c r="AW300" s="7">
        <v>2</v>
      </c>
      <c r="AX300" s="7">
        <v>0</v>
      </c>
      <c r="AY300" s="7">
        <v>10</v>
      </c>
      <c r="AZ300" s="7">
        <v>10</v>
      </c>
      <c r="BA300" s="7">
        <v>6</v>
      </c>
      <c r="BB300" s="7">
        <v>5</v>
      </c>
      <c r="BC300" s="15">
        <v>0</v>
      </c>
      <c r="BD300" s="21">
        <f t="shared" si="80"/>
        <v>6.7376364371378515E-5</v>
      </c>
      <c r="BE300" s="21">
        <f t="shared" si="80"/>
        <v>0</v>
      </c>
      <c r="BF300" s="21">
        <f t="shared" si="80"/>
        <v>3.2013317540096681E-4</v>
      </c>
      <c r="BG300" s="21">
        <f t="shared" si="80"/>
        <v>3.4587714443829549E-4</v>
      </c>
      <c r="BH300" s="21">
        <f t="shared" si="80"/>
        <v>1.9471036832711342E-4</v>
      </c>
      <c r="BI300" s="21">
        <f t="shared" si="80"/>
        <v>1.6447909470706273E-4</v>
      </c>
      <c r="BJ300" s="23">
        <f t="shared" si="73"/>
        <v>2.350222024908239E-4</v>
      </c>
    </row>
    <row r="301" spans="1:62" x14ac:dyDescent="0.25">
      <c r="A301" s="12"/>
      <c r="B301" s="2"/>
      <c r="C301" s="2" t="s">
        <v>9</v>
      </c>
      <c r="D301" s="4">
        <v>216</v>
      </c>
      <c r="E301" s="4">
        <v>159</v>
      </c>
      <c r="F301" s="4">
        <v>195</v>
      </c>
      <c r="G301" s="4">
        <v>197</v>
      </c>
      <c r="H301" s="4">
        <v>200</v>
      </c>
      <c r="I301" s="4">
        <v>264</v>
      </c>
      <c r="J301" s="4">
        <v>248</v>
      </c>
      <c r="K301" s="4">
        <v>232</v>
      </c>
      <c r="L301" s="4">
        <v>236</v>
      </c>
      <c r="M301" s="4">
        <v>303</v>
      </c>
      <c r="N301" s="4">
        <v>263</v>
      </c>
      <c r="O301" s="4">
        <v>270</v>
      </c>
      <c r="P301" s="4">
        <v>294</v>
      </c>
      <c r="Q301" s="4">
        <v>307</v>
      </c>
      <c r="R301" s="4">
        <v>325</v>
      </c>
      <c r="S301" s="4">
        <v>355</v>
      </c>
      <c r="T301" s="4">
        <v>329</v>
      </c>
      <c r="U301" s="4">
        <v>351</v>
      </c>
      <c r="V301" s="4">
        <v>360</v>
      </c>
      <c r="W301" s="4">
        <v>380</v>
      </c>
      <c r="X301" s="4">
        <v>370</v>
      </c>
      <c r="Y301" s="4">
        <v>380</v>
      </c>
      <c r="Z301" s="4">
        <v>390</v>
      </c>
      <c r="AA301" s="4">
        <v>410</v>
      </c>
      <c r="AB301" s="4">
        <v>425</v>
      </c>
      <c r="AC301" s="4">
        <v>436</v>
      </c>
      <c r="AD301" s="4">
        <v>445</v>
      </c>
      <c r="AE301" s="4">
        <v>440</v>
      </c>
      <c r="AF301" s="4">
        <v>430</v>
      </c>
      <c r="AG301" s="4">
        <v>446</v>
      </c>
      <c r="AH301" s="4">
        <v>440</v>
      </c>
      <c r="AI301" s="4">
        <v>460</v>
      </c>
      <c r="AJ301" s="4">
        <v>480</v>
      </c>
      <c r="AK301" s="4">
        <v>485</v>
      </c>
      <c r="AL301" s="4">
        <v>500</v>
      </c>
      <c r="AM301" s="4">
        <v>525</v>
      </c>
      <c r="AN301" s="4">
        <v>545</v>
      </c>
      <c r="AO301" s="4">
        <v>585</v>
      </c>
      <c r="AP301" s="4">
        <v>604</v>
      </c>
      <c r="AQ301" s="4">
        <v>621</v>
      </c>
      <c r="AR301" s="4">
        <v>650</v>
      </c>
      <c r="AS301" s="4">
        <v>675</v>
      </c>
      <c r="AT301" s="4">
        <v>700</v>
      </c>
      <c r="AU301" s="4">
        <v>725</v>
      </c>
      <c r="AV301" s="4">
        <v>750</v>
      </c>
      <c r="AW301" s="4">
        <v>775</v>
      </c>
      <c r="AX301" s="4">
        <v>788</v>
      </c>
      <c r="AY301" s="4">
        <v>700</v>
      </c>
      <c r="AZ301" s="4">
        <v>761</v>
      </c>
      <c r="BA301" s="4">
        <v>775</v>
      </c>
      <c r="BB301" s="4">
        <v>820</v>
      </c>
      <c r="BC301" s="13">
        <v>0</v>
      </c>
      <c r="BD301" s="20">
        <f t="shared" si="80"/>
        <v>1.8768177888422576E-3</v>
      </c>
      <c r="BE301" s="20">
        <f t="shared" si="80"/>
        <v>1.8825687985723058E-3</v>
      </c>
      <c r="BF301" s="20">
        <f t="shared" si="80"/>
        <v>1.642124721718507E-3</v>
      </c>
      <c r="BG301" s="20">
        <f t="shared" si="80"/>
        <v>1.7489830157891109E-3</v>
      </c>
      <c r="BH301" s="20">
        <f t="shared" si="80"/>
        <v>1.7804345179157658E-3</v>
      </c>
      <c r="BI301" s="20">
        <f t="shared" si="80"/>
        <v>1.8376091360547877E-3</v>
      </c>
      <c r="BJ301" s="23">
        <f t="shared" si="73"/>
        <v>1.7890088899198883E-3</v>
      </c>
    </row>
    <row r="302" spans="1:62" s="5" customFormat="1" x14ac:dyDescent="0.25">
      <c r="A302" s="14"/>
      <c r="B302" s="6" t="s">
        <v>13</v>
      </c>
      <c r="C302" s="6" t="s">
        <v>6</v>
      </c>
      <c r="D302" s="7">
        <v>209</v>
      </c>
      <c r="E302" s="7">
        <v>291</v>
      </c>
      <c r="F302" s="7">
        <v>296</v>
      </c>
      <c r="G302" s="7">
        <v>402</v>
      </c>
      <c r="H302" s="7">
        <v>526</v>
      </c>
      <c r="I302" s="7">
        <v>747</v>
      </c>
      <c r="J302" s="8">
        <v>1411</v>
      </c>
      <c r="K302" s="8">
        <v>1605</v>
      </c>
      <c r="L302" s="8">
        <v>2128</v>
      </c>
      <c r="M302" s="8">
        <v>2200</v>
      </c>
      <c r="N302" s="8">
        <v>2350</v>
      </c>
      <c r="O302" s="8">
        <v>2200</v>
      </c>
      <c r="P302" s="8">
        <v>1800</v>
      </c>
      <c r="Q302" s="8">
        <v>2900</v>
      </c>
      <c r="R302" s="8">
        <v>2760</v>
      </c>
      <c r="S302" s="8">
        <v>3400</v>
      </c>
      <c r="T302" s="8">
        <v>3200</v>
      </c>
      <c r="U302" s="8">
        <v>2800</v>
      </c>
      <c r="V302" s="8">
        <v>3200</v>
      </c>
      <c r="W302" s="8">
        <v>2000</v>
      </c>
      <c r="X302" s="8">
        <v>3800</v>
      </c>
      <c r="Y302" s="8">
        <v>4000</v>
      </c>
      <c r="Z302" s="8">
        <v>2800</v>
      </c>
      <c r="AA302" s="8">
        <v>4000</v>
      </c>
      <c r="AB302" s="8">
        <v>4100</v>
      </c>
      <c r="AC302" s="8">
        <v>3700</v>
      </c>
      <c r="AD302" s="8">
        <v>4300</v>
      </c>
      <c r="AE302" s="8">
        <v>4000</v>
      </c>
      <c r="AF302" s="8">
        <v>3110</v>
      </c>
      <c r="AG302" s="8">
        <v>3750</v>
      </c>
      <c r="AH302" s="8">
        <v>3700</v>
      </c>
      <c r="AI302" s="8">
        <v>4403</v>
      </c>
      <c r="AJ302" s="8">
        <v>3088</v>
      </c>
      <c r="AK302" s="8">
        <v>3018</v>
      </c>
      <c r="AL302" s="8">
        <v>3000</v>
      </c>
      <c r="AM302" s="8">
        <v>5568</v>
      </c>
      <c r="AN302" s="8">
        <v>6855</v>
      </c>
      <c r="AO302" s="8">
        <v>5700</v>
      </c>
      <c r="AP302" s="8">
        <v>6400</v>
      </c>
      <c r="AQ302" s="8">
        <v>6394</v>
      </c>
      <c r="AR302" s="8">
        <v>5665</v>
      </c>
      <c r="AS302" s="8">
        <v>5900</v>
      </c>
      <c r="AT302" s="8">
        <v>6338</v>
      </c>
      <c r="AU302" s="8">
        <v>7300</v>
      </c>
      <c r="AV302" s="8">
        <v>5890</v>
      </c>
      <c r="AW302" s="8">
        <v>5500</v>
      </c>
      <c r="AX302" s="8">
        <v>5810</v>
      </c>
      <c r="AY302" s="8">
        <v>6200</v>
      </c>
      <c r="AZ302" s="8">
        <v>7067</v>
      </c>
      <c r="BA302" s="8">
        <v>6250</v>
      </c>
      <c r="BB302" s="8">
        <v>7100</v>
      </c>
      <c r="BC302" s="15">
        <v>0</v>
      </c>
      <c r="BD302" s="21">
        <f t="shared" si="80"/>
        <v>9.2229265184290837E-2</v>
      </c>
      <c r="BE302" s="21">
        <f t="shared" si="80"/>
        <v>0.10078057241977451</v>
      </c>
      <c r="BF302" s="21">
        <f t="shared" si="80"/>
        <v>9.4069095267717617E-2</v>
      </c>
      <c r="BG302" s="21">
        <f t="shared" si="80"/>
        <v>0.10898127872189495</v>
      </c>
      <c r="BH302" s="21">
        <f t="shared" si="80"/>
        <v>0.10547277114940007</v>
      </c>
      <c r="BI302" s="21">
        <f t="shared" si="80"/>
        <v>0.10884896056908076</v>
      </c>
      <c r="BJ302" s="23">
        <f t="shared" si="73"/>
        <v>0.10776767014679194</v>
      </c>
    </row>
    <row r="303" spans="1:62" x14ac:dyDescent="0.25">
      <c r="A303" s="12"/>
      <c r="B303" s="2"/>
      <c r="C303" s="2" t="s">
        <v>7</v>
      </c>
      <c r="D303" s="4">
        <v>27</v>
      </c>
      <c r="E303" s="4">
        <v>41</v>
      </c>
      <c r="F303" s="4">
        <v>173</v>
      </c>
      <c r="G303" s="4">
        <v>13</v>
      </c>
      <c r="H303" s="4">
        <v>56</v>
      </c>
      <c r="I303" s="4">
        <v>56</v>
      </c>
      <c r="J303" s="4">
        <v>25</v>
      </c>
      <c r="K303" s="4">
        <v>85</v>
      </c>
      <c r="L303" s="4">
        <v>31</v>
      </c>
      <c r="M303" s="4">
        <v>26</v>
      </c>
      <c r="N303" s="4">
        <v>22</v>
      </c>
      <c r="O303" s="4">
        <v>84</v>
      </c>
      <c r="P303" s="4">
        <v>186</v>
      </c>
      <c r="Q303" s="4">
        <v>200</v>
      </c>
      <c r="R303" s="4">
        <v>583</v>
      </c>
      <c r="S303" s="4">
        <v>300</v>
      </c>
      <c r="T303" s="4">
        <v>800</v>
      </c>
      <c r="U303" s="4">
        <v>570</v>
      </c>
      <c r="V303" s="3">
        <v>1405</v>
      </c>
      <c r="W303" s="3">
        <v>2290</v>
      </c>
      <c r="X303" s="3">
        <v>3193</v>
      </c>
      <c r="Y303" s="4">
        <v>945</v>
      </c>
      <c r="Z303" s="3">
        <v>3227</v>
      </c>
      <c r="AA303" s="3">
        <v>3329</v>
      </c>
      <c r="AB303" s="3">
        <v>2481</v>
      </c>
      <c r="AC303" s="4">
        <v>627</v>
      </c>
      <c r="AD303" s="4">
        <v>810</v>
      </c>
      <c r="AE303" s="4">
        <v>875</v>
      </c>
      <c r="AF303" s="3">
        <v>2256</v>
      </c>
      <c r="AG303" s="3">
        <v>3020</v>
      </c>
      <c r="AH303" s="3">
        <v>3025</v>
      </c>
      <c r="AI303" s="3">
        <v>5015</v>
      </c>
      <c r="AJ303" s="3">
        <v>4024</v>
      </c>
      <c r="AK303" s="3">
        <v>3118</v>
      </c>
      <c r="AL303" s="3">
        <v>2544</v>
      </c>
      <c r="AM303" s="3">
        <v>1764</v>
      </c>
      <c r="AN303" s="3">
        <v>2091</v>
      </c>
      <c r="AO303" s="3">
        <v>3379</v>
      </c>
      <c r="AP303" s="3">
        <v>3338</v>
      </c>
      <c r="AQ303" s="3">
        <v>4890</v>
      </c>
      <c r="AR303" s="3">
        <v>5037</v>
      </c>
      <c r="AS303" s="3">
        <v>4837</v>
      </c>
      <c r="AT303" s="3">
        <v>3384</v>
      </c>
      <c r="AU303" s="3">
        <v>3002</v>
      </c>
      <c r="AV303" s="3">
        <v>2931</v>
      </c>
      <c r="AW303" s="3">
        <v>3029</v>
      </c>
      <c r="AX303" s="3">
        <v>1954</v>
      </c>
      <c r="AY303" s="3">
        <v>1156</v>
      </c>
      <c r="AZ303" s="3">
        <v>2496</v>
      </c>
      <c r="BA303" s="3">
        <v>2528</v>
      </c>
      <c r="BB303" s="3">
        <v>2400</v>
      </c>
      <c r="BC303" s="13">
        <v>0</v>
      </c>
      <c r="BD303" s="20">
        <f t="shared" si="80"/>
        <v>0.56776007497656977</v>
      </c>
      <c r="BE303" s="20">
        <f t="shared" si="80"/>
        <v>0.40380243852035547</v>
      </c>
      <c r="BF303" s="20">
        <f t="shared" si="80"/>
        <v>0.11943382580845129</v>
      </c>
      <c r="BG303" s="20">
        <f t="shared" si="80"/>
        <v>0.40837696335078533</v>
      </c>
      <c r="BH303" s="20">
        <f t="shared" si="80"/>
        <v>0.41192765194720549</v>
      </c>
      <c r="BI303" s="20">
        <f t="shared" si="80"/>
        <v>0.36775973030953113</v>
      </c>
      <c r="BJ303" s="23">
        <f t="shared" si="73"/>
        <v>0.39602144853584065</v>
      </c>
    </row>
    <row r="304" spans="1:62" s="5" customFormat="1" x14ac:dyDescent="0.25">
      <c r="A304" s="14"/>
      <c r="B304" s="6"/>
      <c r="C304" s="6" t="s">
        <v>8</v>
      </c>
      <c r="D304" s="7">
        <v>0</v>
      </c>
      <c r="E304" s="7">
        <v>0</v>
      </c>
      <c r="F304" s="7">
        <v>1</v>
      </c>
      <c r="G304" s="7">
        <v>2</v>
      </c>
      <c r="H304" s="7">
        <v>0</v>
      </c>
      <c r="I304" s="7">
        <v>0</v>
      </c>
      <c r="J304" s="7">
        <v>21</v>
      </c>
      <c r="K304" s="7">
        <v>170</v>
      </c>
      <c r="L304" s="7">
        <v>175</v>
      </c>
      <c r="M304" s="7">
        <v>250</v>
      </c>
      <c r="N304" s="7">
        <v>200</v>
      </c>
      <c r="O304" s="7">
        <v>0</v>
      </c>
      <c r="P304" s="7">
        <v>0</v>
      </c>
      <c r="Q304" s="7">
        <v>0</v>
      </c>
      <c r="R304" s="7">
        <v>0</v>
      </c>
      <c r="S304" s="7">
        <v>0</v>
      </c>
      <c r="T304" s="7">
        <v>0</v>
      </c>
      <c r="U304" s="7">
        <v>0</v>
      </c>
      <c r="V304" s="7">
        <v>0</v>
      </c>
      <c r="W304" s="7">
        <v>0</v>
      </c>
      <c r="X304" s="7">
        <v>0</v>
      </c>
      <c r="Y304" s="7">
        <v>0</v>
      </c>
      <c r="Z304" s="7">
        <v>0</v>
      </c>
      <c r="AA304" s="7">
        <v>0</v>
      </c>
      <c r="AB304" s="7">
        <v>0</v>
      </c>
      <c r="AC304" s="7">
        <v>0</v>
      </c>
      <c r="AD304" s="7">
        <v>0</v>
      </c>
      <c r="AE304" s="7">
        <v>0</v>
      </c>
      <c r="AF304" s="7">
        <v>0</v>
      </c>
      <c r="AG304" s="7">
        <v>0</v>
      </c>
      <c r="AH304" s="7">
        <v>0</v>
      </c>
      <c r="AI304" s="7">
        <v>0</v>
      </c>
      <c r="AJ304" s="7">
        <v>0</v>
      </c>
      <c r="AK304" s="7">
        <v>0</v>
      </c>
      <c r="AL304" s="7">
        <v>0</v>
      </c>
      <c r="AM304" s="7">
        <v>0</v>
      </c>
      <c r="AN304" s="7">
        <v>0</v>
      </c>
      <c r="AO304" s="7">
        <v>0</v>
      </c>
      <c r="AP304" s="7">
        <v>0</v>
      </c>
      <c r="AQ304" s="7">
        <v>0</v>
      </c>
      <c r="AR304" s="7">
        <v>0</v>
      </c>
      <c r="AS304" s="7">
        <v>0</v>
      </c>
      <c r="AT304" s="7">
        <v>0</v>
      </c>
      <c r="AU304" s="7">
        <v>0</v>
      </c>
      <c r="AV304" s="7">
        <v>0</v>
      </c>
      <c r="AW304" s="7">
        <v>0</v>
      </c>
      <c r="AX304" s="7">
        <v>0</v>
      </c>
      <c r="AY304" s="7">
        <v>0</v>
      </c>
      <c r="AZ304" s="7">
        <v>0</v>
      </c>
      <c r="BA304" s="7">
        <v>0</v>
      </c>
      <c r="BB304" s="7">
        <v>0</v>
      </c>
      <c r="BC304" s="15">
        <v>0</v>
      </c>
      <c r="BD304" s="21">
        <f t="shared" si="80"/>
        <v>0</v>
      </c>
      <c r="BE304" s="21">
        <f t="shared" si="80"/>
        <v>0</v>
      </c>
      <c r="BF304" s="21">
        <f t="shared" si="80"/>
        <v>0</v>
      </c>
      <c r="BG304" s="21">
        <f t="shared" si="80"/>
        <v>0</v>
      </c>
      <c r="BH304" s="21">
        <f t="shared" si="80"/>
        <v>0</v>
      </c>
      <c r="BI304" s="21">
        <f t="shared" si="80"/>
        <v>0</v>
      </c>
      <c r="BJ304" s="23">
        <f t="shared" si="73"/>
        <v>0</v>
      </c>
    </row>
    <row r="305" spans="1:62" x14ac:dyDescent="0.25">
      <c r="A305" s="12"/>
      <c r="B305" s="2"/>
      <c r="C305" s="2" t="s">
        <v>9</v>
      </c>
      <c r="D305" s="4">
        <v>237</v>
      </c>
      <c r="E305" s="4">
        <v>334</v>
      </c>
      <c r="F305" s="4">
        <v>450</v>
      </c>
      <c r="G305" s="4">
        <v>427</v>
      </c>
      <c r="H305" s="4">
        <v>555</v>
      </c>
      <c r="I305" s="4">
        <v>825</v>
      </c>
      <c r="J305" s="3">
        <v>1120</v>
      </c>
      <c r="K305" s="3">
        <v>1545</v>
      </c>
      <c r="L305" s="3">
        <v>1900</v>
      </c>
      <c r="M305" s="3">
        <v>2100</v>
      </c>
      <c r="N305" s="3">
        <v>2200</v>
      </c>
      <c r="O305" s="3">
        <v>2402</v>
      </c>
      <c r="P305" s="3">
        <v>1876</v>
      </c>
      <c r="Q305" s="3">
        <v>3010</v>
      </c>
      <c r="R305" s="3">
        <v>3123</v>
      </c>
      <c r="S305" s="3">
        <v>3670</v>
      </c>
      <c r="T305" s="3">
        <v>3950</v>
      </c>
      <c r="U305" s="3">
        <v>3950</v>
      </c>
      <c r="V305" s="3">
        <v>4220</v>
      </c>
      <c r="W305" s="3">
        <v>4280</v>
      </c>
      <c r="X305" s="3">
        <v>5200</v>
      </c>
      <c r="Y305" s="3">
        <v>6758</v>
      </c>
      <c r="Z305" s="3">
        <v>6100</v>
      </c>
      <c r="AA305" s="3">
        <v>6300</v>
      </c>
      <c r="AB305" s="3">
        <v>6425</v>
      </c>
      <c r="AC305" s="3">
        <v>5702</v>
      </c>
      <c r="AD305" s="3">
        <v>5110</v>
      </c>
      <c r="AE305" s="3">
        <v>4853</v>
      </c>
      <c r="AF305" s="3">
        <v>5279</v>
      </c>
      <c r="AG305" s="3">
        <v>6020</v>
      </c>
      <c r="AH305" s="3">
        <v>6825</v>
      </c>
      <c r="AI305" s="3">
        <v>9418</v>
      </c>
      <c r="AJ305" s="3">
        <v>7412</v>
      </c>
      <c r="AK305" s="3">
        <v>6336</v>
      </c>
      <c r="AL305" s="3">
        <v>5644</v>
      </c>
      <c r="AM305" s="3">
        <v>6900</v>
      </c>
      <c r="AN305" s="3">
        <v>8500</v>
      </c>
      <c r="AO305" s="3">
        <v>8980</v>
      </c>
      <c r="AP305" s="3">
        <v>9800</v>
      </c>
      <c r="AQ305" s="3">
        <v>11200</v>
      </c>
      <c r="AR305" s="3">
        <v>11200</v>
      </c>
      <c r="AS305" s="3">
        <v>10750</v>
      </c>
      <c r="AT305" s="3">
        <v>9900</v>
      </c>
      <c r="AU305" s="3">
        <v>9800</v>
      </c>
      <c r="AV305" s="3">
        <v>9300</v>
      </c>
      <c r="AW305" s="3">
        <v>8600</v>
      </c>
      <c r="AX305" s="3">
        <v>8100</v>
      </c>
      <c r="AY305" s="3">
        <v>7200</v>
      </c>
      <c r="AZ305" s="3">
        <v>8600</v>
      </c>
      <c r="BA305" s="3">
        <v>9700</v>
      </c>
      <c r="BB305" s="3">
        <v>9500</v>
      </c>
      <c r="BC305" s="13">
        <v>0</v>
      </c>
      <c r="BD305" s="20">
        <f t="shared" si="80"/>
        <v>0.14504241647412006</v>
      </c>
      <c r="BE305" s="20">
        <f t="shared" si="80"/>
        <v>0.14015780730897009</v>
      </c>
      <c r="BF305" s="20">
        <f t="shared" si="80"/>
        <v>0.11167638664846755</v>
      </c>
      <c r="BG305" s="20">
        <f t="shared" si="80"/>
        <v>0.13335400837339123</v>
      </c>
      <c r="BH305" s="20">
        <f t="shared" si="80"/>
        <v>0.15882372204211284</v>
      </c>
      <c r="BI305" s="20">
        <f t="shared" si="80"/>
        <v>0.14673400985434717</v>
      </c>
      <c r="BJ305" s="23">
        <f t="shared" si="73"/>
        <v>0.14630391342328375</v>
      </c>
    </row>
    <row r="306" spans="1:62" x14ac:dyDescent="0.25">
      <c r="A306" s="14"/>
      <c r="B306" s="6" t="s">
        <v>14</v>
      </c>
      <c r="C306" s="6" t="s">
        <v>42</v>
      </c>
      <c r="D306" s="8">
        <v>1454</v>
      </c>
      <c r="E306" s="8">
        <v>1494</v>
      </c>
      <c r="F306" s="8">
        <v>1500</v>
      </c>
      <c r="G306" s="8">
        <v>2077</v>
      </c>
      <c r="H306" s="8">
        <v>2068</v>
      </c>
      <c r="I306" s="8">
        <v>2104</v>
      </c>
      <c r="J306" s="8">
        <v>2430</v>
      </c>
      <c r="K306" s="8">
        <v>2336</v>
      </c>
      <c r="L306" s="8">
        <v>2563</v>
      </c>
      <c r="M306" s="8">
        <v>2402</v>
      </c>
      <c r="N306" s="8">
        <v>2475</v>
      </c>
      <c r="O306" s="8">
        <v>2520</v>
      </c>
      <c r="P306" s="8">
        <v>2769</v>
      </c>
      <c r="Q306" s="8">
        <v>2805</v>
      </c>
      <c r="R306" s="8">
        <v>2797</v>
      </c>
      <c r="S306" s="8">
        <v>2698</v>
      </c>
      <c r="T306" s="8">
        <v>2696</v>
      </c>
      <c r="U306" s="8">
        <v>3029</v>
      </c>
      <c r="V306" s="8">
        <v>3058</v>
      </c>
      <c r="W306" s="8">
        <v>2763</v>
      </c>
      <c r="X306" s="8">
        <v>2518</v>
      </c>
      <c r="Y306" s="8">
        <v>2842</v>
      </c>
      <c r="Z306" s="8">
        <v>3078</v>
      </c>
      <c r="AA306" s="8">
        <v>3242</v>
      </c>
      <c r="AB306" s="8">
        <v>3436</v>
      </c>
      <c r="AC306" s="8">
        <v>4030</v>
      </c>
      <c r="AD306" s="8">
        <v>3970</v>
      </c>
      <c r="AE306" s="8">
        <v>3850</v>
      </c>
      <c r="AF306" s="8">
        <v>3678</v>
      </c>
      <c r="AG306" s="8">
        <v>3605</v>
      </c>
      <c r="AH306" s="8">
        <v>3900</v>
      </c>
      <c r="AI306" s="8">
        <v>3500</v>
      </c>
      <c r="AJ306" s="8">
        <v>4330</v>
      </c>
      <c r="AK306" s="8">
        <v>3823</v>
      </c>
      <c r="AL306" s="8">
        <v>4556</v>
      </c>
      <c r="AM306" s="8">
        <v>4642</v>
      </c>
      <c r="AN306" s="8">
        <v>4818</v>
      </c>
      <c r="AO306" s="8">
        <v>5486</v>
      </c>
      <c r="AP306" s="8">
        <v>4982</v>
      </c>
      <c r="AQ306" s="8">
        <v>4979</v>
      </c>
      <c r="AR306" s="8">
        <v>5220</v>
      </c>
      <c r="AS306" s="8">
        <v>5169</v>
      </c>
      <c r="AT306" s="8">
        <v>5229</v>
      </c>
      <c r="AU306" s="8">
        <v>5330</v>
      </c>
      <c r="AV306" s="8">
        <v>6149</v>
      </c>
      <c r="AW306" s="8">
        <v>5604</v>
      </c>
      <c r="AX306" s="8">
        <v>5633</v>
      </c>
      <c r="AY306" s="8">
        <v>5852</v>
      </c>
      <c r="AZ306" s="8">
        <v>5260</v>
      </c>
      <c r="BA306" s="8">
        <v>5115</v>
      </c>
      <c r="BB306" s="25">
        <v>5450</v>
      </c>
      <c r="BC306" s="21">
        <f t="shared" ref="BC306:BH306" si="81">AW306/AX$83</f>
        <v>0.70076278604476683</v>
      </c>
      <c r="BD306" s="21">
        <f t="shared" si="81"/>
        <v>0.83180744240992321</v>
      </c>
      <c r="BE306" s="21">
        <f t="shared" si="81"/>
        <v>0.91394658753709201</v>
      </c>
      <c r="BF306" s="21">
        <f t="shared" si="81"/>
        <v>0.73814201515576761</v>
      </c>
      <c r="BG306" s="21">
        <f t="shared" si="81"/>
        <v>0.78692307692307695</v>
      </c>
      <c r="BH306" s="21" t="e">
        <f t="shared" si="81"/>
        <v>#DIV/0!</v>
      </c>
      <c r="BJ306" s="23" t="e">
        <f>AVERAGE(BF306,BG306,BH306)</f>
        <v>#DIV/0!</v>
      </c>
    </row>
    <row r="307" spans="1:62" s="5" customFormat="1" x14ac:dyDescent="0.25">
      <c r="A307" s="14"/>
      <c r="B307" s="2"/>
      <c r="C307" s="2" t="s">
        <v>45</v>
      </c>
      <c r="D307" s="4">
        <v>0</v>
      </c>
      <c r="E307" s="4">
        <v>0</v>
      </c>
      <c r="F307" s="4">
        <v>0</v>
      </c>
      <c r="G307" s="4">
        <v>0</v>
      </c>
      <c r="H307" s="4">
        <v>0</v>
      </c>
      <c r="I307" s="4">
        <v>0</v>
      </c>
      <c r="J307" s="4">
        <v>0</v>
      </c>
      <c r="K307" s="4">
        <v>0</v>
      </c>
      <c r="L307" s="4">
        <v>0</v>
      </c>
      <c r="M307" s="4">
        <v>0</v>
      </c>
      <c r="N307" s="4">
        <v>0</v>
      </c>
      <c r="O307" s="4">
        <v>0</v>
      </c>
      <c r="P307" s="4">
        <v>0</v>
      </c>
      <c r="Q307" s="4">
        <v>0</v>
      </c>
      <c r="R307" s="4">
        <v>0</v>
      </c>
      <c r="S307" s="4">
        <v>0</v>
      </c>
      <c r="T307" s="4">
        <v>0</v>
      </c>
      <c r="U307" s="4">
        <v>0</v>
      </c>
      <c r="V307" s="4">
        <v>0</v>
      </c>
      <c r="W307" s="4">
        <v>778</v>
      </c>
      <c r="X307" s="4">
        <v>607</v>
      </c>
      <c r="Y307" s="4">
        <v>470</v>
      </c>
      <c r="Z307" s="4">
        <v>862</v>
      </c>
      <c r="AA307" s="4">
        <v>270</v>
      </c>
      <c r="AB307" s="4">
        <v>0</v>
      </c>
      <c r="AC307" s="4">
        <v>0</v>
      </c>
      <c r="AD307" s="4">
        <v>0</v>
      </c>
      <c r="AE307" s="4">
        <v>0</v>
      </c>
      <c r="AF307" s="4">
        <v>600</v>
      </c>
      <c r="AG307" s="3">
        <v>1100</v>
      </c>
      <c r="AH307" s="3">
        <v>1625</v>
      </c>
      <c r="AI307" s="4">
        <v>275</v>
      </c>
      <c r="AJ307" s="4">
        <v>78</v>
      </c>
      <c r="AK307" s="4">
        <v>94</v>
      </c>
      <c r="AL307" s="4">
        <v>49</v>
      </c>
      <c r="AM307" s="4">
        <v>234</v>
      </c>
      <c r="AN307" s="4">
        <v>191</v>
      </c>
      <c r="AO307" s="4">
        <v>31</v>
      </c>
      <c r="AP307" s="4">
        <v>41</v>
      </c>
      <c r="AQ307" s="4">
        <v>37</v>
      </c>
      <c r="AR307" s="4">
        <v>43</v>
      </c>
      <c r="AS307" s="4">
        <v>52</v>
      </c>
      <c r="AT307" s="4">
        <v>63</v>
      </c>
      <c r="AU307" s="4">
        <v>327</v>
      </c>
      <c r="AV307" s="4">
        <v>268</v>
      </c>
      <c r="AW307" s="4">
        <v>240</v>
      </c>
      <c r="AX307" s="4">
        <v>474</v>
      </c>
      <c r="AY307" s="4">
        <v>226</v>
      </c>
      <c r="AZ307" s="4">
        <v>160</v>
      </c>
      <c r="BA307" s="4">
        <v>861</v>
      </c>
      <c r="BB307" s="13">
        <v>225</v>
      </c>
      <c r="BC307" s="21">
        <f t="shared" ref="BC307:BH307" si="82">AW307/AX$63</f>
        <v>0.46601941747572817</v>
      </c>
      <c r="BD307" s="21">
        <f t="shared" si="82"/>
        <v>2.8902439024390243</v>
      </c>
      <c r="BE307" s="21">
        <f t="shared" si="82"/>
        <v>4.5199999999999996</v>
      </c>
      <c r="BF307" s="21">
        <f t="shared" si="82"/>
        <v>1.0596026490066226</v>
      </c>
      <c r="BG307" s="21">
        <f t="shared" si="82"/>
        <v>1.3246153846153845</v>
      </c>
      <c r="BH307" s="21" t="e">
        <f t="shared" si="82"/>
        <v>#DIV/0!</v>
      </c>
      <c r="BI307"/>
      <c r="BJ307" s="23" t="e">
        <f>AVERAGE(BF307,BG307,BH307)</f>
        <v>#DIV/0!</v>
      </c>
    </row>
    <row r="308" spans="1:62" x14ac:dyDescent="0.25">
      <c r="A308" s="14"/>
      <c r="B308" s="6"/>
      <c r="C308" s="6" t="s">
        <v>44</v>
      </c>
      <c r="D308" s="7">
        <v>417</v>
      </c>
      <c r="E308" s="7">
        <v>357</v>
      </c>
      <c r="F308" s="7">
        <v>375</v>
      </c>
      <c r="G308" s="7">
        <v>484</v>
      </c>
      <c r="H308" s="7">
        <v>528</v>
      </c>
      <c r="I308" s="7">
        <v>475</v>
      </c>
      <c r="J308" s="7">
        <v>550</v>
      </c>
      <c r="K308" s="7">
        <v>610</v>
      </c>
      <c r="L308" s="7">
        <v>604</v>
      </c>
      <c r="M308" s="7">
        <v>548</v>
      </c>
      <c r="N308" s="7">
        <v>556</v>
      </c>
      <c r="O308" s="7">
        <v>532</v>
      </c>
      <c r="P308" s="7">
        <v>561</v>
      </c>
      <c r="Q308" s="7">
        <v>623</v>
      </c>
      <c r="R308" s="7">
        <v>232</v>
      </c>
      <c r="S308" s="7">
        <v>432</v>
      </c>
      <c r="T308" s="7">
        <v>0</v>
      </c>
      <c r="U308" s="7">
        <v>0</v>
      </c>
      <c r="V308" s="7">
        <v>103</v>
      </c>
      <c r="W308" s="7">
        <v>0</v>
      </c>
      <c r="X308" s="7">
        <v>0</v>
      </c>
      <c r="Y308" s="7">
        <v>0</v>
      </c>
      <c r="Z308" s="7">
        <v>40</v>
      </c>
      <c r="AA308" s="7">
        <v>0</v>
      </c>
      <c r="AB308" s="7">
        <v>11</v>
      </c>
      <c r="AC308" s="7">
        <v>192</v>
      </c>
      <c r="AD308" s="7">
        <v>425</v>
      </c>
      <c r="AE308" s="7">
        <v>967</v>
      </c>
      <c r="AF308" s="7">
        <v>410</v>
      </c>
      <c r="AG308" s="7">
        <v>170</v>
      </c>
      <c r="AH308" s="7">
        <v>285</v>
      </c>
      <c r="AI308" s="7">
        <v>204</v>
      </c>
      <c r="AJ308" s="7">
        <v>7</v>
      </c>
      <c r="AK308" s="7">
        <v>0</v>
      </c>
      <c r="AL308" s="7">
        <v>235</v>
      </c>
      <c r="AM308" s="7">
        <v>646</v>
      </c>
      <c r="AN308" s="7">
        <v>966</v>
      </c>
      <c r="AO308" s="8">
        <v>1076</v>
      </c>
      <c r="AP308" s="7">
        <v>524</v>
      </c>
      <c r="AQ308" s="7">
        <v>318</v>
      </c>
      <c r="AR308" s="7">
        <v>155</v>
      </c>
      <c r="AS308" s="7">
        <v>413</v>
      </c>
      <c r="AT308" s="7">
        <v>38</v>
      </c>
      <c r="AU308" s="7">
        <v>14</v>
      </c>
      <c r="AV308" s="7">
        <v>128</v>
      </c>
      <c r="AW308" s="7">
        <v>866</v>
      </c>
      <c r="AX308" s="7">
        <v>160</v>
      </c>
      <c r="AY308" s="7">
        <v>677</v>
      </c>
      <c r="AZ308" s="8">
        <v>1367</v>
      </c>
      <c r="BA308" s="7">
        <v>773</v>
      </c>
      <c r="BB308" s="15">
        <v>938</v>
      </c>
      <c r="BC308" s="21">
        <f t="shared" ref="BC308:BH308" si="83">AW308/AX$42</f>
        <v>7.4017094017094021</v>
      </c>
      <c r="BD308" s="21">
        <f t="shared" si="83"/>
        <v>12.307692307692308</v>
      </c>
      <c r="BE308" s="21">
        <f t="shared" si="83"/>
        <v>15.386363636363637</v>
      </c>
      <c r="BF308" s="21">
        <f t="shared" si="83"/>
        <v>9.626760563380282</v>
      </c>
      <c r="BG308" s="21">
        <f t="shared" si="83"/>
        <v>1.2713815789473684</v>
      </c>
      <c r="BH308" s="21" t="e">
        <f t="shared" si="83"/>
        <v>#DIV/0!</v>
      </c>
      <c r="BJ308" s="23" t="e">
        <f>AVERAGE(BF308,BG308,BH308)</f>
        <v>#DIV/0!</v>
      </c>
    </row>
    <row r="309" spans="1:62" s="5" customFormat="1" ht="30" x14ac:dyDescent="0.25">
      <c r="A309" s="14"/>
      <c r="B309" s="2"/>
      <c r="C309" s="2" t="s">
        <v>43</v>
      </c>
      <c r="D309" s="3">
        <v>1137</v>
      </c>
      <c r="E309" s="3">
        <v>1201</v>
      </c>
      <c r="F309" s="3">
        <v>1283</v>
      </c>
      <c r="G309" s="3">
        <v>1371</v>
      </c>
      <c r="H309" s="3">
        <v>1451</v>
      </c>
      <c r="I309" s="3">
        <v>1517</v>
      </c>
      <c r="J309" s="3">
        <v>1595</v>
      </c>
      <c r="K309" s="3">
        <v>1724</v>
      </c>
      <c r="L309" s="3">
        <v>1769</v>
      </c>
      <c r="M309" s="3">
        <v>1954</v>
      </c>
      <c r="N309" s="3">
        <v>2021</v>
      </c>
      <c r="O309" s="3">
        <v>2073</v>
      </c>
      <c r="P309" s="3">
        <v>2200</v>
      </c>
      <c r="Q309" s="3">
        <v>2285</v>
      </c>
      <c r="R309" s="3">
        <v>2400</v>
      </c>
      <c r="S309" s="3">
        <v>2650</v>
      </c>
      <c r="T309" s="3">
        <v>2660</v>
      </c>
      <c r="U309" s="3">
        <v>2900</v>
      </c>
      <c r="V309" s="3">
        <v>3080</v>
      </c>
      <c r="W309" s="3">
        <v>3125</v>
      </c>
      <c r="X309" s="3">
        <v>3150</v>
      </c>
      <c r="Y309" s="3">
        <v>3455</v>
      </c>
      <c r="Z309" s="3">
        <v>3300</v>
      </c>
      <c r="AA309" s="3">
        <v>3260</v>
      </c>
      <c r="AB309" s="3">
        <v>3470</v>
      </c>
      <c r="AC309" s="3">
        <v>3510</v>
      </c>
      <c r="AD309" s="3">
        <v>3600</v>
      </c>
      <c r="AE309" s="3">
        <v>3747</v>
      </c>
      <c r="AF309" s="3">
        <v>3840</v>
      </c>
      <c r="AG309" s="3">
        <v>4038</v>
      </c>
      <c r="AH309" s="3">
        <v>4129</v>
      </c>
      <c r="AI309" s="3">
        <v>4320</v>
      </c>
      <c r="AJ309" s="3">
        <v>4300</v>
      </c>
      <c r="AK309" s="3">
        <v>4287</v>
      </c>
      <c r="AL309" s="3">
        <v>4204</v>
      </c>
      <c r="AM309" s="3">
        <v>4343</v>
      </c>
      <c r="AN309" s="3">
        <v>4301</v>
      </c>
      <c r="AO309" s="3">
        <v>4391</v>
      </c>
      <c r="AP309" s="3">
        <v>4422</v>
      </c>
      <c r="AQ309" s="3">
        <v>4445</v>
      </c>
      <c r="AR309" s="3">
        <v>4481</v>
      </c>
      <c r="AS309" s="3">
        <v>5004</v>
      </c>
      <c r="AT309" s="3">
        <v>5097</v>
      </c>
      <c r="AU309" s="3">
        <v>5380</v>
      </c>
      <c r="AV309" s="3">
        <v>5199</v>
      </c>
      <c r="AW309" s="3">
        <v>5406</v>
      </c>
      <c r="AX309" s="3">
        <v>5133</v>
      </c>
      <c r="AY309" s="3">
        <v>4728</v>
      </c>
      <c r="AZ309" s="3">
        <v>4929</v>
      </c>
      <c r="BA309" s="3">
        <v>4615</v>
      </c>
      <c r="BB309" s="24">
        <v>4435</v>
      </c>
      <c r="BC309" s="20">
        <f t="shared" ref="BC309:BH309" si="84">AW309/AW$25</f>
        <v>3.2274626865671641</v>
      </c>
      <c r="BD309" s="20">
        <f t="shared" si="84"/>
        <v>3.0017543859649121</v>
      </c>
      <c r="BE309" s="20">
        <f t="shared" si="84"/>
        <v>2.6339832869080779</v>
      </c>
      <c r="BF309" s="20">
        <f t="shared" si="84"/>
        <v>2.8491329479768788</v>
      </c>
      <c r="BG309" s="20">
        <f t="shared" si="84"/>
        <v>2.6676300578034682</v>
      </c>
      <c r="BH309" s="20">
        <f t="shared" si="84"/>
        <v>2.5198863636363638</v>
      </c>
      <c r="BJ309" s="23">
        <f>AVERAGE(BF309,BG309,BH309)</f>
        <v>2.6788831231389039</v>
      </c>
    </row>
    <row r="310" spans="1:62" x14ac:dyDescent="0.25">
      <c r="A310" s="12"/>
      <c r="B310" s="2" t="s">
        <v>15</v>
      </c>
      <c r="C310" s="2" t="s">
        <v>6</v>
      </c>
      <c r="D310" s="3">
        <v>1190</v>
      </c>
      <c r="E310" s="3">
        <v>1402</v>
      </c>
      <c r="F310" s="3">
        <v>1455</v>
      </c>
      <c r="G310" s="3">
        <v>1703</v>
      </c>
      <c r="H310" s="3">
        <v>1800</v>
      </c>
      <c r="I310" s="3">
        <v>2088</v>
      </c>
      <c r="J310" s="3">
        <v>1612</v>
      </c>
      <c r="K310" s="3">
        <v>2061</v>
      </c>
      <c r="L310" s="3">
        <v>1780</v>
      </c>
      <c r="M310" s="3">
        <v>1915</v>
      </c>
      <c r="N310" s="3">
        <v>2148</v>
      </c>
      <c r="O310" s="3">
        <v>2019</v>
      </c>
      <c r="P310" s="3">
        <v>1700</v>
      </c>
      <c r="Q310" s="3">
        <v>2000</v>
      </c>
      <c r="R310" s="3">
        <v>2400</v>
      </c>
      <c r="S310" s="3">
        <v>2900</v>
      </c>
      <c r="T310" s="3">
        <v>3350</v>
      </c>
      <c r="U310" s="3">
        <v>2300</v>
      </c>
      <c r="V310" s="3">
        <v>2350</v>
      </c>
      <c r="W310" s="3">
        <v>2280</v>
      </c>
      <c r="X310" s="3">
        <v>2650</v>
      </c>
      <c r="Y310" s="3">
        <v>3050</v>
      </c>
      <c r="Z310" s="3">
        <v>4200</v>
      </c>
      <c r="AA310" s="3">
        <v>3200</v>
      </c>
      <c r="AB310" s="3">
        <v>4200</v>
      </c>
      <c r="AC310" s="3">
        <v>4400</v>
      </c>
      <c r="AD310" s="3">
        <v>4500</v>
      </c>
      <c r="AE310" s="3">
        <v>3700</v>
      </c>
      <c r="AF310" s="3">
        <v>3200</v>
      </c>
      <c r="AG310" s="3">
        <v>4000</v>
      </c>
      <c r="AH310" s="3">
        <v>3930</v>
      </c>
      <c r="AI310" s="3">
        <v>4061</v>
      </c>
      <c r="AJ310" s="3">
        <v>3621</v>
      </c>
      <c r="AK310" s="3">
        <v>3582</v>
      </c>
      <c r="AL310" s="3">
        <v>4151</v>
      </c>
      <c r="AM310" s="3">
        <v>3468</v>
      </c>
      <c r="AN310" s="3">
        <v>3107</v>
      </c>
      <c r="AO310" s="3">
        <v>3639</v>
      </c>
      <c r="AP310" s="3">
        <v>3235</v>
      </c>
      <c r="AQ310" s="3">
        <v>3050</v>
      </c>
      <c r="AR310" s="3">
        <v>3400</v>
      </c>
      <c r="AS310" s="3">
        <v>3270</v>
      </c>
      <c r="AT310" s="3">
        <v>3230</v>
      </c>
      <c r="AU310" s="3">
        <v>2700</v>
      </c>
      <c r="AV310" s="3">
        <v>2420</v>
      </c>
      <c r="AW310" s="3">
        <v>3020</v>
      </c>
      <c r="AX310" s="3">
        <v>3240</v>
      </c>
      <c r="AY310" s="3">
        <v>3593</v>
      </c>
      <c r="AZ310" s="3">
        <v>4000</v>
      </c>
      <c r="BA310" s="3">
        <v>4300</v>
      </c>
      <c r="BB310" s="3">
        <v>3900</v>
      </c>
      <c r="BC310" s="13">
        <v>0</v>
      </c>
      <c r="BD310" s="20">
        <f t="shared" ref="BD310:BI313" si="85">AW310/AW571</f>
        <v>4.877765143684102E-3</v>
      </c>
      <c r="BE310" s="20">
        <f t="shared" si="85"/>
        <v>5.4339349235978688E-3</v>
      </c>
      <c r="BF310" s="20">
        <f t="shared" si="85"/>
        <v>5.8700038392733153E-3</v>
      </c>
      <c r="BG310" s="20">
        <f t="shared" si="85"/>
        <v>5.8634691215057391E-3</v>
      </c>
      <c r="BH310" s="20">
        <f t="shared" si="85"/>
        <v>6.2883240446500255E-3</v>
      </c>
      <c r="BI310" s="20">
        <f t="shared" si="85"/>
        <v>6.0261348834406451E-3</v>
      </c>
      <c r="BJ310" s="23">
        <f t="shared" si="73"/>
        <v>6.0593093498654696E-3</v>
      </c>
    </row>
    <row r="311" spans="1:62" s="5" customFormat="1" x14ac:dyDescent="0.25">
      <c r="A311" s="14"/>
      <c r="B311" s="6"/>
      <c r="C311" s="6" t="s">
        <v>7</v>
      </c>
      <c r="D311" s="7">
        <v>7</v>
      </c>
      <c r="E311" s="7">
        <v>20</v>
      </c>
      <c r="F311" s="7">
        <v>36</v>
      </c>
      <c r="G311" s="7">
        <v>54</v>
      </c>
      <c r="H311" s="7">
        <v>31</v>
      </c>
      <c r="I311" s="7">
        <v>7</v>
      </c>
      <c r="J311" s="7">
        <v>1</v>
      </c>
      <c r="K311" s="7">
        <v>1</v>
      </c>
      <c r="L311" s="7">
        <v>1</v>
      </c>
      <c r="M311" s="7">
        <v>49</v>
      </c>
      <c r="N311" s="7">
        <v>5</v>
      </c>
      <c r="O311" s="7">
        <v>409</v>
      </c>
      <c r="P311" s="7">
        <v>650</v>
      </c>
      <c r="Q311" s="7">
        <v>790</v>
      </c>
      <c r="R311" s="7">
        <v>832</v>
      </c>
      <c r="S311" s="7">
        <v>1</v>
      </c>
      <c r="T311" s="7">
        <v>1</v>
      </c>
      <c r="U311" s="7">
        <v>625</v>
      </c>
      <c r="V311" s="8">
        <v>1055</v>
      </c>
      <c r="W311" s="8">
        <v>1005</v>
      </c>
      <c r="X311" s="8">
        <v>1235</v>
      </c>
      <c r="Y311" s="7">
        <v>938</v>
      </c>
      <c r="Z311" s="7">
        <v>50</v>
      </c>
      <c r="AA311" s="7">
        <v>566</v>
      </c>
      <c r="AB311" s="7">
        <v>491</v>
      </c>
      <c r="AC311" s="7">
        <v>92</v>
      </c>
      <c r="AD311" s="7">
        <v>575</v>
      </c>
      <c r="AE311" s="7">
        <v>724</v>
      </c>
      <c r="AF311" s="8">
        <v>1046</v>
      </c>
      <c r="AG311" s="7">
        <v>220</v>
      </c>
      <c r="AH311" s="7">
        <v>486</v>
      </c>
      <c r="AI311" s="7">
        <v>739</v>
      </c>
      <c r="AJ311" s="8">
        <v>1350</v>
      </c>
      <c r="AK311" s="8">
        <v>1828</v>
      </c>
      <c r="AL311" s="8">
        <v>1374</v>
      </c>
      <c r="AM311" s="8">
        <v>1581</v>
      </c>
      <c r="AN311" s="8">
        <v>1940</v>
      </c>
      <c r="AO311" s="8">
        <v>2166</v>
      </c>
      <c r="AP311" s="8">
        <v>2485</v>
      </c>
      <c r="AQ311" s="8">
        <v>2632</v>
      </c>
      <c r="AR311" s="8">
        <v>3066</v>
      </c>
      <c r="AS311" s="8">
        <v>3171</v>
      </c>
      <c r="AT311" s="8">
        <v>3161</v>
      </c>
      <c r="AU311" s="8">
        <v>3644</v>
      </c>
      <c r="AV311" s="8">
        <v>3717</v>
      </c>
      <c r="AW311" s="8">
        <v>3549</v>
      </c>
      <c r="AX311" s="8">
        <v>3607</v>
      </c>
      <c r="AY311" s="8">
        <v>3136</v>
      </c>
      <c r="AZ311" s="8">
        <v>3342</v>
      </c>
      <c r="BA311" s="8">
        <v>3196</v>
      </c>
      <c r="BB311" s="8">
        <v>3500</v>
      </c>
      <c r="BC311" s="15">
        <v>0</v>
      </c>
      <c r="BD311" s="21">
        <f t="shared" si="85"/>
        <v>3.1807630604873766E-2</v>
      </c>
      <c r="BE311" s="21">
        <f t="shared" si="85"/>
        <v>3.1638130657497716E-2</v>
      </c>
      <c r="BF311" s="21">
        <f t="shared" si="85"/>
        <v>2.7555907033961602E-2</v>
      </c>
      <c r="BG311" s="21">
        <f t="shared" si="85"/>
        <v>2.4406096412113953E-2</v>
      </c>
      <c r="BH311" s="21">
        <f t="shared" si="85"/>
        <v>2.3948147315574538E-2</v>
      </c>
      <c r="BI311" s="21">
        <f t="shared" si="85"/>
        <v>2.8530903043839772E-2</v>
      </c>
      <c r="BJ311" s="23">
        <f t="shared" si="73"/>
        <v>2.5628382257176088E-2</v>
      </c>
    </row>
    <row r="312" spans="1:62" x14ac:dyDescent="0.25">
      <c r="A312" s="12"/>
      <c r="B312" s="2"/>
      <c r="C312" s="2" t="s">
        <v>8</v>
      </c>
      <c r="D312" s="4">
        <v>0</v>
      </c>
      <c r="E312" s="4">
        <v>0</v>
      </c>
      <c r="F312" s="4">
        <v>0</v>
      </c>
      <c r="G312" s="4">
        <v>282</v>
      </c>
      <c r="H312" s="4">
        <v>406</v>
      </c>
      <c r="I312" s="4">
        <v>477</v>
      </c>
      <c r="J312" s="4">
        <v>30</v>
      </c>
      <c r="K312" s="4">
        <v>175</v>
      </c>
      <c r="L312" s="4">
        <v>0</v>
      </c>
      <c r="M312" s="4">
        <v>262</v>
      </c>
      <c r="N312" s="4">
        <v>40</v>
      </c>
      <c r="O312" s="4">
        <v>65</v>
      </c>
      <c r="P312" s="4">
        <v>16</v>
      </c>
      <c r="Q312" s="4">
        <v>10</v>
      </c>
      <c r="R312" s="4">
        <v>19</v>
      </c>
      <c r="S312" s="4">
        <v>31</v>
      </c>
      <c r="T312" s="4">
        <v>40</v>
      </c>
      <c r="U312" s="4">
        <v>17</v>
      </c>
      <c r="V312" s="4">
        <v>15</v>
      </c>
      <c r="W312" s="4">
        <v>15</v>
      </c>
      <c r="X312" s="4">
        <v>10</v>
      </c>
      <c r="Y312" s="4">
        <v>5</v>
      </c>
      <c r="Z312" s="4">
        <v>10</v>
      </c>
      <c r="AA312" s="4">
        <v>2</v>
      </c>
      <c r="AB312" s="4">
        <v>5</v>
      </c>
      <c r="AC312" s="4">
        <v>6</v>
      </c>
      <c r="AD312" s="4">
        <v>3</v>
      </c>
      <c r="AE312" s="4">
        <v>52</v>
      </c>
      <c r="AF312" s="4">
        <v>231</v>
      </c>
      <c r="AG312" s="4">
        <v>200</v>
      </c>
      <c r="AH312" s="4">
        <v>7</v>
      </c>
      <c r="AI312" s="4">
        <v>8</v>
      </c>
      <c r="AJ312" s="4">
        <v>8</v>
      </c>
      <c r="AK312" s="4">
        <v>12</v>
      </c>
      <c r="AL312" s="4">
        <v>135</v>
      </c>
      <c r="AM312" s="4">
        <v>472</v>
      </c>
      <c r="AN312" s="4">
        <v>227</v>
      </c>
      <c r="AO312" s="4">
        <v>374</v>
      </c>
      <c r="AP312" s="4">
        <v>311</v>
      </c>
      <c r="AQ312" s="4">
        <v>404</v>
      </c>
      <c r="AR312" s="4">
        <v>705</v>
      </c>
      <c r="AS312" s="4">
        <v>548</v>
      </c>
      <c r="AT312" s="4">
        <v>597</v>
      </c>
      <c r="AU312" s="4">
        <v>451</v>
      </c>
      <c r="AV312" s="4">
        <v>504</v>
      </c>
      <c r="AW312" s="4">
        <v>533</v>
      </c>
      <c r="AX312" s="4">
        <v>548</v>
      </c>
      <c r="AY312" s="3">
        <v>1261</v>
      </c>
      <c r="AZ312" s="3">
        <v>1406</v>
      </c>
      <c r="BA312" s="4">
        <v>839</v>
      </c>
      <c r="BB312" s="4">
        <v>700</v>
      </c>
      <c r="BC312" s="13">
        <v>0</v>
      </c>
      <c r="BD312" s="20">
        <f t="shared" si="85"/>
        <v>4.5561396760268411E-3</v>
      </c>
      <c r="BE312" s="20">
        <f t="shared" si="85"/>
        <v>4.9005141962888445E-3</v>
      </c>
      <c r="BF312" s="20">
        <f t="shared" si="85"/>
        <v>1.0751863030985147E-2</v>
      </c>
      <c r="BG312" s="20">
        <f t="shared" si="85"/>
        <v>9.7869970764304613E-3</v>
      </c>
      <c r="BH312" s="20">
        <f t="shared" si="85"/>
        <v>6.178157745524702E-3</v>
      </c>
      <c r="BI312" s="20">
        <f t="shared" si="85"/>
        <v>5.6380228259381264E-3</v>
      </c>
      <c r="BJ312" s="23">
        <f t="shared" si="73"/>
        <v>7.2010592159644296E-3</v>
      </c>
    </row>
    <row r="313" spans="1:62" s="5" customFormat="1" x14ac:dyDescent="0.25">
      <c r="A313" s="14"/>
      <c r="B313" s="6"/>
      <c r="C313" s="6" t="s">
        <v>9</v>
      </c>
      <c r="D313" s="8">
        <v>1253</v>
      </c>
      <c r="E313" s="8">
        <v>1305</v>
      </c>
      <c r="F313" s="8">
        <v>1435</v>
      </c>
      <c r="G313" s="8">
        <v>1469</v>
      </c>
      <c r="H313" s="8">
        <v>1553</v>
      </c>
      <c r="I313" s="8">
        <v>1600</v>
      </c>
      <c r="J313" s="8">
        <v>1650</v>
      </c>
      <c r="K313" s="8">
        <v>1750</v>
      </c>
      <c r="L313" s="8">
        <v>1800</v>
      </c>
      <c r="M313" s="8">
        <v>1850</v>
      </c>
      <c r="N313" s="8">
        <v>2100</v>
      </c>
      <c r="O313" s="8">
        <v>2342</v>
      </c>
      <c r="P313" s="8">
        <v>2390</v>
      </c>
      <c r="Q313" s="8">
        <v>2729</v>
      </c>
      <c r="R313" s="8">
        <v>2873</v>
      </c>
      <c r="S313" s="8">
        <v>2990</v>
      </c>
      <c r="T313" s="8">
        <v>3180</v>
      </c>
      <c r="U313" s="8">
        <v>3155</v>
      </c>
      <c r="V313" s="8">
        <v>3400</v>
      </c>
      <c r="W313" s="8">
        <v>3400</v>
      </c>
      <c r="X313" s="8">
        <v>3500</v>
      </c>
      <c r="Y313" s="8">
        <v>4000</v>
      </c>
      <c r="Z313" s="8">
        <v>4093</v>
      </c>
      <c r="AA313" s="8">
        <v>4100</v>
      </c>
      <c r="AB313" s="8">
        <v>4350</v>
      </c>
      <c r="AC313" s="8">
        <v>4640</v>
      </c>
      <c r="AD313" s="8">
        <v>5112</v>
      </c>
      <c r="AE313" s="8">
        <v>4272</v>
      </c>
      <c r="AF313" s="8">
        <v>4103</v>
      </c>
      <c r="AG313" s="8">
        <v>4152</v>
      </c>
      <c r="AH313" s="8">
        <v>4454</v>
      </c>
      <c r="AI313" s="8">
        <v>4622</v>
      </c>
      <c r="AJ313" s="8">
        <v>4888</v>
      </c>
      <c r="AK313" s="8">
        <v>5398</v>
      </c>
      <c r="AL313" s="8">
        <v>5265</v>
      </c>
      <c r="AM313" s="8">
        <v>4707</v>
      </c>
      <c r="AN313" s="8">
        <v>4815</v>
      </c>
      <c r="AO313" s="8">
        <v>5181</v>
      </c>
      <c r="AP313" s="8">
        <v>5409</v>
      </c>
      <c r="AQ313" s="8">
        <v>5378</v>
      </c>
      <c r="AR313" s="8">
        <v>5580</v>
      </c>
      <c r="AS313" s="8">
        <v>5818</v>
      </c>
      <c r="AT313" s="8">
        <v>5900</v>
      </c>
      <c r="AU313" s="8">
        <v>5900</v>
      </c>
      <c r="AV313" s="8">
        <v>6000</v>
      </c>
      <c r="AW313" s="8">
        <v>6100</v>
      </c>
      <c r="AX313" s="8">
        <v>6200</v>
      </c>
      <c r="AY313" s="8">
        <v>5500</v>
      </c>
      <c r="AZ313" s="8">
        <v>6000</v>
      </c>
      <c r="BA313" s="8">
        <v>6050</v>
      </c>
      <c r="BB313" s="8">
        <v>6350</v>
      </c>
      <c r="BC313" s="15">
        <v>0</v>
      </c>
      <c r="BD313" s="21">
        <f t="shared" si="85"/>
        <v>9.8914694994105649E-3</v>
      </c>
      <c r="BE313" s="21">
        <f t="shared" si="85"/>
        <v>1.0027624488105943E-2</v>
      </c>
      <c r="BF313" s="21">
        <f t="shared" si="85"/>
        <v>8.9681711453169846E-3</v>
      </c>
      <c r="BG313" s="21">
        <f t="shared" si="85"/>
        <v>9.4524659120448044E-3</v>
      </c>
      <c r="BH313" s="21">
        <f t="shared" si="85"/>
        <v>9.3047004886121238E-3</v>
      </c>
      <c r="BI313" s="21">
        <f t="shared" si="85"/>
        <v>9.6099422798112521E-3</v>
      </c>
      <c r="BJ313" s="23">
        <f t="shared" si="73"/>
        <v>9.4557028934893934E-3</v>
      </c>
    </row>
    <row r="314" spans="1:62" x14ac:dyDescent="0.25">
      <c r="A314" s="12" t="s">
        <v>27</v>
      </c>
      <c r="B314" s="2" t="s">
        <v>5</v>
      </c>
      <c r="C314" s="2" t="s">
        <v>6</v>
      </c>
      <c r="D314" s="4">
        <v>914</v>
      </c>
      <c r="E314" s="3">
        <v>1000</v>
      </c>
      <c r="F314" s="4">
        <v>900</v>
      </c>
      <c r="G314" s="3">
        <v>1050</v>
      </c>
      <c r="H314" s="3">
        <v>1090</v>
      </c>
      <c r="I314" s="3">
        <v>1040</v>
      </c>
      <c r="J314" s="3">
        <v>1020</v>
      </c>
      <c r="K314" s="3">
        <v>1000</v>
      </c>
      <c r="L314" s="4">
        <v>950</v>
      </c>
      <c r="M314" s="3">
        <v>1426</v>
      </c>
      <c r="N314" s="3">
        <v>1310</v>
      </c>
      <c r="O314" s="4">
        <v>931</v>
      </c>
      <c r="P314" s="3">
        <v>1182</v>
      </c>
      <c r="Q314" s="3">
        <v>1287</v>
      </c>
      <c r="R314" s="3">
        <v>1350</v>
      </c>
      <c r="S314" s="3">
        <v>1400</v>
      </c>
      <c r="T314" s="3">
        <v>1440</v>
      </c>
      <c r="U314" s="3">
        <v>1500</v>
      </c>
      <c r="V314" s="3">
        <v>1640</v>
      </c>
      <c r="W314" s="3">
        <v>1670</v>
      </c>
      <c r="X314" s="3">
        <v>1720</v>
      </c>
      <c r="Y314" s="3">
        <v>1750</v>
      </c>
      <c r="Z314" s="3">
        <v>1785</v>
      </c>
      <c r="AA314" s="3">
        <v>1660</v>
      </c>
      <c r="AB314" s="3">
        <v>1800</v>
      </c>
      <c r="AC314" s="3">
        <v>2000</v>
      </c>
      <c r="AD314" s="3">
        <v>2000</v>
      </c>
      <c r="AE314" s="3">
        <v>1900</v>
      </c>
      <c r="AF314" s="3">
        <v>2200</v>
      </c>
      <c r="AG314" s="3">
        <v>1900</v>
      </c>
      <c r="AH314" s="3">
        <v>5810</v>
      </c>
      <c r="AI314" s="3">
        <v>5840</v>
      </c>
      <c r="AJ314" s="3">
        <v>5771</v>
      </c>
      <c r="AK314" s="3">
        <v>6291</v>
      </c>
      <c r="AL314" s="3">
        <v>6417</v>
      </c>
      <c r="AM314" s="3">
        <v>6500</v>
      </c>
      <c r="AN314" s="3">
        <v>5000</v>
      </c>
      <c r="AO314" s="3">
        <v>4900</v>
      </c>
      <c r="AP314" s="3">
        <v>4950</v>
      </c>
      <c r="AQ314" s="3">
        <v>5100</v>
      </c>
      <c r="AR314" s="3">
        <v>4000</v>
      </c>
      <c r="AS314" s="3">
        <v>5000</v>
      </c>
      <c r="AT314" s="3">
        <v>5200</v>
      </c>
      <c r="AU314" s="3">
        <v>5500</v>
      </c>
      <c r="AV314" s="3">
        <v>6500</v>
      </c>
      <c r="AW314" s="3">
        <v>7000</v>
      </c>
      <c r="AX314" s="3">
        <v>7800</v>
      </c>
      <c r="AY314" s="3">
        <v>6500</v>
      </c>
      <c r="AZ314" s="3">
        <v>7970</v>
      </c>
      <c r="BA314" s="3">
        <v>8759</v>
      </c>
      <c r="BB314" s="3">
        <v>8700</v>
      </c>
      <c r="BC314" s="13">
        <v>0</v>
      </c>
      <c r="BD314" s="20">
        <f t="shared" ref="BD314:BI333" si="86">AW314/AW547</f>
        <v>1.0007748856972113E-2</v>
      </c>
      <c r="BE314" s="20">
        <f t="shared" si="86"/>
        <v>1.0930937496058557E-2</v>
      </c>
      <c r="BF314" s="20">
        <f t="shared" si="86"/>
        <v>8.1815344027228142E-3</v>
      </c>
      <c r="BG314" s="20">
        <f t="shared" si="86"/>
        <v>9.9771664346589486E-3</v>
      </c>
      <c r="BH314" s="20">
        <f t="shared" si="86"/>
        <v>1.0781276348521159E-2</v>
      </c>
      <c r="BI314" s="20">
        <f t="shared" si="86"/>
        <v>1.0675619462022404E-2</v>
      </c>
      <c r="BJ314" s="23">
        <f t="shared" si="73"/>
        <v>1.0478020748400837E-2</v>
      </c>
    </row>
    <row r="315" spans="1:62" s="5" customFormat="1" x14ac:dyDescent="0.25">
      <c r="A315" s="14"/>
      <c r="B315" s="6"/>
      <c r="C315" s="6" t="s">
        <v>7</v>
      </c>
      <c r="D315" s="7">
        <v>0</v>
      </c>
      <c r="E315" s="7">
        <v>0</v>
      </c>
      <c r="F315" s="7">
        <v>0</v>
      </c>
      <c r="G315" s="7">
        <v>0</v>
      </c>
      <c r="H315" s="7">
        <v>0</v>
      </c>
      <c r="I315" s="7">
        <v>0</v>
      </c>
      <c r="J315" s="7">
        <v>0</v>
      </c>
      <c r="K315" s="7">
        <v>0</v>
      </c>
      <c r="L315" s="7">
        <v>1</v>
      </c>
      <c r="M315" s="7">
        <v>1</v>
      </c>
      <c r="N315" s="7">
        <v>10</v>
      </c>
      <c r="O315" s="7">
        <v>2</v>
      </c>
      <c r="P315" s="7">
        <v>2</v>
      </c>
      <c r="Q315" s="7">
        <v>2</v>
      </c>
      <c r="R315" s="7">
        <v>3</v>
      </c>
      <c r="S315" s="7">
        <v>1</v>
      </c>
      <c r="T315" s="7">
        <v>25</v>
      </c>
      <c r="U315" s="7">
        <v>75</v>
      </c>
      <c r="V315" s="7">
        <v>40</v>
      </c>
      <c r="W315" s="7">
        <v>175</v>
      </c>
      <c r="X315" s="7">
        <v>300</v>
      </c>
      <c r="Y315" s="7">
        <v>400</v>
      </c>
      <c r="Z315" s="7">
        <v>375</v>
      </c>
      <c r="AA315" s="7">
        <v>100</v>
      </c>
      <c r="AB315" s="7">
        <v>120</v>
      </c>
      <c r="AC315" s="7">
        <v>50</v>
      </c>
      <c r="AD315" s="7">
        <v>0</v>
      </c>
      <c r="AE315" s="7">
        <v>0</v>
      </c>
      <c r="AF315" s="7">
        <v>0</v>
      </c>
      <c r="AG315" s="7">
        <v>0</v>
      </c>
      <c r="AH315" s="7">
        <v>0</v>
      </c>
      <c r="AI315" s="7">
        <v>0</v>
      </c>
      <c r="AJ315" s="7">
        <v>15</v>
      </c>
      <c r="AK315" s="7">
        <v>0</v>
      </c>
      <c r="AL315" s="7">
        <v>0</v>
      </c>
      <c r="AM315" s="7">
        <v>0</v>
      </c>
      <c r="AN315" s="7">
        <v>16</v>
      </c>
      <c r="AO315" s="7">
        <v>4</v>
      </c>
      <c r="AP315" s="7">
        <v>0</v>
      </c>
      <c r="AQ315" s="7">
        <v>0</v>
      </c>
      <c r="AR315" s="7">
        <v>0</v>
      </c>
      <c r="AS315" s="7">
        <v>41</v>
      </c>
      <c r="AT315" s="7">
        <v>8</v>
      </c>
      <c r="AU315" s="7">
        <v>0</v>
      </c>
      <c r="AV315" s="7">
        <v>18</v>
      </c>
      <c r="AW315" s="7">
        <v>9</v>
      </c>
      <c r="AX315" s="7">
        <v>0</v>
      </c>
      <c r="AY315" s="7">
        <v>0</v>
      </c>
      <c r="AZ315" s="7">
        <v>50</v>
      </c>
      <c r="BA315" s="7">
        <v>100</v>
      </c>
      <c r="BB315" s="7">
        <v>100</v>
      </c>
      <c r="BC315" s="15">
        <v>0</v>
      </c>
      <c r="BD315" s="21">
        <f t="shared" si="86"/>
        <v>1.1161544757794479E-4</v>
      </c>
      <c r="BE315" s="21">
        <f t="shared" si="86"/>
        <v>0</v>
      </c>
      <c r="BF315" s="21">
        <f t="shared" si="86"/>
        <v>0</v>
      </c>
      <c r="BG315" s="21">
        <f t="shared" si="86"/>
        <v>6.0542216087277657E-4</v>
      </c>
      <c r="BH315" s="21">
        <f t="shared" si="86"/>
        <v>1.1130651588343982E-3</v>
      </c>
      <c r="BI315" s="21">
        <f t="shared" si="86"/>
        <v>1.0904768655332978E-3</v>
      </c>
      <c r="BJ315" s="23">
        <f t="shared" si="73"/>
        <v>9.3632139508015744E-4</v>
      </c>
    </row>
    <row r="316" spans="1:62" x14ac:dyDescent="0.25">
      <c r="A316" s="12"/>
      <c r="B316" s="2"/>
      <c r="C316" s="2" t="s">
        <v>8</v>
      </c>
      <c r="D316" s="4">
        <v>0</v>
      </c>
      <c r="E316" s="4">
        <v>0</v>
      </c>
      <c r="F316" s="4">
        <v>0</v>
      </c>
      <c r="G316" s="4">
        <v>0</v>
      </c>
      <c r="H316" s="4">
        <v>0</v>
      </c>
      <c r="I316" s="4">
        <v>0</v>
      </c>
      <c r="J316" s="4">
        <v>0</v>
      </c>
      <c r="K316" s="4">
        <v>0</v>
      </c>
      <c r="L316" s="4">
        <v>0</v>
      </c>
      <c r="M316" s="4">
        <v>0</v>
      </c>
      <c r="N316" s="4">
        <v>0</v>
      </c>
      <c r="O316" s="4">
        <v>0</v>
      </c>
      <c r="P316" s="4">
        <v>0</v>
      </c>
      <c r="Q316" s="4">
        <v>0</v>
      </c>
      <c r="R316" s="4">
        <v>0</v>
      </c>
      <c r="S316" s="4">
        <v>0</v>
      </c>
      <c r="T316" s="4">
        <v>0</v>
      </c>
      <c r="U316" s="4">
        <v>0</v>
      </c>
      <c r="V316" s="4">
        <v>0</v>
      </c>
      <c r="W316" s="4">
        <v>0</v>
      </c>
      <c r="X316" s="4">
        <v>0</v>
      </c>
      <c r="Y316" s="4">
        <v>0</v>
      </c>
      <c r="Z316" s="4">
        <v>0</v>
      </c>
      <c r="AA316" s="4">
        <v>0</v>
      </c>
      <c r="AB316" s="4">
        <v>0</v>
      </c>
      <c r="AC316" s="4">
        <v>0</v>
      </c>
      <c r="AD316" s="4">
        <v>0</v>
      </c>
      <c r="AE316" s="4">
        <v>0</v>
      </c>
      <c r="AF316" s="4">
        <v>0</v>
      </c>
      <c r="AG316" s="4">
        <v>0</v>
      </c>
      <c r="AH316" s="4">
        <v>0</v>
      </c>
      <c r="AI316" s="4">
        <v>0</v>
      </c>
      <c r="AJ316" s="4">
        <v>0</v>
      </c>
      <c r="AK316" s="4">
        <v>0</v>
      </c>
      <c r="AL316" s="4">
        <v>0</v>
      </c>
      <c r="AM316" s="4">
        <v>0</v>
      </c>
      <c r="AN316" s="4">
        <v>0</v>
      </c>
      <c r="AO316" s="4">
        <v>0</v>
      </c>
      <c r="AP316" s="4">
        <v>0</v>
      </c>
      <c r="AQ316" s="4">
        <v>0</v>
      </c>
      <c r="AR316" s="4">
        <v>0</v>
      </c>
      <c r="AS316" s="4">
        <v>0</v>
      </c>
      <c r="AT316" s="4">
        <v>0</v>
      </c>
      <c r="AU316" s="4">
        <v>0</v>
      </c>
      <c r="AV316" s="4">
        <v>200</v>
      </c>
      <c r="AW316" s="4">
        <v>200</v>
      </c>
      <c r="AX316" s="4">
        <v>100</v>
      </c>
      <c r="AY316" s="4">
        <v>100</v>
      </c>
      <c r="AZ316" s="4">
        <v>100</v>
      </c>
      <c r="BA316" s="4">
        <v>100</v>
      </c>
      <c r="BB316" s="4">
        <v>100</v>
      </c>
      <c r="BC316" s="13">
        <v>0</v>
      </c>
      <c r="BD316" s="20">
        <f t="shared" si="86"/>
        <v>2.4669429642786658E-3</v>
      </c>
      <c r="BE316" s="20">
        <f t="shared" si="86"/>
        <v>1.0631850898922992E-3</v>
      </c>
      <c r="BF316" s="20">
        <f t="shared" si="86"/>
        <v>1.0138697380160596E-3</v>
      </c>
      <c r="BG316" s="20">
        <f t="shared" si="86"/>
        <v>1.1838943019167249E-3</v>
      </c>
      <c r="BH316" s="20">
        <f t="shared" si="86"/>
        <v>1.0311085447965108E-3</v>
      </c>
      <c r="BI316" s="20">
        <f t="shared" si="86"/>
        <v>1.1013579743824136E-3</v>
      </c>
      <c r="BJ316" s="23">
        <f t="shared" si="73"/>
        <v>1.105453607031883E-3</v>
      </c>
    </row>
    <row r="317" spans="1:62" s="5" customFormat="1" x14ac:dyDescent="0.25">
      <c r="A317" s="14"/>
      <c r="B317" s="6"/>
      <c r="C317" s="6" t="s">
        <v>9</v>
      </c>
      <c r="D317" s="7">
        <v>914</v>
      </c>
      <c r="E317" s="8">
        <v>1000</v>
      </c>
      <c r="F317" s="7">
        <v>900</v>
      </c>
      <c r="G317" s="8">
        <v>1050</v>
      </c>
      <c r="H317" s="8">
        <v>1090</v>
      </c>
      <c r="I317" s="8">
        <v>1040</v>
      </c>
      <c r="J317" s="8">
        <v>1020</v>
      </c>
      <c r="K317" s="8">
        <v>1000</v>
      </c>
      <c r="L317" s="7">
        <v>951</v>
      </c>
      <c r="M317" s="8">
        <v>1427</v>
      </c>
      <c r="N317" s="8">
        <v>1320</v>
      </c>
      <c r="O317" s="7">
        <v>933</v>
      </c>
      <c r="P317" s="8">
        <v>1184</v>
      </c>
      <c r="Q317" s="8">
        <v>1289</v>
      </c>
      <c r="R317" s="8">
        <v>1353</v>
      </c>
      <c r="S317" s="8">
        <v>1401</v>
      </c>
      <c r="T317" s="8">
        <v>1465</v>
      </c>
      <c r="U317" s="8">
        <v>1530</v>
      </c>
      <c r="V317" s="8">
        <v>1660</v>
      </c>
      <c r="W317" s="8">
        <v>1785</v>
      </c>
      <c r="X317" s="8">
        <v>1985</v>
      </c>
      <c r="Y317" s="8">
        <v>2130</v>
      </c>
      <c r="Z317" s="8">
        <v>2175</v>
      </c>
      <c r="AA317" s="8">
        <v>1900</v>
      </c>
      <c r="AB317" s="8">
        <v>1930</v>
      </c>
      <c r="AC317" s="8">
        <v>1965</v>
      </c>
      <c r="AD317" s="8">
        <v>1900</v>
      </c>
      <c r="AE317" s="8">
        <v>2000</v>
      </c>
      <c r="AF317" s="8">
        <v>2150</v>
      </c>
      <c r="AG317" s="8">
        <v>1850</v>
      </c>
      <c r="AH317" s="8">
        <v>5810</v>
      </c>
      <c r="AI317" s="8">
        <v>5840</v>
      </c>
      <c r="AJ317" s="8">
        <v>5786</v>
      </c>
      <c r="AK317" s="8">
        <v>6291</v>
      </c>
      <c r="AL317" s="8">
        <v>6417</v>
      </c>
      <c r="AM317" s="8">
        <v>6500</v>
      </c>
      <c r="AN317" s="8">
        <v>5116</v>
      </c>
      <c r="AO317" s="8">
        <v>4904</v>
      </c>
      <c r="AP317" s="8">
        <v>4950</v>
      </c>
      <c r="AQ317" s="8">
        <v>5100</v>
      </c>
      <c r="AR317" s="8">
        <v>4000</v>
      </c>
      <c r="AS317" s="8">
        <v>5030</v>
      </c>
      <c r="AT317" s="8">
        <v>5200</v>
      </c>
      <c r="AU317" s="8">
        <v>5500</v>
      </c>
      <c r="AV317" s="8">
        <v>6300</v>
      </c>
      <c r="AW317" s="8">
        <v>6800</v>
      </c>
      <c r="AX317" s="8">
        <v>7600</v>
      </c>
      <c r="AY317" s="8">
        <v>6550</v>
      </c>
      <c r="AZ317" s="8">
        <v>7900</v>
      </c>
      <c r="BA317" s="8">
        <v>8600</v>
      </c>
      <c r="BB317" s="8">
        <v>8800</v>
      </c>
      <c r="BC317" s="15">
        <v>0</v>
      </c>
      <c r="BD317" s="21">
        <f t="shared" si="86"/>
        <v>9.6320964116191413E-3</v>
      </c>
      <c r="BE317" s="21">
        <f t="shared" si="86"/>
        <v>1.0486924461027277E-2</v>
      </c>
      <c r="BF317" s="21">
        <f t="shared" si="86"/>
        <v>8.4817642069550461E-3</v>
      </c>
      <c r="BG317" s="21">
        <f t="shared" si="86"/>
        <v>1.0126322670785559E-2</v>
      </c>
      <c r="BH317" s="21">
        <f t="shared" si="86"/>
        <v>1.063628481991904E-2</v>
      </c>
      <c r="BI317" s="21">
        <f t="shared" si="86"/>
        <v>1.0485889924370519E-2</v>
      </c>
      <c r="BJ317" s="23">
        <f t="shared" si="73"/>
        <v>1.0416165805025039E-2</v>
      </c>
    </row>
    <row r="318" spans="1:62" x14ac:dyDescent="0.25">
      <c r="A318" s="12"/>
      <c r="B318" s="2" t="s">
        <v>10</v>
      </c>
      <c r="C318" s="2" t="s">
        <v>6</v>
      </c>
      <c r="D318" s="4">
        <v>260</v>
      </c>
      <c r="E318" s="4">
        <v>165</v>
      </c>
      <c r="F318" s="4">
        <v>250</v>
      </c>
      <c r="G318" s="4">
        <v>210</v>
      </c>
      <c r="H318" s="4">
        <v>200</v>
      </c>
      <c r="I318" s="4">
        <v>200</v>
      </c>
      <c r="J318" s="4">
        <v>235</v>
      </c>
      <c r="K318" s="4">
        <v>125</v>
      </c>
      <c r="L318" s="4">
        <v>260</v>
      </c>
      <c r="M318" s="4">
        <v>420</v>
      </c>
      <c r="N318" s="4">
        <v>180</v>
      </c>
      <c r="O318" s="4">
        <v>175</v>
      </c>
      <c r="P318" s="4">
        <v>215</v>
      </c>
      <c r="Q318" s="4">
        <v>142</v>
      </c>
      <c r="R318" s="4">
        <v>240</v>
      </c>
      <c r="S318" s="4">
        <v>280</v>
      </c>
      <c r="T318" s="4">
        <v>370</v>
      </c>
      <c r="U318" s="4">
        <v>166</v>
      </c>
      <c r="V318" s="4">
        <v>170</v>
      </c>
      <c r="W318" s="4">
        <v>137</v>
      </c>
      <c r="X318" s="4">
        <v>125</v>
      </c>
      <c r="Y318" s="4">
        <v>95</v>
      </c>
      <c r="Z318" s="4">
        <v>90</v>
      </c>
      <c r="AA318" s="4">
        <v>64</v>
      </c>
      <c r="AB318" s="4">
        <v>73</v>
      </c>
      <c r="AC318" s="4">
        <v>46</v>
      </c>
      <c r="AD318" s="4">
        <v>129</v>
      </c>
      <c r="AE318" s="4">
        <v>138</v>
      </c>
      <c r="AF318" s="4">
        <v>193</v>
      </c>
      <c r="AG318" s="4">
        <v>188</v>
      </c>
      <c r="AH318" s="4">
        <v>165</v>
      </c>
      <c r="AI318" s="4">
        <v>276</v>
      </c>
      <c r="AJ318" s="4">
        <v>289</v>
      </c>
      <c r="AK318" s="4">
        <v>239</v>
      </c>
      <c r="AL318" s="4">
        <v>299</v>
      </c>
      <c r="AM318" s="4">
        <v>459</v>
      </c>
      <c r="AN318" s="4">
        <v>436</v>
      </c>
      <c r="AO318" s="4">
        <v>322</v>
      </c>
      <c r="AP318" s="4">
        <v>300</v>
      </c>
      <c r="AQ318" s="4">
        <v>230</v>
      </c>
      <c r="AR318" s="4">
        <v>400</v>
      </c>
      <c r="AS318" s="4">
        <v>450</v>
      </c>
      <c r="AT318" s="4">
        <v>390</v>
      </c>
      <c r="AU318" s="4">
        <v>415</v>
      </c>
      <c r="AV318" s="4">
        <v>420</v>
      </c>
      <c r="AW318" s="4">
        <v>400</v>
      </c>
      <c r="AX318" s="4">
        <v>400</v>
      </c>
      <c r="AY318" s="4">
        <v>450</v>
      </c>
      <c r="AZ318" s="4">
        <v>425</v>
      </c>
      <c r="BA318" s="4">
        <v>450</v>
      </c>
      <c r="BB318" s="4">
        <v>475</v>
      </c>
      <c r="BC318" s="13">
        <v>0</v>
      </c>
      <c r="BD318" s="20">
        <f t="shared" si="86"/>
        <v>3.4354521484458874E-3</v>
      </c>
      <c r="BE318" s="20">
        <f t="shared" si="86"/>
        <v>3.2837487275473682E-3</v>
      </c>
      <c r="BF318" s="20">
        <f t="shared" si="86"/>
        <v>3.7599324883233207E-3</v>
      </c>
      <c r="BG318" s="20">
        <f t="shared" si="86"/>
        <v>3.9681798659222051E-3</v>
      </c>
      <c r="BH318" s="20">
        <f t="shared" si="86"/>
        <v>4.4403220713609094E-3</v>
      </c>
      <c r="BI318" s="20">
        <f t="shared" si="86"/>
        <v>4.147276330839147E-3</v>
      </c>
      <c r="BJ318" s="23">
        <f t="shared" si="73"/>
        <v>4.1852594227074205E-3</v>
      </c>
    </row>
    <row r="319" spans="1:62" s="5" customFormat="1" x14ac:dyDescent="0.25">
      <c r="A319" s="14"/>
      <c r="B319" s="6"/>
      <c r="C319" s="6" t="s">
        <v>7</v>
      </c>
      <c r="D319" s="7">
        <v>0</v>
      </c>
      <c r="E319" s="7">
        <v>0</v>
      </c>
      <c r="F319" s="7">
        <v>0</v>
      </c>
      <c r="G319" s="7">
        <v>0</v>
      </c>
      <c r="H319" s="7">
        <v>0</v>
      </c>
      <c r="I319" s="7">
        <v>0</v>
      </c>
      <c r="J319" s="7">
        <v>0</v>
      </c>
      <c r="K319" s="7">
        <v>0</v>
      </c>
      <c r="L319" s="7">
        <v>0</v>
      </c>
      <c r="M319" s="7">
        <v>0</v>
      </c>
      <c r="N319" s="7">
        <v>0</v>
      </c>
      <c r="O319" s="7">
        <v>0</v>
      </c>
      <c r="P319" s="7">
        <v>0</v>
      </c>
      <c r="Q319" s="7">
        <v>12</v>
      </c>
      <c r="R319" s="7">
        <v>109</v>
      </c>
      <c r="S319" s="7">
        <v>19</v>
      </c>
      <c r="T319" s="7">
        <v>2</v>
      </c>
      <c r="U319" s="7">
        <v>6</v>
      </c>
      <c r="V319" s="7">
        <v>1</v>
      </c>
      <c r="W319" s="7">
        <v>14</v>
      </c>
      <c r="X319" s="7">
        <v>0</v>
      </c>
      <c r="Y319" s="7">
        <v>60</v>
      </c>
      <c r="Z319" s="7">
        <v>115</v>
      </c>
      <c r="AA319" s="7">
        <v>248</v>
      </c>
      <c r="AB319" s="7">
        <v>207</v>
      </c>
      <c r="AC319" s="7">
        <v>184</v>
      </c>
      <c r="AD319" s="7">
        <v>78</v>
      </c>
      <c r="AE319" s="7">
        <v>110</v>
      </c>
      <c r="AF319" s="7">
        <v>207</v>
      </c>
      <c r="AG319" s="7">
        <v>50</v>
      </c>
      <c r="AH319" s="7">
        <v>211</v>
      </c>
      <c r="AI319" s="7">
        <v>93</v>
      </c>
      <c r="AJ319" s="7">
        <v>93</v>
      </c>
      <c r="AK319" s="7">
        <v>100</v>
      </c>
      <c r="AL319" s="7">
        <v>115</v>
      </c>
      <c r="AM319" s="7">
        <v>46</v>
      </c>
      <c r="AN319" s="7">
        <v>46</v>
      </c>
      <c r="AO319" s="7">
        <v>69</v>
      </c>
      <c r="AP319" s="7">
        <v>70</v>
      </c>
      <c r="AQ319" s="7">
        <v>70</v>
      </c>
      <c r="AR319" s="7">
        <v>70</v>
      </c>
      <c r="AS319" s="7">
        <v>70</v>
      </c>
      <c r="AT319" s="7">
        <v>70</v>
      </c>
      <c r="AU319" s="7">
        <v>70</v>
      </c>
      <c r="AV319" s="7">
        <v>70</v>
      </c>
      <c r="AW319" s="7">
        <v>70</v>
      </c>
      <c r="AX319" s="7">
        <v>75</v>
      </c>
      <c r="AY319" s="7">
        <v>70</v>
      </c>
      <c r="AZ319" s="7">
        <v>50</v>
      </c>
      <c r="BA319" s="7">
        <v>50</v>
      </c>
      <c r="BB319" s="7">
        <v>50</v>
      </c>
      <c r="BC319" s="15">
        <v>0</v>
      </c>
      <c r="BD319" s="21">
        <f t="shared" si="86"/>
        <v>1.5635120948828483E-3</v>
      </c>
      <c r="BE319" s="21">
        <f t="shared" si="86"/>
        <v>1.9721791264561256E-3</v>
      </c>
      <c r="BF319" s="21">
        <f t="shared" si="86"/>
        <v>1.7967606971431504E-3</v>
      </c>
      <c r="BG319" s="21">
        <f t="shared" si="86"/>
        <v>1.6587599110904688E-3</v>
      </c>
      <c r="BH319" s="21">
        <f t="shared" si="86"/>
        <v>1.3825904214135605E-3</v>
      </c>
      <c r="BI319" s="21">
        <f t="shared" si="86"/>
        <v>1.3113722198908938E-3</v>
      </c>
      <c r="BJ319" s="23">
        <f t="shared" si="73"/>
        <v>1.4509075174649743E-3</v>
      </c>
    </row>
    <row r="320" spans="1:62" x14ac:dyDescent="0.25">
      <c r="A320" s="12"/>
      <c r="B320" s="2"/>
      <c r="C320" s="2" t="s">
        <v>8</v>
      </c>
      <c r="D320" s="4">
        <v>181</v>
      </c>
      <c r="E320" s="4">
        <v>168</v>
      </c>
      <c r="F320" s="4">
        <v>141</v>
      </c>
      <c r="G320" s="4">
        <v>145</v>
      </c>
      <c r="H320" s="4">
        <v>89</v>
      </c>
      <c r="I320" s="4">
        <v>113</v>
      </c>
      <c r="J320" s="4">
        <v>110</v>
      </c>
      <c r="K320" s="4">
        <v>114</v>
      </c>
      <c r="L320" s="4">
        <v>51</v>
      </c>
      <c r="M320" s="4">
        <v>88</v>
      </c>
      <c r="N320" s="4">
        <v>191</v>
      </c>
      <c r="O320" s="4">
        <v>5</v>
      </c>
      <c r="P320" s="4">
        <v>30</v>
      </c>
      <c r="Q320" s="4">
        <v>8</v>
      </c>
      <c r="R320" s="4">
        <v>0</v>
      </c>
      <c r="S320" s="4">
        <v>0</v>
      </c>
      <c r="T320" s="4">
        <v>30</v>
      </c>
      <c r="U320" s="4">
        <v>21</v>
      </c>
      <c r="V320" s="4">
        <v>105</v>
      </c>
      <c r="W320" s="4">
        <v>0</v>
      </c>
      <c r="X320" s="4">
        <v>0</v>
      </c>
      <c r="Y320" s="4">
        <v>0</v>
      </c>
      <c r="Z320" s="4">
        <v>0</v>
      </c>
      <c r="AA320" s="4">
        <v>0</v>
      </c>
      <c r="AB320" s="4">
        <v>0</v>
      </c>
      <c r="AC320" s="4">
        <v>0</v>
      </c>
      <c r="AD320" s="4">
        <v>0</v>
      </c>
      <c r="AE320" s="4">
        <v>0</v>
      </c>
      <c r="AF320" s="4">
        <v>32</v>
      </c>
      <c r="AG320" s="4">
        <v>9</v>
      </c>
      <c r="AH320" s="4">
        <v>0</v>
      </c>
      <c r="AI320" s="4">
        <v>0</v>
      </c>
      <c r="AJ320" s="4">
        <v>0</v>
      </c>
      <c r="AK320" s="4">
        <v>0</v>
      </c>
      <c r="AL320" s="4">
        <v>0</v>
      </c>
      <c r="AM320" s="4">
        <v>0</v>
      </c>
      <c r="AN320" s="4">
        <v>70</v>
      </c>
      <c r="AO320" s="4">
        <v>0</v>
      </c>
      <c r="AP320" s="4">
        <v>90</v>
      </c>
      <c r="AQ320" s="4">
        <v>75</v>
      </c>
      <c r="AR320" s="4">
        <v>135</v>
      </c>
      <c r="AS320" s="4">
        <v>75</v>
      </c>
      <c r="AT320" s="4">
        <v>100</v>
      </c>
      <c r="AU320" s="4">
        <v>90</v>
      </c>
      <c r="AV320" s="4">
        <v>100</v>
      </c>
      <c r="AW320" s="4">
        <v>125</v>
      </c>
      <c r="AX320" s="4">
        <v>125</v>
      </c>
      <c r="AY320" s="4">
        <v>150</v>
      </c>
      <c r="AZ320" s="4">
        <v>125</v>
      </c>
      <c r="BA320" s="4">
        <v>225</v>
      </c>
      <c r="BB320" s="4">
        <v>225</v>
      </c>
      <c r="BC320" s="13">
        <v>0</v>
      </c>
      <c r="BD320" s="20">
        <f t="shared" si="86"/>
        <v>2.7868194586881884E-3</v>
      </c>
      <c r="BE320" s="20">
        <f t="shared" si="86"/>
        <v>3.3354680328743728E-3</v>
      </c>
      <c r="BF320" s="20">
        <f t="shared" si="86"/>
        <v>3.8456608127163186E-3</v>
      </c>
      <c r="BG320" s="20">
        <f t="shared" si="86"/>
        <v>4.1576584067852989E-3</v>
      </c>
      <c r="BH320" s="20">
        <f t="shared" si="86"/>
        <v>6.3237774030354132E-3</v>
      </c>
      <c r="BI320" s="20">
        <f t="shared" si="86"/>
        <v>5.9008654602675063E-3</v>
      </c>
      <c r="BJ320" s="23">
        <f t="shared" si="73"/>
        <v>5.4607670900294059E-3</v>
      </c>
    </row>
    <row r="321" spans="1:62" s="5" customFormat="1" x14ac:dyDescent="0.25">
      <c r="A321" s="14"/>
      <c r="B321" s="6"/>
      <c r="C321" s="6" t="s">
        <v>9</v>
      </c>
      <c r="D321" s="7">
        <v>30</v>
      </c>
      <c r="E321" s="7">
        <v>36</v>
      </c>
      <c r="F321" s="7">
        <v>47</v>
      </c>
      <c r="G321" s="7">
        <v>82</v>
      </c>
      <c r="H321" s="7">
        <v>96</v>
      </c>
      <c r="I321" s="7">
        <v>85</v>
      </c>
      <c r="J321" s="7">
        <v>100</v>
      </c>
      <c r="K321" s="7">
        <v>110</v>
      </c>
      <c r="L321" s="7">
        <v>117</v>
      </c>
      <c r="M321" s="7">
        <v>182</v>
      </c>
      <c r="N321" s="7">
        <v>184</v>
      </c>
      <c r="O321" s="7">
        <v>150</v>
      </c>
      <c r="P321" s="7">
        <v>170</v>
      </c>
      <c r="Q321" s="7">
        <v>220</v>
      </c>
      <c r="R321" s="7">
        <v>243</v>
      </c>
      <c r="S321" s="7">
        <v>250</v>
      </c>
      <c r="T321" s="7">
        <v>250</v>
      </c>
      <c r="U321" s="7">
        <v>191</v>
      </c>
      <c r="V321" s="7">
        <v>209</v>
      </c>
      <c r="W321" s="7">
        <v>209</v>
      </c>
      <c r="X321" s="7">
        <v>152</v>
      </c>
      <c r="Y321" s="7">
        <v>160</v>
      </c>
      <c r="Z321" s="7">
        <v>203</v>
      </c>
      <c r="AA321" s="7">
        <v>270</v>
      </c>
      <c r="AB321" s="7">
        <v>276</v>
      </c>
      <c r="AC321" s="7">
        <v>253</v>
      </c>
      <c r="AD321" s="7">
        <v>207</v>
      </c>
      <c r="AE321" s="7">
        <v>248</v>
      </c>
      <c r="AF321" s="7">
        <v>358</v>
      </c>
      <c r="AG321" s="7">
        <v>243</v>
      </c>
      <c r="AH321" s="7">
        <v>340</v>
      </c>
      <c r="AI321" s="7">
        <v>312</v>
      </c>
      <c r="AJ321" s="7">
        <v>377</v>
      </c>
      <c r="AK321" s="7">
        <v>418</v>
      </c>
      <c r="AL321" s="7">
        <v>400</v>
      </c>
      <c r="AM321" s="7">
        <v>482</v>
      </c>
      <c r="AN321" s="7">
        <v>410</v>
      </c>
      <c r="AO321" s="7">
        <v>381</v>
      </c>
      <c r="AP321" s="7">
        <v>230</v>
      </c>
      <c r="AQ321" s="7">
        <v>230</v>
      </c>
      <c r="AR321" s="7">
        <v>375</v>
      </c>
      <c r="AS321" s="7">
        <v>375</v>
      </c>
      <c r="AT321" s="7">
        <v>390</v>
      </c>
      <c r="AU321" s="7">
        <v>410</v>
      </c>
      <c r="AV321" s="7">
        <v>375</v>
      </c>
      <c r="AW321" s="7">
        <v>360</v>
      </c>
      <c r="AX321" s="7">
        <v>360</v>
      </c>
      <c r="AY321" s="7">
        <v>350</v>
      </c>
      <c r="AZ321" s="7">
        <v>325</v>
      </c>
      <c r="BA321" s="7">
        <v>300</v>
      </c>
      <c r="BB321" s="7">
        <v>300</v>
      </c>
      <c r="BC321" s="15">
        <v>0</v>
      </c>
      <c r="BD321" s="21">
        <f t="shared" si="86"/>
        <v>3.1294007197621657E-3</v>
      </c>
      <c r="BE321" s="21">
        <f t="shared" si="86"/>
        <v>2.9511583296443853E-3</v>
      </c>
      <c r="BF321" s="21">
        <f t="shared" si="86"/>
        <v>2.8883845677738808E-3</v>
      </c>
      <c r="BG321" s="21">
        <f t="shared" si="86"/>
        <v>3.0263243661014425E-3</v>
      </c>
      <c r="BH321" s="21">
        <f t="shared" si="86"/>
        <v>2.5326928434542552E-3</v>
      </c>
      <c r="BI321" s="21">
        <f t="shared" si="86"/>
        <v>2.5646944166602551E-3</v>
      </c>
      <c r="BJ321" s="23">
        <f t="shared" si="73"/>
        <v>2.7079038754053175E-3</v>
      </c>
    </row>
    <row r="322" spans="1:62" x14ac:dyDescent="0.25">
      <c r="A322" s="12"/>
      <c r="B322" s="2" t="s">
        <v>11</v>
      </c>
      <c r="C322" s="2" t="s">
        <v>6</v>
      </c>
      <c r="D322" s="4">
        <v>0</v>
      </c>
      <c r="E322" s="4">
        <v>0</v>
      </c>
      <c r="F322" s="4">
        <v>0</v>
      </c>
      <c r="G322" s="4">
        <v>0</v>
      </c>
      <c r="H322" s="4">
        <v>19</v>
      </c>
      <c r="I322" s="4">
        <v>19</v>
      </c>
      <c r="J322" s="4">
        <v>15</v>
      </c>
      <c r="K322" s="4">
        <v>16</v>
      </c>
      <c r="L322" s="4">
        <v>7</v>
      </c>
      <c r="M322" s="4">
        <v>34</v>
      </c>
      <c r="N322" s="4">
        <v>58</v>
      </c>
      <c r="O322" s="4">
        <v>63</v>
      </c>
      <c r="P322" s="4">
        <v>63</v>
      </c>
      <c r="Q322" s="4">
        <v>64</v>
      </c>
      <c r="R322" s="4">
        <v>65</v>
      </c>
      <c r="S322" s="4">
        <v>65</v>
      </c>
      <c r="T322" s="4">
        <v>70</v>
      </c>
      <c r="U322" s="4">
        <v>70</v>
      </c>
      <c r="V322" s="4">
        <v>73</v>
      </c>
      <c r="W322" s="4">
        <v>75</v>
      </c>
      <c r="X322" s="4">
        <v>55</v>
      </c>
      <c r="Y322" s="4">
        <v>60</v>
      </c>
      <c r="Z322" s="4">
        <v>65</v>
      </c>
      <c r="AA322" s="4">
        <v>50</v>
      </c>
      <c r="AB322" s="4">
        <v>60</v>
      </c>
      <c r="AC322" s="4">
        <v>55</v>
      </c>
      <c r="AD322" s="4">
        <v>70</v>
      </c>
      <c r="AE322" s="4">
        <v>40</v>
      </c>
      <c r="AF322" s="4">
        <v>55</v>
      </c>
      <c r="AG322" s="4">
        <v>60</v>
      </c>
      <c r="AH322" s="4">
        <v>218</v>
      </c>
      <c r="AI322" s="4">
        <v>145</v>
      </c>
      <c r="AJ322" s="4">
        <v>154</v>
      </c>
      <c r="AK322" s="4">
        <v>163</v>
      </c>
      <c r="AL322" s="4">
        <v>178</v>
      </c>
      <c r="AM322" s="4">
        <v>287</v>
      </c>
      <c r="AN322" s="4">
        <v>322</v>
      </c>
      <c r="AO322" s="4">
        <v>326</v>
      </c>
      <c r="AP322" s="4">
        <v>327</v>
      </c>
      <c r="AQ322" s="4">
        <v>333</v>
      </c>
      <c r="AR322" s="4">
        <v>340</v>
      </c>
      <c r="AS322" s="4">
        <v>348</v>
      </c>
      <c r="AT322" s="4">
        <v>380</v>
      </c>
      <c r="AU322" s="4">
        <v>400</v>
      </c>
      <c r="AV322" s="4">
        <v>410</v>
      </c>
      <c r="AW322" s="4">
        <v>430</v>
      </c>
      <c r="AX322" s="4">
        <v>440</v>
      </c>
      <c r="AY322" s="4">
        <v>450</v>
      </c>
      <c r="AZ322" s="4">
        <v>450</v>
      </c>
      <c r="BA322" s="4">
        <v>450</v>
      </c>
      <c r="BB322" s="4">
        <v>450</v>
      </c>
      <c r="BC322" s="13">
        <v>0</v>
      </c>
      <c r="BD322" s="20">
        <f t="shared" si="86"/>
        <v>1.9486552013232728E-3</v>
      </c>
      <c r="BE322" s="20">
        <f t="shared" si="86"/>
        <v>1.8625678884829808E-3</v>
      </c>
      <c r="BF322" s="20">
        <f t="shared" si="86"/>
        <v>2.041742286751361E-3</v>
      </c>
      <c r="BG322" s="20">
        <f t="shared" si="86"/>
        <v>2.123122216350872E-3</v>
      </c>
      <c r="BH322" s="20">
        <f t="shared" si="86"/>
        <v>1.7292926808648E-3</v>
      </c>
      <c r="BI322" s="20">
        <f t="shared" si="86"/>
        <v>1.7243229158683689E-3</v>
      </c>
      <c r="BJ322" s="23">
        <f t="shared" si="73"/>
        <v>1.8589126043613471E-3</v>
      </c>
    </row>
    <row r="323" spans="1:62" s="5" customFormat="1" x14ac:dyDescent="0.25">
      <c r="A323" s="14"/>
      <c r="B323" s="6"/>
      <c r="C323" s="6" t="s">
        <v>7</v>
      </c>
      <c r="D323" s="7">
        <v>0</v>
      </c>
      <c r="E323" s="7">
        <v>0</v>
      </c>
      <c r="F323" s="7">
        <v>0</v>
      </c>
      <c r="G323" s="7">
        <v>0</v>
      </c>
      <c r="H323" s="7">
        <v>0</v>
      </c>
      <c r="I323" s="7">
        <v>0</v>
      </c>
      <c r="J323" s="7">
        <v>0</v>
      </c>
      <c r="K323" s="7">
        <v>0</v>
      </c>
      <c r="L323" s="7">
        <v>0</v>
      </c>
      <c r="M323" s="7">
        <v>0</v>
      </c>
      <c r="N323" s="7">
        <v>0</v>
      </c>
      <c r="O323" s="7">
        <v>0</v>
      </c>
      <c r="P323" s="7">
        <v>0</v>
      </c>
      <c r="Q323" s="7">
        <v>0</v>
      </c>
      <c r="R323" s="7">
        <v>0</v>
      </c>
      <c r="S323" s="7">
        <v>0</v>
      </c>
      <c r="T323" s="7">
        <v>0</v>
      </c>
      <c r="U323" s="7">
        <v>0</v>
      </c>
      <c r="V323" s="7">
        <v>0</v>
      </c>
      <c r="W323" s="7">
        <v>0</v>
      </c>
      <c r="X323" s="7">
        <v>0</v>
      </c>
      <c r="Y323" s="7">
        <v>0</v>
      </c>
      <c r="Z323" s="7">
        <v>0</v>
      </c>
      <c r="AA323" s="7">
        <v>12</v>
      </c>
      <c r="AB323" s="7">
        <v>3</v>
      </c>
      <c r="AC323" s="7">
        <v>13</v>
      </c>
      <c r="AD323" s="7">
        <v>0</v>
      </c>
      <c r="AE323" s="7">
        <v>0</v>
      </c>
      <c r="AF323" s="7">
        <v>0</v>
      </c>
      <c r="AG323" s="7">
        <v>0</v>
      </c>
      <c r="AH323" s="7">
        <v>0</v>
      </c>
      <c r="AI323" s="7">
        <v>0</v>
      </c>
      <c r="AJ323" s="7">
        <v>0</v>
      </c>
      <c r="AK323" s="7">
        <v>0</v>
      </c>
      <c r="AL323" s="7">
        <v>0</v>
      </c>
      <c r="AM323" s="7">
        <v>0</v>
      </c>
      <c r="AN323" s="7">
        <v>0</v>
      </c>
      <c r="AO323" s="7">
        <v>0</v>
      </c>
      <c r="AP323" s="7">
        <v>0</v>
      </c>
      <c r="AQ323" s="7">
        <v>0</v>
      </c>
      <c r="AR323" s="7">
        <v>8</v>
      </c>
      <c r="AS323" s="7">
        <v>8</v>
      </c>
      <c r="AT323" s="7">
        <v>10</v>
      </c>
      <c r="AU323" s="7">
        <v>10</v>
      </c>
      <c r="AV323" s="7">
        <v>5</v>
      </c>
      <c r="AW323" s="7">
        <v>5</v>
      </c>
      <c r="AX323" s="7">
        <v>3</v>
      </c>
      <c r="AY323" s="7">
        <v>15</v>
      </c>
      <c r="AZ323" s="7">
        <v>4</v>
      </c>
      <c r="BA323" s="7">
        <v>4</v>
      </c>
      <c r="BB323" s="7">
        <v>4</v>
      </c>
      <c r="BC323" s="15">
        <v>0</v>
      </c>
      <c r="BD323" s="21">
        <f t="shared" si="86"/>
        <v>7.7967846060284732E-5</v>
      </c>
      <c r="BE323" s="21">
        <f t="shared" si="86"/>
        <v>4.3438599539550845E-5</v>
      </c>
      <c r="BF323" s="21">
        <f t="shared" si="86"/>
        <v>1.9203441256673197E-4</v>
      </c>
      <c r="BG323" s="21">
        <f t="shared" si="86"/>
        <v>5.1695616211745244E-5</v>
      </c>
      <c r="BH323" s="21">
        <f t="shared" si="86"/>
        <v>4.6128120855676645E-5</v>
      </c>
      <c r="BI323" s="21">
        <f t="shared" si="86"/>
        <v>4.1941910454021179E-5</v>
      </c>
      <c r="BJ323" s="23">
        <f t="shared" si="73"/>
        <v>4.6588549173814356E-5</v>
      </c>
    </row>
    <row r="324" spans="1:62" x14ac:dyDescent="0.25">
      <c r="A324" s="12"/>
      <c r="B324" s="2"/>
      <c r="C324" s="2" t="s">
        <v>8</v>
      </c>
      <c r="D324" s="4">
        <v>0</v>
      </c>
      <c r="E324" s="4">
        <v>0</v>
      </c>
      <c r="F324" s="4">
        <v>0</v>
      </c>
      <c r="G324" s="4">
        <v>0</v>
      </c>
      <c r="H324" s="4">
        <v>15</v>
      </c>
      <c r="I324" s="4">
        <v>12</v>
      </c>
      <c r="J324" s="4">
        <v>6</v>
      </c>
      <c r="K324" s="4">
        <v>14</v>
      </c>
      <c r="L324" s="4">
        <v>7</v>
      </c>
      <c r="M324" s="4">
        <v>10</v>
      </c>
      <c r="N324" s="4">
        <v>5</v>
      </c>
      <c r="O324" s="4">
        <v>2</v>
      </c>
      <c r="P324" s="4">
        <v>1</v>
      </c>
      <c r="Q324" s="4">
        <v>5</v>
      </c>
      <c r="R324" s="4">
        <v>2</v>
      </c>
      <c r="S324" s="4">
        <v>2</v>
      </c>
      <c r="T324" s="4">
        <v>1</v>
      </c>
      <c r="U324" s="4">
        <v>0</v>
      </c>
      <c r="V324" s="4">
        <v>0</v>
      </c>
      <c r="W324" s="4">
        <v>0</v>
      </c>
      <c r="X324" s="4">
        <v>0</v>
      </c>
      <c r="Y324" s="4">
        <v>0</v>
      </c>
      <c r="Z324" s="4">
        <v>0</v>
      </c>
      <c r="AA324" s="4">
        <v>0</v>
      </c>
      <c r="AB324" s="4">
        <v>0</v>
      </c>
      <c r="AC324" s="4">
        <v>0</v>
      </c>
      <c r="AD324" s="4">
        <v>0</v>
      </c>
      <c r="AE324" s="4">
        <v>0</v>
      </c>
      <c r="AF324" s="4">
        <v>5</v>
      </c>
      <c r="AG324" s="4">
        <v>0</v>
      </c>
      <c r="AH324" s="4">
        <v>0</v>
      </c>
      <c r="AI324" s="4">
        <v>0</v>
      </c>
      <c r="AJ324" s="4">
        <v>0</v>
      </c>
      <c r="AK324" s="4">
        <v>0</v>
      </c>
      <c r="AL324" s="4">
        <v>0</v>
      </c>
      <c r="AM324" s="4">
        <v>0</v>
      </c>
      <c r="AN324" s="4">
        <v>0</v>
      </c>
      <c r="AO324" s="4">
        <v>10</v>
      </c>
      <c r="AP324" s="4">
        <v>0</v>
      </c>
      <c r="AQ324" s="4">
        <v>0</v>
      </c>
      <c r="AR324" s="4">
        <v>0</v>
      </c>
      <c r="AS324" s="4">
        <v>0</v>
      </c>
      <c r="AT324" s="4">
        <v>0</v>
      </c>
      <c r="AU324" s="4">
        <v>0</v>
      </c>
      <c r="AV324" s="4">
        <v>0</v>
      </c>
      <c r="AW324" s="4">
        <v>0</v>
      </c>
      <c r="AX324" s="4">
        <v>0</v>
      </c>
      <c r="AY324" s="4">
        <v>0</v>
      </c>
      <c r="AZ324" s="4">
        <v>0</v>
      </c>
      <c r="BA324" s="4">
        <v>0</v>
      </c>
      <c r="BB324" s="4">
        <v>0</v>
      </c>
      <c r="BC324" s="13">
        <v>0</v>
      </c>
      <c r="BD324" s="20">
        <f t="shared" si="86"/>
        <v>0</v>
      </c>
      <c r="BE324" s="20">
        <f t="shared" si="86"/>
        <v>0</v>
      </c>
      <c r="BF324" s="20">
        <f t="shared" si="86"/>
        <v>0</v>
      </c>
      <c r="BG324" s="20">
        <f t="shared" si="86"/>
        <v>0</v>
      </c>
      <c r="BH324" s="20">
        <f t="shared" si="86"/>
        <v>0</v>
      </c>
      <c r="BI324" s="20">
        <f t="shared" si="86"/>
        <v>0</v>
      </c>
      <c r="BJ324" s="23">
        <f t="shared" si="73"/>
        <v>0</v>
      </c>
    </row>
    <row r="325" spans="1:62" s="5" customFormat="1" x14ac:dyDescent="0.25">
      <c r="A325" s="14"/>
      <c r="B325" s="6"/>
      <c r="C325" s="6" t="s">
        <v>9</v>
      </c>
      <c r="D325" s="7">
        <v>0</v>
      </c>
      <c r="E325" s="7">
        <v>0</v>
      </c>
      <c r="F325" s="7">
        <v>0</v>
      </c>
      <c r="G325" s="7">
        <v>0</v>
      </c>
      <c r="H325" s="7">
        <v>4</v>
      </c>
      <c r="I325" s="7">
        <v>7</v>
      </c>
      <c r="J325" s="7">
        <v>9</v>
      </c>
      <c r="K325" s="7">
        <v>2</v>
      </c>
      <c r="L325" s="7">
        <v>0</v>
      </c>
      <c r="M325" s="7">
        <v>24</v>
      </c>
      <c r="N325" s="7">
        <v>53</v>
      </c>
      <c r="O325" s="7">
        <v>61</v>
      </c>
      <c r="P325" s="7">
        <v>62</v>
      </c>
      <c r="Q325" s="7">
        <v>59</v>
      </c>
      <c r="R325" s="7">
        <v>63</v>
      </c>
      <c r="S325" s="7">
        <v>63</v>
      </c>
      <c r="T325" s="7">
        <v>69</v>
      </c>
      <c r="U325" s="7">
        <v>70</v>
      </c>
      <c r="V325" s="7">
        <v>73</v>
      </c>
      <c r="W325" s="7">
        <v>75</v>
      </c>
      <c r="X325" s="7">
        <v>55</v>
      </c>
      <c r="Y325" s="7">
        <v>60</v>
      </c>
      <c r="Z325" s="7">
        <v>65</v>
      </c>
      <c r="AA325" s="7">
        <v>62</v>
      </c>
      <c r="AB325" s="7">
        <v>63</v>
      </c>
      <c r="AC325" s="7">
        <v>68</v>
      </c>
      <c r="AD325" s="7">
        <v>70</v>
      </c>
      <c r="AE325" s="7">
        <v>40</v>
      </c>
      <c r="AF325" s="7">
        <v>45</v>
      </c>
      <c r="AG325" s="7">
        <v>60</v>
      </c>
      <c r="AH325" s="7">
        <v>218</v>
      </c>
      <c r="AI325" s="7">
        <v>145</v>
      </c>
      <c r="AJ325" s="7">
        <v>154</v>
      </c>
      <c r="AK325" s="7">
        <v>163</v>
      </c>
      <c r="AL325" s="7">
        <v>178</v>
      </c>
      <c r="AM325" s="7">
        <v>287</v>
      </c>
      <c r="AN325" s="7">
        <v>322</v>
      </c>
      <c r="AO325" s="7">
        <v>311</v>
      </c>
      <c r="AP325" s="7">
        <v>332</v>
      </c>
      <c r="AQ325" s="7">
        <v>338</v>
      </c>
      <c r="AR325" s="7">
        <v>348</v>
      </c>
      <c r="AS325" s="7">
        <v>356</v>
      </c>
      <c r="AT325" s="7">
        <v>390</v>
      </c>
      <c r="AU325" s="7">
        <v>410</v>
      </c>
      <c r="AV325" s="7">
        <v>415</v>
      </c>
      <c r="AW325" s="7">
        <v>435</v>
      </c>
      <c r="AX325" s="7">
        <v>443</v>
      </c>
      <c r="AY325" s="7">
        <v>465</v>
      </c>
      <c r="AZ325" s="7">
        <v>454</v>
      </c>
      <c r="BA325" s="7">
        <v>454</v>
      </c>
      <c r="BB325" s="7">
        <v>454</v>
      </c>
      <c r="BC325" s="15">
        <v>0</v>
      </c>
      <c r="BD325" s="21">
        <f t="shared" si="86"/>
        <v>2.012621682644261E-3</v>
      </c>
      <c r="BE325" s="21">
        <f t="shared" si="86"/>
        <v>1.9638614036954286E-3</v>
      </c>
      <c r="BF325" s="21">
        <f t="shared" si="86"/>
        <v>2.0169335669795443E-3</v>
      </c>
      <c r="BG325" s="21">
        <f t="shared" si="86"/>
        <v>2.0511708390373051E-3</v>
      </c>
      <c r="BH325" s="21">
        <f t="shared" si="86"/>
        <v>1.9078516078062228E-3</v>
      </c>
      <c r="BI325" s="21">
        <f t="shared" si="86"/>
        <v>1.7750183757408943E-3</v>
      </c>
      <c r="BJ325" s="23">
        <f t="shared" si="73"/>
        <v>1.911346940861474E-3</v>
      </c>
    </row>
    <row r="326" spans="1:62" x14ac:dyDescent="0.25">
      <c r="A326" s="12"/>
      <c r="B326" s="2" t="s">
        <v>12</v>
      </c>
      <c r="C326" s="2" t="s">
        <v>6</v>
      </c>
      <c r="D326" s="4">
        <v>239</v>
      </c>
      <c r="E326" s="4">
        <v>229</v>
      </c>
      <c r="F326" s="4">
        <v>246</v>
      </c>
      <c r="G326" s="4">
        <v>202</v>
      </c>
      <c r="H326" s="4">
        <v>269</v>
      </c>
      <c r="I326" s="4">
        <v>236</v>
      </c>
      <c r="J326" s="4">
        <v>270</v>
      </c>
      <c r="K326" s="4">
        <v>260</v>
      </c>
      <c r="L326" s="4">
        <v>249</v>
      </c>
      <c r="M326" s="4">
        <v>257</v>
      </c>
      <c r="N326" s="4">
        <v>284</v>
      </c>
      <c r="O326" s="4">
        <v>307</v>
      </c>
      <c r="P326" s="4">
        <v>310</v>
      </c>
      <c r="Q326" s="4">
        <v>342</v>
      </c>
      <c r="R326" s="4">
        <v>348</v>
      </c>
      <c r="S326" s="4">
        <v>390</v>
      </c>
      <c r="T326" s="4">
        <v>406</v>
      </c>
      <c r="U326" s="4">
        <v>412</v>
      </c>
      <c r="V326" s="4">
        <v>394</v>
      </c>
      <c r="W326" s="4">
        <v>372</v>
      </c>
      <c r="X326" s="4">
        <v>523</v>
      </c>
      <c r="Y326" s="4">
        <v>579</v>
      </c>
      <c r="Z326" s="4">
        <v>648</v>
      </c>
      <c r="AA326" s="4">
        <v>607</v>
      </c>
      <c r="AB326" s="4">
        <v>579</v>
      </c>
      <c r="AC326" s="4">
        <v>680</v>
      </c>
      <c r="AD326" s="4">
        <v>630</v>
      </c>
      <c r="AE326" s="3">
        <v>1184</v>
      </c>
      <c r="AF326" s="3">
        <v>1249</v>
      </c>
      <c r="AG326" s="3">
        <v>1982</v>
      </c>
      <c r="AH326" s="3">
        <v>1500</v>
      </c>
      <c r="AI326" s="3">
        <v>1911</v>
      </c>
      <c r="AJ326" s="3">
        <v>1956</v>
      </c>
      <c r="AK326" s="3">
        <v>1839</v>
      </c>
      <c r="AL326" s="3">
        <v>1320</v>
      </c>
      <c r="AM326" s="3">
        <v>1752</v>
      </c>
      <c r="AN326" s="3">
        <v>1950</v>
      </c>
      <c r="AO326" s="3">
        <v>1850</v>
      </c>
      <c r="AP326" s="3">
        <v>1900</v>
      </c>
      <c r="AQ326" s="3">
        <v>2000</v>
      </c>
      <c r="AR326" s="3">
        <v>2000</v>
      </c>
      <c r="AS326" s="3">
        <v>2100</v>
      </c>
      <c r="AT326" s="3">
        <v>2200</v>
      </c>
      <c r="AU326" s="3">
        <v>2200</v>
      </c>
      <c r="AV326" s="3">
        <v>2300</v>
      </c>
      <c r="AW326" s="3">
        <v>2700</v>
      </c>
      <c r="AX326" s="3">
        <v>2900</v>
      </c>
      <c r="AY326" s="3">
        <v>3000</v>
      </c>
      <c r="AZ326" s="3">
        <v>3200</v>
      </c>
      <c r="BA326" s="3">
        <v>3400</v>
      </c>
      <c r="BB326" s="3">
        <v>3600</v>
      </c>
      <c r="BC326" s="13">
        <v>0</v>
      </c>
      <c r="BD326" s="20">
        <f t="shared" si="86"/>
        <v>6.4500100333489407E-3</v>
      </c>
      <c r="BE326" s="20">
        <f t="shared" si="86"/>
        <v>6.9000304553068371E-3</v>
      </c>
      <c r="BF326" s="20">
        <f t="shared" si="86"/>
        <v>6.9187713184641246E-3</v>
      </c>
      <c r="BG326" s="20">
        <f t="shared" si="86"/>
        <v>7.1417253069268041E-3</v>
      </c>
      <c r="BH326" s="20">
        <f t="shared" si="86"/>
        <v>7.7210783167140909E-3</v>
      </c>
      <c r="BI326" s="20">
        <f t="shared" si="86"/>
        <v>7.9879116270710326E-3</v>
      </c>
      <c r="BJ326" s="23">
        <f t="shared" si="73"/>
        <v>7.6169050835706428E-3</v>
      </c>
    </row>
    <row r="327" spans="1:62" s="5" customFormat="1" x14ac:dyDescent="0.25">
      <c r="A327" s="14"/>
      <c r="B327" s="6"/>
      <c r="C327" s="6" t="s">
        <v>7</v>
      </c>
      <c r="D327" s="7">
        <v>1</v>
      </c>
      <c r="E327" s="7">
        <v>1</v>
      </c>
      <c r="F327" s="7">
        <v>1</v>
      </c>
      <c r="G327" s="7">
        <v>2</v>
      </c>
      <c r="H327" s="7">
        <v>1</v>
      </c>
      <c r="I327" s="7">
        <v>1</v>
      </c>
      <c r="J327" s="7">
        <v>1</v>
      </c>
      <c r="K327" s="7">
        <v>1</v>
      </c>
      <c r="L327" s="7">
        <v>1</v>
      </c>
      <c r="M327" s="7">
        <v>1</v>
      </c>
      <c r="N327" s="7">
        <v>1</v>
      </c>
      <c r="O327" s="7">
        <v>6</v>
      </c>
      <c r="P327" s="7">
        <v>11</v>
      </c>
      <c r="Q327" s="7">
        <v>2</v>
      </c>
      <c r="R327" s="7">
        <v>4</v>
      </c>
      <c r="S327" s="7">
        <v>6</v>
      </c>
      <c r="T327" s="7">
        <v>94</v>
      </c>
      <c r="U327" s="7">
        <v>446</v>
      </c>
      <c r="V327" s="7">
        <v>789</v>
      </c>
      <c r="W327" s="7">
        <v>242</v>
      </c>
      <c r="X327" s="7">
        <v>394</v>
      </c>
      <c r="Y327" s="7">
        <v>686</v>
      </c>
      <c r="Z327" s="7">
        <v>666</v>
      </c>
      <c r="AA327" s="7">
        <v>903</v>
      </c>
      <c r="AB327" s="7">
        <v>629</v>
      </c>
      <c r="AC327" s="7">
        <v>569</v>
      </c>
      <c r="AD327" s="7">
        <v>462</v>
      </c>
      <c r="AE327" s="7">
        <v>642</v>
      </c>
      <c r="AF327" s="7">
        <v>344</v>
      </c>
      <c r="AG327" s="7">
        <v>164</v>
      </c>
      <c r="AH327" s="7">
        <v>224</v>
      </c>
      <c r="AI327" s="7">
        <v>296</v>
      </c>
      <c r="AJ327" s="7">
        <v>440</v>
      </c>
      <c r="AK327" s="7">
        <v>382</v>
      </c>
      <c r="AL327" s="7">
        <v>300</v>
      </c>
      <c r="AM327" s="7">
        <v>300</v>
      </c>
      <c r="AN327" s="7">
        <v>350</v>
      </c>
      <c r="AO327" s="7">
        <v>731</v>
      </c>
      <c r="AP327" s="7">
        <v>900</v>
      </c>
      <c r="AQ327" s="7">
        <v>950</v>
      </c>
      <c r="AR327" s="8">
        <v>1250</v>
      </c>
      <c r="AS327" s="8">
        <v>1906</v>
      </c>
      <c r="AT327" s="8">
        <v>1897</v>
      </c>
      <c r="AU327" s="8">
        <v>1448</v>
      </c>
      <c r="AV327" s="8">
        <v>1369</v>
      </c>
      <c r="AW327" s="8">
        <v>1650</v>
      </c>
      <c r="AX327" s="8">
        <v>1500</v>
      </c>
      <c r="AY327" s="8">
        <v>1800</v>
      </c>
      <c r="AZ327" s="8">
        <v>1750</v>
      </c>
      <c r="BA327" s="8">
        <v>1750</v>
      </c>
      <c r="BB327" s="8">
        <v>1900</v>
      </c>
      <c r="BC327" s="15">
        <v>0</v>
      </c>
      <c r="BD327" s="21">
        <f t="shared" si="86"/>
        <v>6.2264150943396226E-2</v>
      </c>
      <c r="BE327" s="21">
        <f t="shared" si="86"/>
        <v>5.3142492737192661E-2</v>
      </c>
      <c r="BF327" s="21">
        <f t="shared" si="86"/>
        <v>6.1147535414614262E-2</v>
      </c>
      <c r="BG327" s="21">
        <f t="shared" si="86"/>
        <v>6.4459096099303836E-2</v>
      </c>
      <c r="BH327" s="21">
        <f t="shared" si="86"/>
        <v>6.2333036509349952E-2</v>
      </c>
      <c r="BI327" s="21">
        <f t="shared" si="86"/>
        <v>6.4997263273125341E-2</v>
      </c>
      <c r="BJ327" s="23">
        <f t="shared" si="73"/>
        <v>6.3929798627259712E-2</v>
      </c>
    </row>
    <row r="328" spans="1:62" x14ac:dyDescent="0.25">
      <c r="A328" s="12"/>
      <c r="B328" s="2"/>
      <c r="C328" s="2" t="s">
        <v>8</v>
      </c>
      <c r="D328" s="4">
        <v>0</v>
      </c>
      <c r="E328" s="4">
        <v>0</v>
      </c>
      <c r="F328" s="4">
        <v>0</v>
      </c>
      <c r="G328" s="4">
        <v>0</v>
      </c>
      <c r="H328" s="4">
        <v>0</v>
      </c>
      <c r="I328" s="4">
        <v>0</v>
      </c>
      <c r="J328" s="4">
        <v>0</v>
      </c>
      <c r="K328" s="4">
        <v>0</v>
      </c>
      <c r="L328" s="4">
        <v>0</v>
      </c>
      <c r="M328" s="4">
        <v>0</v>
      </c>
      <c r="N328" s="4">
        <v>0</v>
      </c>
      <c r="O328" s="4">
        <v>0</v>
      </c>
      <c r="P328" s="4">
        <v>0</v>
      </c>
      <c r="Q328" s="4">
        <v>0</v>
      </c>
      <c r="R328" s="4">
        <v>0</v>
      </c>
      <c r="S328" s="4">
        <v>0</v>
      </c>
      <c r="T328" s="4">
        <v>0</v>
      </c>
      <c r="U328" s="4">
        <v>0</v>
      </c>
      <c r="V328" s="4">
        <v>0</v>
      </c>
      <c r="W328" s="4">
        <v>0</v>
      </c>
      <c r="X328" s="4">
        <v>5</v>
      </c>
      <c r="Y328" s="4">
        <v>5</v>
      </c>
      <c r="Z328" s="4">
        <v>12</v>
      </c>
      <c r="AA328" s="4">
        <v>10</v>
      </c>
      <c r="AB328" s="4">
        <v>0</v>
      </c>
      <c r="AC328" s="4">
        <v>0</v>
      </c>
      <c r="AD328" s="4">
        <v>0</v>
      </c>
      <c r="AE328" s="4">
        <v>0</v>
      </c>
      <c r="AF328" s="4">
        <v>0</v>
      </c>
      <c r="AG328" s="4">
        <v>0</v>
      </c>
      <c r="AH328" s="4">
        <v>0</v>
      </c>
      <c r="AI328" s="4">
        <v>0</v>
      </c>
      <c r="AJ328" s="4">
        <v>0</v>
      </c>
      <c r="AK328" s="4">
        <v>0</v>
      </c>
      <c r="AL328" s="4">
        <v>0</v>
      </c>
      <c r="AM328" s="4">
        <v>0</v>
      </c>
      <c r="AN328" s="4">
        <v>0</v>
      </c>
      <c r="AO328" s="4">
        <v>0</v>
      </c>
      <c r="AP328" s="4">
        <v>0</v>
      </c>
      <c r="AQ328" s="4">
        <v>0</v>
      </c>
      <c r="AR328" s="4">
        <v>0</v>
      </c>
      <c r="AS328" s="4">
        <v>0</v>
      </c>
      <c r="AT328" s="4">
        <v>0</v>
      </c>
      <c r="AU328" s="4">
        <v>0</v>
      </c>
      <c r="AV328" s="4">
        <v>0</v>
      </c>
      <c r="AW328" s="4">
        <v>0</v>
      </c>
      <c r="AX328" s="4">
        <v>0</v>
      </c>
      <c r="AY328" s="4">
        <v>0</v>
      </c>
      <c r="AZ328" s="4">
        <v>0</v>
      </c>
      <c r="BA328" s="4">
        <v>0</v>
      </c>
      <c r="BB328" s="4">
        <v>0</v>
      </c>
      <c r="BC328" s="13">
        <v>0</v>
      </c>
      <c r="BD328" s="20">
        <f t="shared" si="86"/>
        <v>0</v>
      </c>
      <c r="BE328" s="20">
        <f t="shared" si="86"/>
        <v>0</v>
      </c>
      <c r="BF328" s="20">
        <f t="shared" si="86"/>
        <v>0</v>
      </c>
      <c r="BG328" s="20">
        <f t="shared" si="86"/>
        <v>0</v>
      </c>
      <c r="BH328" s="20">
        <f t="shared" si="86"/>
        <v>0</v>
      </c>
      <c r="BI328" s="20">
        <f t="shared" si="86"/>
        <v>0</v>
      </c>
      <c r="BJ328" s="23">
        <f t="shared" si="73"/>
        <v>0</v>
      </c>
    </row>
    <row r="329" spans="1:62" s="5" customFormat="1" x14ac:dyDescent="0.25">
      <c r="A329" s="14"/>
      <c r="B329" s="6"/>
      <c r="C329" s="6" t="s">
        <v>9</v>
      </c>
      <c r="D329" s="7">
        <v>240</v>
      </c>
      <c r="E329" s="7">
        <v>230</v>
      </c>
      <c r="F329" s="7">
        <v>247</v>
      </c>
      <c r="G329" s="7">
        <v>204</v>
      </c>
      <c r="H329" s="7">
        <v>270</v>
      </c>
      <c r="I329" s="7">
        <v>237</v>
      </c>
      <c r="J329" s="7">
        <v>271</v>
      </c>
      <c r="K329" s="7">
        <v>261</v>
      </c>
      <c r="L329" s="7">
        <v>250</v>
      </c>
      <c r="M329" s="7">
        <v>258</v>
      </c>
      <c r="N329" s="7">
        <v>285</v>
      </c>
      <c r="O329" s="7">
        <v>313</v>
      </c>
      <c r="P329" s="7">
        <v>321</v>
      </c>
      <c r="Q329" s="7">
        <v>344</v>
      </c>
      <c r="R329" s="7">
        <v>352</v>
      </c>
      <c r="S329" s="7">
        <v>396</v>
      </c>
      <c r="T329" s="7">
        <v>500</v>
      </c>
      <c r="U329" s="7">
        <v>750</v>
      </c>
      <c r="V329" s="7">
        <v>950</v>
      </c>
      <c r="W329" s="7">
        <v>845</v>
      </c>
      <c r="X329" s="7">
        <v>850</v>
      </c>
      <c r="Y329" s="8">
        <v>1227</v>
      </c>
      <c r="Z329" s="8">
        <v>1337</v>
      </c>
      <c r="AA329" s="8">
        <v>1648</v>
      </c>
      <c r="AB329" s="8">
        <v>1220</v>
      </c>
      <c r="AC329" s="8">
        <v>1249</v>
      </c>
      <c r="AD329" s="8">
        <v>1042</v>
      </c>
      <c r="AE329" s="8">
        <v>1152</v>
      </c>
      <c r="AF329" s="8">
        <v>1350</v>
      </c>
      <c r="AG329" s="8">
        <v>1550</v>
      </c>
      <c r="AH329" s="8">
        <v>2757</v>
      </c>
      <c r="AI329" s="8">
        <v>2207</v>
      </c>
      <c r="AJ329" s="8">
        <v>2436</v>
      </c>
      <c r="AK329" s="8">
        <v>2221</v>
      </c>
      <c r="AL329" s="8">
        <v>2000</v>
      </c>
      <c r="AM329" s="8">
        <v>2000</v>
      </c>
      <c r="AN329" s="8">
        <v>2252</v>
      </c>
      <c r="AO329" s="8">
        <v>2601</v>
      </c>
      <c r="AP329" s="8">
        <v>2750</v>
      </c>
      <c r="AQ329" s="8">
        <v>2900</v>
      </c>
      <c r="AR329" s="8">
        <v>3050</v>
      </c>
      <c r="AS329" s="8">
        <v>3500</v>
      </c>
      <c r="AT329" s="8">
        <v>3750</v>
      </c>
      <c r="AU329" s="8">
        <v>4000</v>
      </c>
      <c r="AV329" s="8">
        <v>4250</v>
      </c>
      <c r="AW329" s="8">
        <v>4300</v>
      </c>
      <c r="AX329" s="8">
        <v>4400</v>
      </c>
      <c r="AY329" s="8">
        <v>4500</v>
      </c>
      <c r="AZ329" s="8">
        <v>5150</v>
      </c>
      <c r="BA329" s="8">
        <v>5250</v>
      </c>
      <c r="BB329" s="8">
        <v>5500</v>
      </c>
      <c r="BC329" s="15">
        <v>0</v>
      </c>
      <c r="BD329" s="21">
        <f t="shared" si="86"/>
        <v>1.0413311602608655E-2</v>
      </c>
      <c r="BE329" s="21">
        <f t="shared" si="86"/>
        <v>1.0511805474261605E-2</v>
      </c>
      <c r="BF329" s="21">
        <f t="shared" si="86"/>
        <v>1.0556516068190401E-2</v>
      </c>
      <c r="BG329" s="21">
        <f t="shared" si="86"/>
        <v>1.1836087426168096E-2</v>
      </c>
      <c r="BH329" s="21">
        <f t="shared" si="86"/>
        <v>1.2061008024590673E-2</v>
      </c>
      <c r="BI329" s="21">
        <f t="shared" si="86"/>
        <v>1.2325427132074795E-2</v>
      </c>
      <c r="BJ329" s="23">
        <f t="shared" si="73"/>
        <v>1.2074174194277856E-2</v>
      </c>
    </row>
    <row r="330" spans="1:62" x14ac:dyDescent="0.25">
      <c r="A330" s="12"/>
      <c r="B330" s="2" t="s">
        <v>13</v>
      </c>
      <c r="C330" s="2" t="s">
        <v>6</v>
      </c>
      <c r="D330" s="3">
        <v>4000</v>
      </c>
      <c r="E330" s="3">
        <v>3966</v>
      </c>
      <c r="F330" s="3">
        <v>4509</v>
      </c>
      <c r="G330" s="3">
        <v>3733</v>
      </c>
      <c r="H330" s="3">
        <v>3760</v>
      </c>
      <c r="I330" s="3">
        <v>4235</v>
      </c>
      <c r="J330" s="3">
        <v>3160</v>
      </c>
      <c r="K330" s="3">
        <v>3389</v>
      </c>
      <c r="L330" s="3">
        <v>3236</v>
      </c>
      <c r="M330" s="3">
        <v>4093</v>
      </c>
      <c r="N330" s="3">
        <v>4053</v>
      </c>
      <c r="O330" s="3">
        <v>3794</v>
      </c>
      <c r="P330" s="3">
        <v>2298</v>
      </c>
      <c r="Q330" s="3">
        <v>3124</v>
      </c>
      <c r="R330" s="3">
        <v>4732</v>
      </c>
      <c r="S330" s="3">
        <v>3590</v>
      </c>
      <c r="T330" s="3">
        <v>3680</v>
      </c>
      <c r="U330" s="3">
        <v>3750</v>
      </c>
      <c r="V330" s="3">
        <v>3760</v>
      </c>
      <c r="W330" s="3">
        <v>3785</v>
      </c>
      <c r="X330" s="3">
        <v>3800</v>
      </c>
      <c r="Y330" s="3">
        <v>3700</v>
      </c>
      <c r="Z330" s="3">
        <v>4134</v>
      </c>
      <c r="AA330" s="3">
        <v>2660</v>
      </c>
      <c r="AB330" s="3">
        <v>3690</v>
      </c>
      <c r="AC330" s="3">
        <v>3500</v>
      </c>
      <c r="AD330" s="3">
        <v>3600</v>
      </c>
      <c r="AE330" s="3">
        <v>2900</v>
      </c>
      <c r="AF330" s="3">
        <v>3500</v>
      </c>
      <c r="AG330" s="3">
        <v>3500</v>
      </c>
      <c r="AH330" s="3">
        <v>4185</v>
      </c>
      <c r="AI330" s="3">
        <v>4346</v>
      </c>
      <c r="AJ330" s="3">
        <v>4437</v>
      </c>
      <c r="AK330" s="3">
        <v>6175</v>
      </c>
      <c r="AL330" s="3">
        <v>6500</v>
      </c>
      <c r="AM330" s="3">
        <v>6500</v>
      </c>
      <c r="AN330" s="3">
        <v>6600</v>
      </c>
      <c r="AO330" s="3">
        <v>6930</v>
      </c>
      <c r="AP330" s="3">
        <v>7300</v>
      </c>
      <c r="AQ330" s="3">
        <v>7500</v>
      </c>
      <c r="AR330" s="3">
        <v>7800</v>
      </c>
      <c r="AS330" s="3">
        <v>7800</v>
      </c>
      <c r="AT330" s="3">
        <v>7850</v>
      </c>
      <c r="AU330" s="3">
        <v>9000</v>
      </c>
      <c r="AV330" s="3">
        <v>10000</v>
      </c>
      <c r="AW330" s="3">
        <v>10500</v>
      </c>
      <c r="AX330" s="3">
        <v>10500</v>
      </c>
      <c r="AY330" s="3">
        <v>10000</v>
      </c>
      <c r="AZ330" s="3">
        <v>11000</v>
      </c>
      <c r="BA330" s="3">
        <v>11500</v>
      </c>
      <c r="BB330" s="3">
        <v>11700</v>
      </c>
      <c r="BC330" s="13">
        <v>0</v>
      </c>
      <c r="BD330" s="20">
        <f t="shared" si="86"/>
        <v>0.17607405171546434</v>
      </c>
      <c r="BE330" s="20">
        <f t="shared" si="86"/>
        <v>0.18213356461405031</v>
      </c>
      <c r="BF330" s="20">
        <f t="shared" si="86"/>
        <v>0.15172434720599615</v>
      </c>
      <c r="BG330" s="20">
        <f t="shared" si="86"/>
        <v>0.16963266816765876</v>
      </c>
      <c r="BH330" s="20">
        <f t="shared" si="86"/>
        <v>0.19406989891489612</v>
      </c>
      <c r="BI330" s="20">
        <f t="shared" si="86"/>
        <v>0.17937082234623167</v>
      </c>
      <c r="BJ330" s="23">
        <f t="shared" si="73"/>
        <v>0.18102446314292886</v>
      </c>
    </row>
    <row r="331" spans="1:62" s="5" customFormat="1" x14ac:dyDescent="0.25">
      <c r="A331" s="14"/>
      <c r="B331" s="6"/>
      <c r="C331" s="6" t="s">
        <v>7</v>
      </c>
      <c r="D331" s="7">
        <v>30</v>
      </c>
      <c r="E331" s="7">
        <v>30</v>
      </c>
      <c r="F331" s="7">
        <v>30</v>
      </c>
      <c r="G331" s="7">
        <v>3</v>
      </c>
      <c r="H331" s="7">
        <v>0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0</v>
      </c>
      <c r="O331" s="7">
        <v>0</v>
      </c>
      <c r="P331" s="7">
        <v>0</v>
      </c>
      <c r="Q331" s="7">
        <v>0</v>
      </c>
      <c r="R331" s="7">
        <v>0</v>
      </c>
      <c r="S331" s="7">
        <v>0</v>
      </c>
      <c r="T331" s="7">
        <v>0</v>
      </c>
      <c r="U331" s="7">
        <v>0</v>
      </c>
      <c r="V331" s="7">
        <v>0</v>
      </c>
      <c r="W331" s="7">
        <v>0</v>
      </c>
      <c r="X331" s="7">
        <v>0</v>
      </c>
      <c r="Y331" s="7">
        <v>0</v>
      </c>
      <c r="Z331" s="7">
        <v>10</v>
      </c>
      <c r="AA331" s="7">
        <v>0</v>
      </c>
      <c r="AB331" s="7">
        <v>85</v>
      </c>
      <c r="AC331" s="7">
        <v>0</v>
      </c>
      <c r="AD331" s="7">
        <v>0</v>
      </c>
      <c r="AE331" s="7">
        <v>86</v>
      </c>
      <c r="AF331" s="7">
        <v>32</v>
      </c>
      <c r="AG331" s="7">
        <v>0</v>
      </c>
      <c r="AH331" s="7">
        <v>0</v>
      </c>
      <c r="AI331" s="7">
        <v>0</v>
      </c>
      <c r="AJ331" s="7">
        <v>0</v>
      </c>
      <c r="AK331" s="7">
        <v>0</v>
      </c>
      <c r="AL331" s="7">
        <v>0</v>
      </c>
      <c r="AM331" s="7">
        <v>0</v>
      </c>
      <c r="AN331" s="7">
        <v>0</v>
      </c>
      <c r="AO331" s="7">
        <v>0</v>
      </c>
      <c r="AP331" s="7">
        <v>18</v>
      </c>
      <c r="AQ331" s="7">
        <v>0</v>
      </c>
      <c r="AR331" s="7">
        <v>0</v>
      </c>
      <c r="AS331" s="7">
        <v>0</v>
      </c>
      <c r="AT331" s="7">
        <v>0</v>
      </c>
      <c r="AU331" s="7">
        <v>0</v>
      </c>
      <c r="AV331" s="7">
        <v>0</v>
      </c>
      <c r="AW331" s="7">
        <v>0</v>
      </c>
      <c r="AX331" s="7">
        <v>0</v>
      </c>
      <c r="AY331" s="7">
        <v>0</v>
      </c>
      <c r="AZ331" s="7">
        <v>0</v>
      </c>
      <c r="BA331" s="7">
        <v>0</v>
      </c>
      <c r="BB331" s="7">
        <v>0</v>
      </c>
      <c r="BC331" s="15">
        <v>0</v>
      </c>
      <c r="BD331" s="21">
        <f t="shared" si="86"/>
        <v>0</v>
      </c>
      <c r="BE331" s="21">
        <f t="shared" si="86"/>
        <v>0</v>
      </c>
      <c r="BF331" s="21">
        <f t="shared" si="86"/>
        <v>0</v>
      </c>
      <c r="BG331" s="21">
        <f t="shared" si="86"/>
        <v>0</v>
      </c>
      <c r="BH331" s="21">
        <f t="shared" si="86"/>
        <v>0</v>
      </c>
      <c r="BI331" s="21">
        <f t="shared" si="86"/>
        <v>0</v>
      </c>
      <c r="BJ331" s="23">
        <f t="shared" si="73"/>
        <v>0</v>
      </c>
    </row>
    <row r="332" spans="1:62" x14ac:dyDescent="0.25">
      <c r="A332" s="12"/>
      <c r="B332" s="2"/>
      <c r="C332" s="2" t="s">
        <v>8</v>
      </c>
      <c r="D332" s="4">
        <v>0</v>
      </c>
      <c r="E332" s="4">
        <v>0</v>
      </c>
      <c r="F332" s="4">
        <v>0</v>
      </c>
      <c r="G332" s="4">
        <v>0</v>
      </c>
      <c r="H332" s="4">
        <v>0</v>
      </c>
      <c r="I332" s="4">
        <v>0</v>
      </c>
      <c r="J332" s="4">
        <v>0</v>
      </c>
      <c r="K332" s="4">
        <v>0</v>
      </c>
      <c r="L332" s="4">
        <v>0</v>
      </c>
      <c r="M332" s="4">
        <v>0</v>
      </c>
      <c r="N332" s="4">
        <v>0</v>
      </c>
      <c r="O332" s="4">
        <v>0</v>
      </c>
      <c r="P332" s="4">
        <v>0</v>
      </c>
      <c r="Q332" s="4">
        <v>0</v>
      </c>
      <c r="R332" s="4">
        <v>0</v>
      </c>
      <c r="S332" s="4">
        <v>0</v>
      </c>
      <c r="T332" s="4">
        <v>0</v>
      </c>
      <c r="U332" s="4">
        <v>0</v>
      </c>
      <c r="V332" s="4">
        <v>0</v>
      </c>
      <c r="W332" s="4">
        <v>0</v>
      </c>
      <c r="X332" s="4">
        <v>0</v>
      </c>
      <c r="Y332" s="4">
        <v>0</v>
      </c>
      <c r="Z332" s="4">
        <v>0</v>
      </c>
      <c r="AA332" s="4">
        <v>0</v>
      </c>
      <c r="AB332" s="4">
        <v>0</v>
      </c>
      <c r="AC332" s="4">
        <v>0</v>
      </c>
      <c r="AD332" s="4">
        <v>0</v>
      </c>
      <c r="AE332" s="4">
        <v>50</v>
      </c>
      <c r="AF332" s="4">
        <v>0</v>
      </c>
      <c r="AG332" s="4">
        <v>0</v>
      </c>
      <c r="AH332" s="4">
        <v>0</v>
      </c>
      <c r="AI332" s="4">
        <v>0</v>
      </c>
      <c r="AJ332" s="4">
        <v>0</v>
      </c>
      <c r="AK332" s="4">
        <v>0</v>
      </c>
      <c r="AL332" s="4">
        <v>0</v>
      </c>
      <c r="AM332" s="4">
        <v>0</v>
      </c>
      <c r="AN332" s="4">
        <v>0</v>
      </c>
      <c r="AO332" s="4">
        <v>0</v>
      </c>
      <c r="AP332" s="4">
        <v>0</v>
      </c>
      <c r="AQ332" s="4">
        <v>0</v>
      </c>
      <c r="AR332" s="4">
        <v>100</v>
      </c>
      <c r="AS332" s="4">
        <v>50</v>
      </c>
      <c r="AT332" s="4">
        <v>50</v>
      </c>
      <c r="AU332" s="4">
        <v>50</v>
      </c>
      <c r="AV332" s="4">
        <v>50</v>
      </c>
      <c r="AW332" s="4">
        <v>50</v>
      </c>
      <c r="AX332" s="4">
        <v>50</v>
      </c>
      <c r="AY332" s="4">
        <v>50</v>
      </c>
      <c r="AZ332" s="4">
        <v>50</v>
      </c>
      <c r="BA332" s="4">
        <v>50</v>
      </c>
      <c r="BB332" s="4">
        <v>50</v>
      </c>
      <c r="BC332" s="13">
        <v>0</v>
      </c>
      <c r="BD332" s="20">
        <f t="shared" si="86"/>
        <v>9.2971364819635551E-3</v>
      </c>
      <c r="BE332" s="20">
        <f t="shared" si="86"/>
        <v>9.1524803221673078E-3</v>
      </c>
      <c r="BF332" s="20">
        <f t="shared" si="86"/>
        <v>5.1387461459403904E-3</v>
      </c>
      <c r="BG332" s="20">
        <f t="shared" si="86"/>
        <v>8.3556149732620325E-3</v>
      </c>
      <c r="BH332" s="20">
        <f t="shared" si="86"/>
        <v>7.521058965102286E-3</v>
      </c>
      <c r="BI332" s="20">
        <f t="shared" si="86"/>
        <v>7.6698880196349132E-3</v>
      </c>
      <c r="BJ332" s="23">
        <f t="shared" si="73"/>
        <v>7.848853985999743E-3</v>
      </c>
    </row>
    <row r="333" spans="1:62" s="5" customFormat="1" x14ac:dyDescent="0.25">
      <c r="A333" s="14"/>
      <c r="B333" s="6"/>
      <c r="C333" s="6" t="s">
        <v>9</v>
      </c>
      <c r="D333" s="8">
        <v>4030</v>
      </c>
      <c r="E333" s="8">
        <v>3996</v>
      </c>
      <c r="F333" s="8">
        <v>4519</v>
      </c>
      <c r="G333" s="8">
        <v>3736</v>
      </c>
      <c r="H333" s="8">
        <v>3760</v>
      </c>
      <c r="I333" s="8">
        <v>4235</v>
      </c>
      <c r="J333" s="8">
        <v>3160</v>
      </c>
      <c r="K333" s="8">
        <v>3389</v>
      </c>
      <c r="L333" s="8">
        <v>3236</v>
      </c>
      <c r="M333" s="8">
        <v>4093</v>
      </c>
      <c r="N333" s="8">
        <v>4053</v>
      </c>
      <c r="O333" s="8">
        <v>3794</v>
      </c>
      <c r="P333" s="8">
        <v>2298</v>
      </c>
      <c r="Q333" s="8">
        <v>3124</v>
      </c>
      <c r="R333" s="8">
        <v>4732</v>
      </c>
      <c r="S333" s="8">
        <v>3590</v>
      </c>
      <c r="T333" s="8">
        <v>3680</v>
      </c>
      <c r="U333" s="8">
        <v>3750</v>
      </c>
      <c r="V333" s="8">
        <v>3750</v>
      </c>
      <c r="W333" s="8">
        <v>3765</v>
      </c>
      <c r="X333" s="8">
        <v>3770</v>
      </c>
      <c r="Y333" s="8">
        <v>3753</v>
      </c>
      <c r="Z333" s="8">
        <v>4051</v>
      </c>
      <c r="AA333" s="8">
        <v>2780</v>
      </c>
      <c r="AB333" s="8">
        <v>3749</v>
      </c>
      <c r="AC333" s="8">
        <v>3176</v>
      </c>
      <c r="AD333" s="8">
        <v>3600</v>
      </c>
      <c r="AE333" s="8">
        <v>3186</v>
      </c>
      <c r="AF333" s="8">
        <v>3332</v>
      </c>
      <c r="AG333" s="8">
        <v>3500</v>
      </c>
      <c r="AH333" s="8">
        <v>4285</v>
      </c>
      <c r="AI333" s="8">
        <v>4346</v>
      </c>
      <c r="AJ333" s="8">
        <v>4437</v>
      </c>
      <c r="AK333" s="8">
        <v>6175</v>
      </c>
      <c r="AL333" s="8">
        <v>6500</v>
      </c>
      <c r="AM333" s="8">
        <v>6500</v>
      </c>
      <c r="AN333" s="8">
        <v>6600</v>
      </c>
      <c r="AO333" s="8">
        <v>6930</v>
      </c>
      <c r="AP333" s="8">
        <v>7318</v>
      </c>
      <c r="AQ333" s="8">
        <v>7500</v>
      </c>
      <c r="AR333" s="8">
        <v>7700</v>
      </c>
      <c r="AS333" s="8">
        <v>7750</v>
      </c>
      <c r="AT333" s="8">
        <v>7800</v>
      </c>
      <c r="AU333" s="8">
        <v>8950</v>
      </c>
      <c r="AV333" s="8">
        <v>9950</v>
      </c>
      <c r="AW333" s="8">
        <v>10450</v>
      </c>
      <c r="AX333" s="8">
        <v>10450</v>
      </c>
      <c r="AY333" s="8">
        <v>9950</v>
      </c>
      <c r="AZ333" s="8">
        <v>10950</v>
      </c>
      <c r="BA333" s="8">
        <v>11450</v>
      </c>
      <c r="BB333" s="8">
        <v>11650</v>
      </c>
      <c r="BC333" s="15">
        <v>0</v>
      </c>
      <c r="BD333" s="21">
        <f t="shared" si="86"/>
        <v>0.17624340141332029</v>
      </c>
      <c r="BE333" s="21">
        <f t="shared" si="86"/>
        <v>0.18082087486157253</v>
      </c>
      <c r="BF333" s="21">
        <f t="shared" si="86"/>
        <v>0.15433056210447946</v>
      </c>
      <c r="BG333" s="21">
        <f t="shared" si="86"/>
        <v>0.16979376647542255</v>
      </c>
      <c r="BH333" s="21">
        <f t="shared" si="86"/>
        <v>0.18747748632806105</v>
      </c>
      <c r="BI333" s="21">
        <f t="shared" si="86"/>
        <v>0.17994223313717314</v>
      </c>
      <c r="BJ333" s="23">
        <f t="shared" si="73"/>
        <v>0.17907116198021891</v>
      </c>
    </row>
    <row r="334" spans="1:62" x14ac:dyDescent="0.25">
      <c r="A334" s="14"/>
      <c r="B334" s="6" t="s">
        <v>14</v>
      </c>
      <c r="C334" s="6" t="s">
        <v>42</v>
      </c>
      <c r="D334" s="7">
        <v>0</v>
      </c>
      <c r="E334" s="7">
        <v>0</v>
      </c>
      <c r="F334" s="7">
        <v>0</v>
      </c>
      <c r="G334" s="7">
        <v>0</v>
      </c>
      <c r="H334" s="7">
        <v>0</v>
      </c>
      <c r="I334" s="7">
        <v>0</v>
      </c>
      <c r="J334" s="7">
        <v>0</v>
      </c>
      <c r="K334" s="7">
        <v>0</v>
      </c>
      <c r="L334" s="7">
        <v>0</v>
      </c>
      <c r="M334" s="7">
        <v>0</v>
      </c>
      <c r="N334" s="7">
        <v>0</v>
      </c>
      <c r="O334" s="7">
        <v>0</v>
      </c>
      <c r="P334" s="7">
        <v>0</v>
      </c>
      <c r="Q334" s="7">
        <v>40</v>
      </c>
      <c r="R334" s="7">
        <v>60</v>
      </c>
      <c r="S334" s="7">
        <v>50</v>
      </c>
      <c r="T334" s="7">
        <v>55</v>
      </c>
      <c r="U334" s="7">
        <v>34</v>
      </c>
      <c r="V334" s="7">
        <v>29</v>
      </c>
      <c r="W334" s="7">
        <v>32</v>
      </c>
      <c r="X334" s="7">
        <v>42</v>
      </c>
      <c r="Y334" s="7">
        <v>47</v>
      </c>
      <c r="Z334" s="7">
        <v>53</v>
      </c>
      <c r="AA334" s="7">
        <v>58</v>
      </c>
      <c r="AB334" s="7">
        <v>69</v>
      </c>
      <c r="AC334" s="7">
        <v>59</v>
      </c>
      <c r="AD334" s="7">
        <v>59</v>
      </c>
      <c r="AE334" s="7">
        <v>55</v>
      </c>
      <c r="AF334" s="7">
        <v>53</v>
      </c>
      <c r="AG334" s="7">
        <v>53</v>
      </c>
      <c r="AH334" s="7">
        <v>59</v>
      </c>
      <c r="AI334" s="7">
        <v>45</v>
      </c>
      <c r="AJ334" s="7">
        <v>45</v>
      </c>
      <c r="AK334" s="7">
        <v>50</v>
      </c>
      <c r="AL334" s="7">
        <v>40</v>
      </c>
      <c r="AM334" s="7">
        <v>30</v>
      </c>
      <c r="AN334" s="7">
        <v>15</v>
      </c>
      <c r="AO334" s="7">
        <v>15</v>
      </c>
      <c r="AP334" s="7">
        <v>16</v>
      </c>
      <c r="AQ334" s="7">
        <v>20</v>
      </c>
      <c r="AR334" s="7">
        <v>21</v>
      </c>
      <c r="AS334" s="7">
        <v>25</v>
      </c>
      <c r="AT334" s="7">
        <v>0</v>
      </c>
      <c r="AU334" s="7">
        <v>0</v>
      </c>
      <c r="AV334" s="7">
        <v>0</v>
      </c>
      <c r="AW334" s="7">
        <v>40</v>
      </c>
      <c r="AX334" s="7">
        <v>30</v>
      </c>
      <c r="AY334" s="7">
        <v>50</v>
      </c>
      <c r="AZ334" s="7">
        <v>50</v>
      </c>
      <c r="BA334" s="7">
        <v>60</v>
      </c>
      <c r="BB334" s="15">
        <v>65</v>
      </c>
      <c r="BC334" s="21">
        <f t="shared" ref="BC334:BH334" si="87">AW334/AX$83</f>
        <v>5.0018757033887711E-3</v>
      </c>
      <c r="BD334" s="21">
        <f t="shared" si="87"/>
        <v>4.4300059066745426E-3</v>
      </c>
      <c r="BE334" s="21">
        <f t="shared" si="87"/>
        <v>7.8088396064344839E-3</v>
      </c>
      <c r="BF334" s="21">
        <f t="shared" si="87"/>
        <v>7.0165590794274485E-3</v>
      </c>
      <c r="BG334" s="21">
        <f t="shared" si="87"/>
        <v>9.2307692307692316E-3</v>
      </c>
      <c r="BH334" s="21" t="e">
        <f t="shared" si="87"/>
        <v>#DIV/0!</v>
      </c>
      <c r="BI334" s="5"/>
      <c r="BJ334" s="23" t="e">
        <f>AVERAGE(BF334,BG334,BH334)</f>
        <v>#DIV/0!</v>
      </c>
    </row>
    <row r="335" spans="1:62" s="5" customFormat="1" x14ac:dyDescent="0.25">
      <c r="A335" s="14"/>
      <c r="B335" s="2"/>
      <c r="C335" s="2" t="s">
        <v>45</v>
      </c>
      <c r="D335" s="4">
        <v>0</v>
      </c>
      <c r="E335" s="4">
        <v>0</v>
      </c>
      <c r="F335" s="4">
        <v>0</v>
      </c>
      <c r="G335" s="4">
        <v>0</v>
      </c>
      <c r="H335" s="4">
        <v>0</v>
      </c>
      <c r="I335" s="4">
        <v>0</v>
      </c>
      <c r="J335" s="4">
        <v>0</v>
      </c>
      <c r="K335" s="4">
        <v>0</v>
      </c>
      <c r="L335" s="4">
        <v>0</v>
      </c>
      <c r="M335" s="4">
        <v>0</v>
      </c>
      <c r="N335" s="4">
        <v>0</v>
      </c>
      <c r="O335" s="4">
        <v>0</v>
      </c>
      <c r="P335" s="4">
        <v>122</v>
      </c>
      <c r="Q335" s="4">
        <v>71</v>
      </c>
      <c r="R335" s="4">
        <v>106</v>
      </c>
      <c r="S335" s="4">
        <v>154</v>
      </c>
      <c r="T335" s="4">
        <v>311</v>
      </c>
      <c r="U335" s="4">
        <v>502</v>
      </c>
      <c r="V335" s="4">
        <v>509</v>
      </c>
      <c r="W335" s="4">
        <v>700</v>
      </c>
      <c r="X335" s="4">
        <v>900</v>
      </c>
      <c r="Y335" s="4">
        <v>940</v>
      </c>
      <c r="Z335" s="4">
        <v>885</v>
      </c>
      <c r="AA335" s="4">
        <v>580</v>
      </c>
      <c r="AB335" s="4">
        <v>626</v>
      </c>
      <c r="AC335" s="4">
        <v>600</v>
      </c>
      <c r="AD335" s="4">
        <v>578</v>
      </c>
      <c r="AE335" s="4">
        <v>505</v>
      </c>
      <c r="AF335" s="4">
        <v>400</v>
      </c>
      <c r="AG335" s="4">
        <v>396</v>
      </c>
      <c r="AH335" s="4">
        <v>480</v>
      </c>
      <c r="AI335" s="4">
        <v>560</v>
      </c>
      <c r="AJ335" s="4">
        <v>430</v>
      </c>
      <c r="AK335" s="4">
        <v>510</v>
      </c>
      <c r="AL335" s="4">
        <v>490</v>
      </c>
      <c r="AM335" s="4">
        <v>542</v>
      </c>
      <c r="AN335" s="4">
        <v>555</v>
      </c>
      <c r="AO335" s="4">
        <v>660</v>
      </c>
      <c r="AP335" s="4">
        <v>700</v>
      </c>
      <c r="AQ335" s="4">
        <v>825</v>
      </c>
      <c r="AR335" s="4">
        <v>714</v>
      </c>
      <c r="AS335" s="4">
        <v>775</v>
      </c>
      <c r="AT335" s="3">
        <v>1000</v>
      </c>
      <c r="AU335" s="3">
        <v>1150</v>
      </c>
      <c r="AV335" s="3">
        <v>1150</v>
      </c>
      <c r="AW335" s="3">
        <v>1200</v>
      </c>
      <c r="AX335" s="3">
        <v>1240</v>
      </c>
      <c r="AY335" s="3">
        <v>1485</v>
      </c>
      <c r="AZ335" s="3">
        <v>1250</v>
      </c>
      <c r="BA335" s="3">
        <v>1400</v>
      </c>
      <c r="BB335" s="24">
        <v>1525</v>
      </c>
      <c r="BC335" s="21">
        <f t="shared" ref="BC335:BH335" si="88">AW335/AX$63</f>
        <v>2.3300970873786406</v>
      </c>
      <c r="BD335" s="21">
        <f t="shared" si="88"/>
        <v>7.5609756097560972</v>
      </c>
      <c r="BE335" s="21">
        <f t="shared" si="88"/>
        <v>29.7</v>
      </c>
      <c r="BF335" s="21">
        <f t="shared" si="88"/>
        <v>8.2781456953642376</v>
      </c>
      <c r="BG335" s="21">
        <f t="shared" si="88"/>
        <v>2.1538461538461537</v>
      </c>
      <c r="BH335" s="21" t="e">
        <f t="shared" si="88"/>
        <v>#DIV/0!</v>
      </c>
      <c r="BJ335" s="23" t="e">
        <f>AVERAGE(BF335,BG335,BH335)</f>
        <v>#DIV/0!</v>
      </c>
    </row>
    <row r="336" spans="1:62" x14ac:dyDescent="0.25">
      <c r="A336" s="14"/>
      <c r="B336" s="6"/>
      <c r="C336" s="6" t="s">
        <v>44</v>
      </c>
      <c r="D336" s="7">
        <v>0</v>
      </c>
      <c r="E336" s="7">
        <v>0</v>
      </c>
      <c r="F336" s="7">
        <v>0</v>
      </c>
      <c r="G336" s="7">
        <v>0</v>
      </c>
      <c r="H336" s="7">
        <v>0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0</v>
      </c>
      <c r="Q336" s="7">
        <v>0</v>
      </c>
      <c r="R336" s="7">
        <v>0</v>
      </c>
      <c r="S336" s="7">
        <v>0</v>
      </c>
      <c r="T336" s="7">
        <v>1</v>
      </c>
      <c r="U336" s="7">
        <v>1</v>
      </c>
      <c r="V336" s="7">
        <v>0</v>
      </c>
      <c r="W336" s="7">
        <v>0</v>
      </c>
      <c r="X336" s="7">
        <v>0</v>
      </c>
      <c r="Y336" s="7">
        <v>0</v>
      </c>
      <c r="Z336" s="7">
        <v>100</v>
      </c>
      <c r="AA336" s="7">
        <v>0</v>
      </c>
      <c r="AB336" s="7">
        <v>0</v>
      </c>
      <c r="AC336" s="7">
        <v>50</v>
      </c>
      <c r="AD336" s="7">
        <v>10</v>
      </c>
      <c r="AE336" s="7">
        <v>10</v>
      </c>
      <c r="AF336" s="7">
        <v>0</v>
      </c>
      <c r="AG336" s="7">
        <v>20</v>
      </c>
      <c r="AH336" s="7">
        <v>25</v>
      </c>
      <c r="AI336" s="7">
        <v>35</v>
      </c>
      <c r="AJ336" s="7">
        <v>30</v>
      </c>
      <c r="AK336" s="7">
        <v>30</v>
      </c>
      <c r="AL336" s="7">
        <v>30</v>
      </c>
      <c r="AM336" s="7">
        <v>12</v>
      </c>
      <c r="AN336" s="7">
        <v>10</v>
      </c>
      <c r="AO336" s="7">
        <v>20</v>
      </c>
      <c r="AP336" s="7">
        <v>20</v>
      </c>
      <c r="AQ336" s="7">
        <v>20</v>
      </c>
      <c r="AR336" s="7">
        <v>100</v>
      </c>
      <c r="AS336" s="7">
        <v>100</v>
      </c>
      <c r="AT336" s="7">
        <v>100</v>
      </c>
      <c r="AU336" s="7">
        <v>100</v>
      </c>
      <c r="AV336" s="7">
        <v>100</v>
      </c>
      <c r="AW336" s="7">
        <v>100</v>
      </c>
      <c r="AX336" s="7">
        <v>100</v>
      </c>
      <c r="AY336" s="7">
        <v>150</v>
      </c>
      <c r="AZ336" s="7">
        <v>150</v>
      </c>
      <c r="BA336" s="7">
        <v>200</v>
      </c>
      <c r="BB336" s="15">
        <v>250</v>
      </c>
      <c r="BC336" s="21">
        <f t="shared" ref="BC336:BH336" si="89">AW336/AX$42</f>
        <v>0.85470085470085466</v>
      </c>
      <c r="BD336" s="21">
        <f t="shared" si="89"/>
        <v>7.6923076923076925</v>
      </c>
      <c r="BE336" s="21">
        <f t="shared" si="89"/>
        <v>3.4090909090909092</v>
      </c>
      <c r="BF336" s="21">
        <f t="shared" si="89"/>
        <v>1.056338028169014</v>
      </c>
      <c r="BG336" s="21">
        <f t="shared" si="89"/>
        <v>0.32894736842105265</v>
      </c>
      <c r="BH336" s="21" t="e">
        <f t="shared" si="89"/>
        <v>#DIV/0!</v>
      </c>
      <c r="BI336" s="5"/>
      <c r="BJ336" s="23" t="e">
        <f>AVERAGE(BF336,BG336,BH336)</f>
        <v>#DIV/0!</v>
      </c>
    </row>
    <row r="337" spans="1:62" s="5" customFormat="1" ht="30" x14ac:dyDescent="0.25">
      <c r="A337" s="14"/>
      <c r="B337" s="2"/>
      <c r="C337" s="2" t="s">
        <v>43</v>
      </c>
      <c r="D337" s="4">
        <v>0</v>
      </c>
      <c r="E337" s="4">
        <v>0</v>
      </c>
      <c r="F337" s="4">
        <v>0</v>
      </c>
      <c r="G337" s="4">
        <v>0</v>
      </c>
      <c r="H337" s="4">
        <v>0</v>
      </c>
      <c r="I337" s="4">
        <v>0</v>
      </c>
      <c r="J337" s="4">
        <v>0</v>
      </c>
      <c r="K337" s="4">
        <v>0</v>
      </c>
      <c r="L337" s="4">
        <v>0</v>
      </c>
      <c r="M337" s="4">
        <v>0</v>
      </c>
      <c r="N337" s="4">
        <v>0</v>
      </c>
      <c r="O337" s="4">
        <v>0</v>
      </c>
      <c r="P337" s="4">
        <v>0</v>
      </c>
      <c r="Q337" s="4">
        <v>180</v>
      </c>
      <c r="R337" s="4">
        <v>185</v>
      </c>
      <c r="S337" s="4">
        <v>200</v>
      </c>
      <c r="T337" s="4">
        <v>375</v>
      </c>
      <c r="U337" s="4">
        <v>542</v>
      </c>
      <c r="V337" s="4">
        <v>531</v>
      </c>
      <c r="W337" s="4">
        <v>710</v>
      </c>
      <c r="X337" s="4">
        <v>935</v>
      </c>
      <c r="Y337" s="4">
        <v>988</v>
      </c>
      <c r="Z337" s="4">
        <v>868</v>
      </c>
      <c r="AA337" s="4">
        <v>644</v>
      </c>
      <c r="AB337" s="4">
        <v>690</v>
      </c>
      <c r="AC337" s="4">
        <v>604</v>
      </c>
      <c r="AD337" s="4">
        <v>597</v>
      </c>
      <c r="AE337" s="4">
        <v>530</v>
      </c>
      <c r="AF337" s="4">
        <v>463</v>
      </c>
      <c r="AG337" s="4">
        <v>429</v>
      </c>
      <c r="AH337" s="4">
        <v>504</v>
      </c>
      <c r="AI337" s="4">
        <v>510</v>
      </c>
      <c r="AJ337" s="4">
        <v>505</v>
      </c>
      <c r="AK337" s="4">
        <v>470</v>
      </c>
      <c r="AL337" s="4">
        <v>500</v>
      </c>
      <c r="AM337" s="4">
        <v>590</v>
      </c>
      <c r="AN337" s="4">
        <v>600</v>
      </c>
      <c r="AO337" s="4">
        <v>640</v>
      </c>
      <c r="AP337" s="4">
        <v>675</v>
      </c>
      <c r="AQ337" s="4">
        <v>715</v>
      </c>
      <c r="AR337" s="4">
        <v>721</v>
      </c>
      <c r="AS337" s="4">
        <v>730</v>
      </c>
      <c r="AT337" s="4">
        <v>900</v>
      </c>
      <c r="AU337" s="3">
        <v>1050</v>
      </c>
      <c r="AV337" s="3">
        <v>1050</v>
      </c>
      <c r="AW337" s="3">
        <v>1140</v>
      </c>
      <c r="AX337" s="3">
        <v>1170</v>
      </c>
      <c r="AY337" s="3">
        <v>1270</v>
      </c>
      <c r="AZ337" s="3">
        <v>1085</v>
      </c>
      <c r="BA337" s="3">
        <v>1210</v>
      </c>
      <c r="BB337" s="24">
        <v>1280</v>
      </c>
      <c r="BC337" s="20">
        <f t="shared" ref="BC337:BH337" si="90">AW337/AW$25</f>
        <v>0.68059701492537317</v>
      </c>
      <c r="BD337" s="20">
        <f t="shared" si="90"/>
        <v>0.68421052631578949</v>
      </c>
      <c r="BE337" s="20">
        <f t="shared" si="90"/>
        <v>0.70752089136490248</v>
      </c>
      <c r="BF337" s="20">
        <f t="shared" si="90"/>
        <v>0.62716763005780352</v>
      </c>
      <c r="BG337" s="20">
        <f t="shared" si="90"/>
        <v>0.69942196531791911</v>
      </c>
      <c r="BH337" s="20">
        <f t="shared" si="90"/>
        <v>0.72727272727272729</v>
      </c>
      <c r="BI337"/>
      <c r="BJ337" s="23">
        <f>AVERAGE(BF337,BG337,BH337)</f>
        <v>0.68462077421614997</v>
      </c>
    </row>
    <row r="338" spans="1:62" s="5" customFormat="1" x14ac:dyDescent="0.25">
      <c r="A338" s="14"/>
      <c r="B338" s="6" t="s">
        <v>15</v>
      </c>
      <c r="C338" s="6" t="s">
        <v>6</v>
      </c>
      <c r="D338" s="7">
        <v>0</v>
      </c>
      <c r="E338" s="7">
        <v>0</v>
      </c>
      <c r="F338" s="7">
        <v>0</v>
      </c>
      <c r="G338" s="7">
        <v>0</v>
      </c>
      <c r="H338" s="7">
        <v>0</v>
      </c>
      <c r="I338" s="7">
        <v>0</v>
      </c>
      <c r="J338" s="7">
        <v>0</v>
      </c>
      <c r="K338" s="7">
        <v>0</v>
      </c>
      <c r="L338" s="7">
        <v>5</v>
      </c>
      <c r="M338" s="7">
        <v>6</v>
      </c>
      <c r="N338" s="7">
        <v>6</v>
      </c>
      <c r="O338" s="7">
        <v>7</v>
      </c>
      <c r="P338" s="7">
        <v>6</v>
      </c>
      <c r="Q338" s="7">
        <v>4</v>
      </c>
      <c r="R338" s="7">
        <v>6</v>
      </c>
      <c r="S338" s="7">
        <v>18</v>
      </c>
      <c r="T338" s="7">
        <v>20</v>
      </c>
      <c r="U338" s="7">
        <v>21</v>
      </c>
      <c r="V338" s="7">
        <v>22</v>
      </c>
      <c r="W338" s="7">
        <v>23</v>
      </c>
      <c r="X338" s="7">
        <v>24</v>
      </c>
      <c r="Y338" s="7">
        <v>25</v>
      </c>
      <c r="Z338" s="7">
        <v>30</v>
      </c>
      <c r="AA338" s="7">
        <v>35</v>
      </c>
      <c r="AB338" s="7">
        <v>42</v>
      </c>
      <c r="AC338" s="7">
        <v>10</v>
      </c>
      <c r="AD338" s="7">
        <v>15</v>
      </c>
      <c r="AE338" s="7">
        <v>30</v>
      </c>
      <c r="AF338" s="7">
        <v>50</v>
      </c>
      <c r="AG338" s="7">
        <v>60</v>
      </c>
      <c r="AH338" s="7">
        <v>50</v>
      </c>
      <c r="AI338" s="7">
        <v>60</v>
      </c>
      <c r="AJ338" s="7">
        <v>40</v>
      </c>
      <c r="AK338" s="7">
        <v>30</v>
      </c>
      <c r="AL338" s="7">
        <v>30</v>
      </c>
      <c r="AM338" s="7">
        <v>50</v>
      </c>
      <c r="AN338" s="7">
        <v>35</v>
      </c>
      <c r="AO338" s="7">
        <v>20</v>
      </c>
      <c r="AP338" s="7">
        <v>40</v>
      </c>
      <c r="AQ338" s="7">
        <v>45</v>
      </c>
      <c r="AR338" s="7">
        <v>45</v>
      </c>
      <c r="AS338" s="7">
        <v>50</v>
      </c>
      <c r="AT338" s="7">
        <v>75</v>
      </c>
      <c r="AU338" s="7">
        <v>60</v>
      </c>
      <c r="AV338" s="7">
        <v>70</v>
      </c>
      <c r="AW338" s="7">
        <v>85</v>
      </c>
      <c r="AX338" s="7">
        <v>100</v>
      </c>
      <c r="AY338" s="7">
        <v>100</v>
      </c>
      <c r="AZ338" s="7">
        <v>100</v>
      </c>
      <c r="BA338" s="7">
        <v>100</v>
      </c>
      <c r="BB338" s="7">
        <v>100</v>
      </c>
      <c r="BC338" s="15">
        <v>0</v>
      </c>
      <c r="BD338" s="21">
        <f t="shared" ref="BD338:BI341" si="91">AW338/AW571</f>
        <v>1.3728809179243333E-4</v>
      </c>
      <c r="BE338" s="21">
        <f t="shared" si="91"/>
        <v>1.6771404085178608E-4</v>
      </c>
      <c r="BF338" s="21">
        <f t="shared" si="91"/>
        <v>1.6337333257092444E-4</v>
      </c>
      <c r="BG338" s="21">
        <f t="shared" si="91"/>
        <v>1.4658672803764347E-4</v>
      </c>
      <c r="BH338" s="21">
        <f t="shared" si="91"/>
        <v>1.462400940616285E-4</v>
      </c>
      <c r="BI338" s="21">
        <f t="shared" si="91"/>
        <v>1.5451627906258063E-4</v>
      </c>
      <c r="BJ338" s="23">
        <f t="shared" ref="BJ338:BJ401" si="92">AVERAGE(BH338,BI338,BG338)</f>
        <v>1.491143670539509E-4</v>
      </c>
    </row>
    <row r="339" spans="1:62" x14ac:dyDescent="0.25">
      <c r="A339" s="12"/>
      <c r="B339" s="2"/>
      <c r="C339" s="2" t="s">
        <v>7</v>
      </c>
      <c r="D339" s="4">
        <v>78</v>
      </c>
      <c r="E339" s="4">
        <v>101</v>
      </c>
      <c r="F339" s="4">
        <v>87</v>
      </c>
      <c r="G339" s="4">
        <v>74</v>
      </c>
      <c r="H339" s="4">
        <v>76</v>
      </c>
      <c r="I339" s="4">
        <v>140</v>
      </c>
      <c r="J339" s="4">
        <v>170</v>
      </c>
      <c r="K339" s="4">
        <v>130</v>
      </c>
      <c r="L339" s="4">
        <v>144</v>
      </c>
      <c r="M339" s="4">
        <v>244</v>
      </c>
      <c r="N339" s="4">
        <v>385</v>
      </c>
      <c r="O339" s="4">
        <v>350</v>
      </c>
      <c r="P339" s="4">
        <v>397</v>
      </c>
      <c r="Q339" s="4">
        <v>326</v>
      </c>
      <c r="R339" s="4">
        <v>342</v>
      </c>
      <c r="S339" s="4">
        <v>519</v>
      </c>
      <c r="T339" s="4">
        <v>815</v>
      </c>
      <c r="U339" s="3">
        <v>1020</v>
      </c>
      <c r="V339" s="3">
        <v>1300</v>
      </c>
      <c r="W339" s="3">
        <v>1350</v>
      </c>
      <c r="X339" s="3">
        <v>1400</v>
      </c>
      <c r="Y339" s="3">
        <v>1550</v>
      </c>
      <c r="Z339" s="3">
        <v>1500</v>
      </c>
      <c r="AA339" s="3">
        <v>1600</v>
      </c>
      <c r="AB339" s="3">
        <v>1750</v>
      </c>
      <c r="AC339" s="3">
        <v>1200</v>
      </c>
      <c r="AD339" s="3">
        <v>1000</v>
      </c>
      <c r="AE339" s="4">
        <v>200</v>
      </c>
      <c r="AF339" s="4">
        <v>250</v>
      </c>
      <c r="AG339" s="4">
        <v>300</v>
      </c>
      <c r="AH339" s="4">
        <v>480</v>
      </c>
      <c r="AI339" s="4">
        <v>450</v>
      </c>
      <c r="AJ339" s="4">
        <v>753</v>
      </c>
      <c r="AK339" s="4">
        <v>816</v>
      </c>
      <c r="AL339" s="4">
        <v>560</v>
      </c>
      <c r="AM339" s="4">
        <v>674</v>
      </c>
      <c r="AN339" s="4">
        <v>986</v>
      </c>
      <c r="AO339" s="3">
        <v>1145</v>
      </c>
      <c r="AP339" s="3">
        <v>1466</v>
      </c>
      <c r="AQ339" s="3">
        <v>1282</v>
      </c>
      <c r="AR339" s="3">
        <v>1913</v>
      </c>
      <c r="AS339" s="3">
        <v>2446</v>
      </c>
      <c r="AT339" s="3">
        <v>2304</v>
      </c>
      <c r="AU339" s="3">
        <v>2383</v>
      </c>
      <c r="AV339" s="3">
        <v>3014</v>
      </c>
      <c r="AW339" s="3">
        <v>3679</v>
      </c>
      <c r="AX339" s="3">
        <v>3265</v>
      </c>
      <c r="AY339" s="3">
        <v>2633</v>
      </c>
      <c r="AZ339" s="3">
        <v>3550</v>
      </c>
      <c r="BA339" s="3">
        <v>4079</v>
      </c>
      <c r="BB339" s="3">
        <v>3700</v>
      </c>
      <c r="BC339" s="13">
        <v>0</v>
      </c>
      <c r="BD339" s="20">
        <f t="shared" si="91"/>
        <v>3.2972745279044965E-2</v>
      </c>
      <c r="BE339" s="20">
        <f t="shared" si="91"/>
        <v>2.8638341169040769E-2</v>
      </c>
      <c r="BF339" s="20">
        <f t="shared" si="91"/>
        <v>2.3136066077940335E-2</v>
      </c>
      <c r="BG339" s="20">
        <f t="shared" si="91"/>
        <v>2.5925087451527388E-2</v>
      </c>
      <c r="BH339" s="20">
        <f t="shared" si="91"/>
        <v>3.0564609793563374E-2</v>
      </c>
      <c r="BI339" s="20">
        <f t="shared" si="91"/>
        <v>3.0161240360630615E-2</v>
      </c>
      <c r="BJ339" s="23">
        <f t="shared" si="92"/>
        <v>2.8883645868573792E-2</v>
      </c>
    </row>
    <row r="340" spans="1:62" s="5" customFormat="1" x14ac:dyDescent="0.25">
      <c r="A340" s="14"/>
      <c r="B340" s="6"/>
      <c r="C340" s="6" t="s">
        <v>8</v>
      </c>
      <c r="D340" s="7">
        <v>0</v>
      </c>
      <c r="E340" s="7">
        <v>0</v>
      </c>
      <c r="F340" s="7">
        <v>0</v>
      </c>
      <c r="G340" s="7">
        <v>0</v>
      </c>
      <c r="H340" s="7">
        <v>23</v>
      </c>
      <c r="I340" s="7">
        <v>4</v>
      </c>
      <c r="J340" s="7">
        <v>0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0</v>
      </c>
      <c r="Q340" s="7">
        <v>0</v>
      </c>
      <c r="R340" s="7">
        <v>0</v>
      </c>
      <c r="S340" s="7">
        <v>0</v>
      </c>
      <c r="T340" s="7">
        <v>0</v>
      </c>
      <c r="U340" s="7">
        <v>0</v>
      </c>
      <c r="V340" s="7">
        <v>0</v>
      </c>
      <c r="W340" s="7">
        <v>0</v>
      </c>
      <c r="X340" s="7">
        <v>0</v>
      </c>
      <c r="Y340" s="7">
        <v>0</v>
      </c>
      <c r="Z340" s="7">
        <v>0</v>
      </c>
      <c r="AA340" s="7">
        <v>0</v>
      </c>
      <c r="AB340" s="7">
        <v>0</v>
      </c>
      <c r="AC340" s="7">
        <v>0</v>
      </c>
      <c r="AD340" s="7">
        <v>0</v>
      </c>
      <c r="AE340" s="7">
        <v>0</v>
      </c>
      <c r="AF340" s="7">
        <v>0</v>
      </c>
      <c r="AG340" s="7">
        <v>0</v>
      </c>
      <c r="AH340" s="7">
        <v>0</v>
      </c>
      <c r="AI340" s="7">
        <v>0</v>
      </c>
      <c r="AJ340" s="7">
        <v>0</v>
      </c>
      <c r="AK340" s="7">
        <v>0</v>
      </c>
      <c r="AL340" s="7">
        <v>0</v>
      </c>
      <c r="AM340" s="7">
        <v>0</v>
      </c>
      <c r="AN340" s="7">
        <v>0</v>
      </c>
      <c r="AO340" s="7">
        <v>0</v>
      </c>
      <c r="AP340" s="7">
        <v>0</v>
      </c>
      <c r="AQ340" s="7">
        <v>0</v>
      </c>
      <c r="AR340" s="7">
        <v>0</v>
      </c>
      <c r="AS340" s="7">
        <v>0</v>
      </c>
      <c r="AT340" s="7">
        <v>0</v>
      </c>
      <c r="AU340" s="7">
        <v>0</v>
      </c>
      <c r="AV340" s="7">
        <v>0</v>
      </c>
      <c r="AW340" s="7">
        <v>0</v>
      </c>
      <c r="AX340" s="7">
        <v>0</v>
      </c>
      <c r="AY340" s="7">
        <v>0</v>
      </c>
      <c r="AZ340" s="7">
        <v>0</v>
      </c>
      <c r="BA340" s="7">
        <v>0</v>
      </c>
      <c r="BB340" s="7">
        <v>0</v>
      </c>
      <c r="BC340" s="15">
        <v>0</v>
      </c>
      <c r="BD340" s="21">
        <f t="shared" si="91"/>
        <v>0</v>
      </c>
      <c r="BE340" s="21">
        <f t="shared" si="91"/>
        <v>0</v>
      </c>
      <c r="BF340" s="21">
        <f t="shared" si="91"/>
        <v>0</v>
      </c>
      <c r="BG340" s="21">
        <f t="shared" si="91"/>
        <v>0</v>
      </c>
      <c r="BH340" s="21">
        <f t="shared" si="91"/>
        <v>0</v>
      </c>
      <c r="BI340" s="21">
        <f t="shared" si="91"/>
        <v>0</v>
      </c>
      <c r="BJ340" s="23">
        <f t="shared" si="92"/>
        <v>0</v>
      </c>
    </row>
    <row r="341" spans="1:62" x14ac:dyDescent="0.25">
      <c r="A341" s="12"/>
      <c r="B341" s="2"/>
      <c r="C341" s="2" t="s">
        <v>9</v>
      </c>
      <c r="D341" s="4">
        <v>78</v>
      </c>
      <c r="E341" s="4">
        <v>101</v>
      </c>
      <c r="F341" s="4">
        <v>87</v>
      </c>
      <c r="G341" s="4">
        <v>74</v>
      </c>
      <c r="H341" s="4">
        <v>53</v>
      </c>
      <c r="I341" s="4">
        <v>126</v>
      </c>
      <c r="J341" s="4">
        <v>160</v>
      </c>
      <c r="K341" s="4">
        <v>131</v>
      </c>
      <c r="L341" s="4">
        <v>145</v>
      </c>
      <c r="M341" s="4">
        <v>237</v>
      </c>
      <c r="N341" s="4">
        <v>400</v>
      </c>
      <c r="O341" s="4">
        <v>354</v>
      </c>
      <c r="P341" s="4">
        <v>413</v>
      </c>
      <c r="Q341" s="4">
        <v>335</v>
      </c>
      <c r="R341" s="4">
        <v>343</v>
      </c>
      <c r="S341" s="4">
        <v>517</v>
      </c>
      <c r="T341" s="4">
        <v>815</v>
      </c>
      <c r="U341" s="3">
        <v>1028</v>
      </c>
      <c r="V341" s="3">
        <v>1270</v>
      </c>
      <c r="W341" s="3">
        <v>1391</v>
      </c>
      <c r="X341" s="3">
        <v>1429</v>
      </c>
      <c r="Y341" s="3">
        <v>1570</v>
      </c>
      <c r="Z341" s="3">
        <v>1565</v>
      </c>
      <c r="AA341" s="3">
        <v>1595</v>
      </c>
      <c r="AB341" s="3">
        <v>1774</v>
      </c>
      <c r="AC341" s="3">
        <v>1235</v>
      </c>
      <c r="AD341" s="4">
        <v>920</v>
      </c>
      <c r="AE341" s="4">
        <v>410</v>
      </c>
      <c r="AF341" s="4">
        <v>300</v>
      </c>
      <c r="AG341" s="4">
        <v>360</v>
      </c>
      <c r="AH341" s="4">
        <v>510</v>
      </c>
      <c r="AI341" s="4">
        <v>510</v>
      </c>
      <c r="AJ341" s="4">
        <v>713</v>
      </c>
      <c r="AK341" s="4">
        <v>791</v>
      </c>
      <c r="AL341" s="4">
        <v>715</v>
      </c>
      <c r="AM341" s="4">
        <v>724</v>
      </c>
      <c r="AN341" s="3">
        <v>1021</v>
      </c>
      <c r="AO341" s="3">
        <v>1165</v>
      </c>
      <c r="AP341" s="3">
        <v>1356</v>
      </c>
      <c r="AQ341" s="3">
        <v>1327</v>
      </c>
      <c r="AR341" s="3">
        <v>1958</v>
      </c>
      <c r="AS341" s="3">
        <v>2496</v>
      </c>
      <c r="AT341" s="3">
        <v>2379</v>
      </c>
      <c r="AU341" s="3">
        <v>2443</v>
      </c>
      <c r="AV341" s="3">
        <v>3084</v>
      </c>
      <c r="AW341" s="3">
        <v>3764</v>
      </c>
      <c r="AX341" s="3">
        <v>3365</v>
      </c>
      <c r="AY341" s="3">
        <v>2833</v>
      </c>
      <c r="AZ341" s="3">
        <v>3550</v>
      </c>
      <c r="BA341" s="3">
        <v>4179</v>
      </c>
      <c r="BB341" s="3">
        <v>3800</v>
      </c>
      <c r="BC341" s="13">
        <v>0</v>
      </c>
      <c r="BD341" s="20">
        <f t="shared" si="91"/>
        <v>6.1035231468494046E-3</v>
      </c>
      <c r="BE341" s="20">
        <f t="shared" si="91"/>
        <v>5.4424123229800808E-3</v>
      </c>
      <c r="BF341" s="20">
        <f t="shared" si="91"/>
        <v>4.6194234281241846E-3</v>
      </c>
      <c r="BG341" s="20">
        <f t="shared" si="91"/>
        <v>5.5927089979598424E-3</v>
      </c>
      <c r="BH341" s="20">
        <f t="shared" si="91"/>
        <v>6.4271641887454645E-3</v>
      </c>
      <c r="BI341" s="20">
        <f t="shared" si="91"/>
        <v>5.7508316005169691E-3</v>
      </c>
      <c r="BJ341" s="23">
        <f t="shared" si="92"/>
        <v>5.9235682624074254E-3</v>
      </c>
    </row>
    <row r="342" spans="1:62" s="5" customFormat="1" x14ac:dyDescent="0.25">
      <c r="A342" s="14" t="s">
        <v>28</v>
      </c>
      <c r="B342" s="6" t="s">
        <v>5</v>
      </c>
      <c r="C342" s="6" t="s">
        <v>6</v>
      </c>
      <c r="D342" s="7">
        <v>439</v>
      </c>
      <c r="E342" s="7">
        <v>488</v>
      </c>
      <c r="F342" s="7">
        <v>489</v>
      </c>
      <c r="G342" s="7">
        <v>526</v>
      </c>
      <c r="H342" s="7">
        <v>528</v>
      </c>
      <c r="I342" s="7">
        <v>540</v>
      </c>
      <c r="J342" s="7">
        <v>587</v>
      </c>
      <c r="K342" s="7">
        <v>792</v>
      </c>
      <c r="L342" s="7">
        <v>626</v>
      </c>
      <c r="M342" s="7">
        <v>668</v>
      </c>
      <c r="N342" s="7">
        <v>717</v>
      </c>
      <c r="O342" s="7">
        <v>705</v>
      </c>
      <c r="P342" s="7">
        <v>715</v>
      </c>
      <c r="Q342" s="7">
        <v>767</v>
      </c>
      <c r="R342" s="7">
        <v>747</v>
      </c>
      <c r="S342" s="7">
        <v>803</v>
      </c>
      <c r="T342" s="7">
        <v>764</v>
      </c>
      <c r="U342" s="7">
        <v>821</v>
      </c>
      <c r="V342" s="7">
        <v>798</v>
      </c>
      <c r="W342" s="7">
        <v>875</v>
      </c>
      <c r="X342" s="7">
        <v>946</v>
      </c>
      <c r="Y342" s="7">
        <v>930</v>
      </c>
      <c r="Z342" s="8">
        <v>1005</v>
      </c>
      <c r="AA342" s="8">
        <v>1013</v>
      </c>
      <c r="AB342" s="8">
        <v>1028</v>
      </c>
      <c r="AC342" s="8">
        <v>1009</v>
      </c>
      <c r="AD342" s="8">
        <v>1111</v>
      </c>
      <c r="AE342" s="8">
        <v>1127</v>
      </c>
      <c r="AF342" s="8">
        <v>1204</v>
      </c>
      <c r="AG342" s="8">
        <v>1179</v>
      </c>
      <c r="AH342" s="8">
        <v>1185</v>
      </c>
      <c r="AI342" s="8">
        <v>1100</v>
      </c>
      <c r="AJ342" s="8">
        <v>1100</v>
      </c>
      <c r="AK342" s="8">
        <v>1213</v>
      </c>
      <c r="AL342" s="8">
        <v>1318</v>
      </c>
      <c r="AM342" s="8">
        <v>1504</v>
      </c>
      <c r="AN342" s="8">
        <v>1491</v>
      </c>
      <c r="AO342" s="8">
        <v>1517</v>
      </c>
      <c r="AP342" s="8">
        <v>1665</v>
      </c>
      <c r="AQ342" s="8">
        <v>1652</v>
      </c>
      <c r="AR342" s="8">
        <v>1643</v>
      </c>
      <c r="AS342" s="8">
        <v>1664</v>
      </c>
      <c r="AT342" s="8">
        <v>1737</v>
      </c>
      <c r="AU342" s="8">
        <v>1897</v>
      </c>
      <c r="AV342" s="8">
        <v>2797</v>
      </c>
      <c r="AW342" s="8">
        <v>3109</v>
      </c>
      <c r="AX342" s="8">
        <v>2971</v>
      </c>
      <c r="AY342" s="8">
        <v>2975</v>
      </c>
      <c r="AZ342" s="8">
        <v>3000</v>
      </c>
      <c r="BA342" s="8">
        <v>3000</v>
      </c>
      <c r="BB342" s="8">
        <v>3000</v>
      </c>
      <c r="BC342" s="15">
        <v>0</v>
      </c>
      <c r="BD342" s="21">
        <f t="shared" ref="BD342:BI351" si="93">AW342/AW547</f>
        <v>4.4448701709037565E-3</v>
      </c>
      <c r="BE342" s="21">
        <f t="shared" si="93"/>
        <v>4.1635660642038424E-3</v>
      </c>
      <c r="BF342" s="21">
        <f t="shared" si="93"/>
        <v>3.7446253612462115E-3</v>
      </c>
      <c r="BG342" s="21">
        <f t="shared" si="93"/>
        <v>3.7555206153044975E-3</v>
      </c>
      <c r="BH342" s="21">
        <f t="shared" si="93"/>
        <v>3.6926394617608719E-3</v>
      </c>
      <c r="BI342" s="21">
        <f t="shared" si="93"/>
        <v>3.6812480903525529E-3</v>
      </c>
      <c r="BJ342" s="23">
        <f t="shared" si="92"/>
        <v>3.7098027224726411E-3</v>
      </c>
    </row>
    <row r="343" spans="1:62" x14ac:dyDescent="0.25">
      <c r="A343" s="12"/>
      <c r="B343" s="2"/>
      <c r="C343" s="2" t="s">
        <v>7</v>
      </c>
      <c r="D343" s="4">
        <v>1</v>
      </c>
      <c r="E343" s="4">
        <v>1</v>
      </c>
      <c r="F343" s="4">
        <v>31</v>
      </c>
      <c r="G343" s="4">
        <v>3</v>
      </c>
      <c r="H343" s="4">
        <v>0</v>
      </c>
      <c r="I343" s="4">
        <v>0</v>
      </c>
      <c r="J343" s="4">
        <v>136</v>
      </c>
      <c r="K343" s="4">
        <v>269</v>
      </c>
      <c r="L343" s="4">
        <v>7</v>
      </c>
      <c r="M343" s="4">
        <v>2</v>
      </c>
      <c r="N343" s="4">
        <v>3</v>
      </c>
      <c r="O343" s="4">
        <v>2</v>
      </c>
      <c r="P343" s="4">
        <v>4</v>
      </c>
      <c r="Q343" s="4">
        <v>0</v>
      </c>
      <c r="R343" s="4">
        <v>0</v>
      </c>
      <c r="S343" s="4">
        <v>0</v>
      </c>
      <c r="T343" s="4">
        <v>0</v>
      </c>
      <c r="U343" s="4">
        <v>0</v>
      </c>
      <c r="V343" s="4">
        <v>0</v>
      </c>
      <c r="W343" s="4">
        <v>0</v>
      </c>
      <c r="X343" s="4">
        <v>0</v>
      </c>
      <c r="Y343" s="4">
        <v>0</v>
      </c>
      <c r="Z343" s="4">
        <v>0</v>
      </c>
      <c r="AA343" s="4">
        <v>0</v>
      </c>
      <c r="AB343" s="4">
        <v>0</v>
      </c>
      <c r="AC343" s="4">
        <v>0</v>
      </c>
      <c r="AD343" s="4">
        <v>0</v>
      </c>
      <c r="AE343" s="4">
        <v>0</v>
      </c>
      <c r="AF343" s="4">
        <v>0</v>
      </c>
      <c r="AG343" s="4">
        <v>0</v>
      </c>
      <c r="AH343" s="4">
        <v>0</v>
      </c>
      <c r="AI343" s="4">
        <v>0</v>
      </c>
      <c r="AJ343" s="4">
        <v>0</v>
      </c>
      <c r="AK343" s="4">
        <v>0</v>
      </c>
      <c r="AL343" s="4">
        <v>0</v>
      </c>
      <c r="AM343" s="4">
        <v>0</v>
      </c>
      <c r="AN343" s="4">
        <v>0</v>
      </c>
      <c r="AO343" s="4">
        <v>0</v>
      </c>
      <c r="AP343" s="4">
        <v>0</v>
      </c>
      <c r="AQ343" s="4">
        <v>0</v>
      </c>
      <c r="AR343" s="4">
        <v>1</v>
      </c>
      <c r="AS343" s="4">
        <v>1</v>
      </c>
      <c r="AT343" s="4">
        <v>3</v>
      </c>
      <c r="AU343" s="4">
        <v>19</v>
      </c>
      <c r="AV343" s="4">
        <v>21</v>
      </c>
      <c r="AW343" s="4">
        <v>11</v>
      </c>
      <c r="AX343" s="4">
        <v>6</v>
      </c>
      <c r="AY343" s="4">
        <v>131</v>
      </c>
      <c r="AZ343" s="4">
        <v>26</v>
      </c>
      <c r="BA343" s="4">
        <v>10</v>
      </c>
      <c r="BB343" s="4">
        <v>10</v>
      </c>
      <c r="BC343" s="13">
        <v>0</v>
      </c>
      <c r="BD343" s="20">
        <f t="shared" si="93"/>
        <v>1.3641888037304364E-4</v>
      </c>
      <c r="BE343" s="20">
        <f t="shared" si="93"/>
        <v>6.6244176032857112E-5</v>
      </c>
      <c r="BF343" s="20">
        <f t="shared" si="93"/>
        <v>1.3297197438005624E-3</v>
      </c>
      <c r="BG343" s="20">
        <f t="shared" si="93"/>
        <v>3.1481952365384385E-4</v>
      </c>
      <c r="BH343" s="20">
        <f t="shared" si="93"/>
        <v>1.1130651588343982E-4</v>
      </c>
      <c r="BI343" s="20">
        <f t="shared" si="93"/>
        <v>1.0904768655332977E-4</v>
      </c>
      <c r="BJ343" s="23">
        <f t="shared" si="92"/>
        <v>1.7839124203020447E-4</v>
      </c>
    </row>
    <row r="344" spans="1:62" s="5" customFormat="1" x14ac:dyDescent="0.25">
      <c r="A344" s="14"/>
      <c r="B344" s="6"/>
      <c r="C344" s="6" t="s">
        <v>8</v>
      </c>
      <c r="D344" s="7">
        <v>0</v>
      </c>
      <c r="E344" s="7">
        <v>0</v>
      </c>
      <c r="F344" s="7">
        <v>0</v>
      </c>
      <c r="G344" s="7">
        <v>0</v>
      </c>
      <c r="H344" s="7">
        <v>0</v>
      </c>
      <c r="I344" s="7">
        <v>0</v>
      </c>
      <c r="J344" s="7">
        <v>0</v>
      </c>
      <c r="K344" s="7">
        <v>0</v>
      </c>
      <c r="L344" s="7">
        <v>0</v>
      </c>
      <c r="M344" s="7">
        <v>0</v>
      </c>
      <c r="N344" s="7">
        <v>0</v>
      </c>
      <c r="O344" s="7">
        <v>0</v>
      </c>
      <c r="P344" s="7">
        <v>0</v>
      </c>
      <c r="Q344" s="7">
        <v>0</v>
      </c>
      <c r="R344" s="7">
        <v>0</v>
      </c>
      <c r="S344" s="7">
        <v>20</v>
      </c>
      <c r="T344" s="7">
        <v>0</v>
      </c>
      <c r="U344" s="7">
        <v>0</v>
      </c>
      <c r="V344" s="7">
        <v>0</v>
      </c>
      <c r="W344" s="7">
        <v>0</v>
      </c>
      <c r="X344" s="7">
        <v>0</v>
      </c>
      <c r="Y344" s="7">
        <v>0</v>
      </c>
      <c r="Z344" s="7">
        <v>0</v>
      </c>
      <c r="AA344" s="7">
        <v>0</v>
      </c>
      <c r="AB344" s="7">
        <v>0</v>
      </c>
      <c r="AC344" s="7">
        <v>0</v>
      </c>
      <c r="AD344" s="7">
        <v>0</v>
      </c>
      <c r="AE344" s="7">
        <v>0</v>
      </c>
      <c r="AF344" s="7">
        <v>0</v>
      </c>
      <c r="AG344" s="7">
        <v>0</v>
      </c>
      <c r="AH344" s="7">
        <v>0</v>
      </c>
      <c r="AI344" s="7">
        <v>0</v>
      </c>
      <c r="AJ344" s="7">
        <v>0</v>
      </c>
      <c r="AK344" s="7">
        <v>0</v>
      </c>
      <c r="AL344" s="7">
        <v>0</v>
      </c>
      <c r="AM344" s="7">
        <v>0</v>
      </c>
      <c r="AN344" s="7">
        <v>0</v>
      </c>
      <c r="AO344" s="7">
        <v>0</v>
      </c>
      <c r="AP344" s="7">
        <v>0</v>
      </c>
      <c r="AQ344" s="7">
        <v>0</v>
      </c>
      <c r="AR344" s="7">
        <v>0</v>
      </c>
      <c r="AS344" s="7">
        <v>0</v>
      </c>
      <c r="AT344" s="7">
        <v>0</v>
      </c>
      <c r="AU344" s="7">
        <v>0</v>
      </c>
      <c r="AV344" s="7">
        <v>0</v>
      </c>
      <c r="AW344" s="7">
        <v>0</v>
      </c>
      <c r="AX344" s="7">
        <v>0</v>
      </c>
      <c r="AY344" s="7">
        <v>0</v>
      </c>
      <c r="AZ344" s="7">
        <v>20</v>
      </c>
      <c r="BA344" s="7">
        <v>200</v>
      </c>
      <c r="BB344" s="7">
        <v>0</v>
      </c>
      <c r="BC344" s="15">
        <v>0</v>
      </c>
      <c r="BD344" s="21">
        <f t="shared" si="93"/>
        <v>0</v>
      </c>
      <c r="BE344" s="21">
        <f t="shared" si="93"/>
        <v>0</v>
      </c>
      <c r="BF344" s="21">
        <f t="shared" si="93"/>
        <v>0</v>
      </c>
      <c r="BG344" s="21">
        <f t="shared" si="93"/>
        <v>2.3677886038334496E-4</v>
      </c>
      <c r="BH344" s="21">
        <f t="shared" si="93"/>
        <v>2.0622170895930217E-3</v>
      </c>
      <c r="BI344" s="21">
        <f t="shared" si="93"/>
        <v>0</v>
      </c>
      <c r="BJ344" s="23">
        <f t="shared" si="92"/>
        <v>7.6633198332545554E-4</v>
      </c>
    </row>
    <row r="345" spans="1:62" x14ac:dyDescent="0.25">
      <c r="A345" s="12"/>
      <c r="B345" s="2"/>
      <c r="C345" s="2" t="s">
        <v>9</v>
      </c>
      <c r="D345" s="4">
        <v>440</v>
      </c>
      <c r="E345" s="4">
        <v>489</v>
      </c>
      <c r="F345" s="4">
        <v>515</v>
      </c>
      <c r="G345" s="4">
        <v>529</v>
      </c>
      <c r="H345" s="4">
        <v>528</v>
      </c>
      <c r="I345" s="4">
        <v>540</v>
      </c>
      <c r="J345" s="4">
        <v>723</v>
      </c>
      <c r="K345" s="3">
        <v>1056</v>
      </c>
      <c r="L345" s="4">
        <v>638</v>
      </c>
      <c r="M345" s="4">
        <v>667</v>
      </c>
      <c r="N345" s="4">
        <v>670</v>
      </c>
      <c r="O345" s="4">
        <v>704</v>
      </c>
      <c r="P345" s="4">
        <v>722</v>
      </c>
      <c r="Q345" s="4">
        <v>760</v>
      </c>
      <c r="R345" s="4">
        <v>765</v>
      </c>
      <c r="S345" s="4">
        <v>835</v>
      </c>
      <c r="T345" s="4">
        <v>764</v>
      </c>
      <c r="U345" s="4">
        <v>821</v>
      </c>
      <c r="V345" s="4">
        <v>798</v>
      </c>
      <c r="W345" s="4">
        <v>875</v>
      </c>
      <c r="X345" s="4">
        <v>946</v>
      </c>
      <c r="Y345" s="4">
        <v>930</v>
      </c>
      <c r="Z345" s="3">
        <v>1005</v>
      </c>
      <c r="AA345" s="3">
        <v>1013</v>
      </c>
      <c r="AB345" s="3">
        <v>1028</v>
      </c>
      <c r="AC345" s="3">
        <v>1009</v>
      </c>
      <c r="AD345" s="3">
        <v>1111</v>
      </c>
      <c r="AE345" s="3">
        <v>1127</v>
      </c>
      <c r="AF345" s="3">
        <v>1204</v>
      </c>
      <c r="AG345" s="3">
        <v>1179</v>
      </c>
      <c r="AH345" s="3">
        <v>1185</v>
      </c>
      <c r="AI345" s="3">
        <v>1100</v>
      </c>
      <c r="AJ345" s="3">
        <v>1100</v>
      </c>
      <c r="AK345" s="3">
        <v>1213</v>
      </c>
      <c r="AL345" s="3">
        <v>1318</v>
      </c>
      <c r="AM345" s="3">
        <v>1300</v>
      </c>
      <c r="AN345" s="3">
        <v>1300</v>
      </c>
      <c r="AO345" s="3">
        <v>1500</v>
      </c>
      <c r="AP345" s="3">
        <v>1750</v>
      </c>
      <c r="AQ345" s="3">
        <v>1750</v>
      </c>
      <c r="AR345" s="3">
        <v>1500</v>
      </c>
      <c r="AS345" s="3">
        <v>1750</v>
      </c>
      <c r="AT345" s="3">
        <v>1750</v>
      </c>
      <c r="AU345" s="3">
        <v>1750</v>
      </c>
      <c r="AV345" s="3">
        <v>2700</v>
      </c>
      <c r="AW345" s="3">
        <v>3000</v>
      </c>
      <c r="AX345" s="3">
        <v>3000</v>
      </c>
      <c r="AY345" s="3">
        <v>3200</v>
      </c>
      <c r="AZ345" s="3">
        <v>3000</v>
      </c>
      <c r="BA345" s="3">
        <v>3000</v>
      </c>
      <c r="BB345" s="3">
        <v>3000</v>
      </c>
      <c r="BC345" s="13">
        <v>0</v>
      </c>
      <c r="BD345" s="20">
        <f t="shared" si="93"/>
        <v>4.2494542992437389E-3</v>
      </c>
      <c r="BE345" s="20">
        <f t="shared" si="93"/>
        <v>4.1395754451423461E-3</v>
      </c>
      <c r="BF345" s="20">
        <f t="shared" si="93"/>
        <v>4.1437626659933053E-3</v>
      </c>
      <c r="BG345" s="20">
        <f t="shared" si="93"/>
        <v>3.8454389889059086E-3</v>
      </c>
      <c r="BH345" s="20">
        <f t="shared" si="93"/>
        <v>3.7103319139252466E-3</v>
      </c>
      <c r="BI345" s="20">
        <f t="shared" si="93"/>
        <v>3.5747352014899496E-3</v>
      </c>
      <c r="BJ345" s="23">
        <f t="shared" si="92"/>
        <v>3.7101687014403678E-3</v>
      </c>
    </row>
    <row r="346" spans="1:62" s="5" customFormat="1" x14ac:dyDescent="0.25">
      <c r="A346" s="14"/>
      <c r="B346" s="6" t="s">
        <v>10</v>
      </c>
      <c r="C346" s="6" t="s">
        <v>6</v>
      </c>
      <c r="D346" s="8">
        <v>1398</v>
      </c>
      <c r="E346" s="8">
        <v>1505</v>
      </c>
      <c r="F346" s="8">
        <v>1690</v>
      </c>
      <c r="G346" s="8">
        <v>1940</v>
      </c>
      <c r="H346" s="8">
        <v>1747</v>
      </c>
      <c r="I346" s="8">
        <v>1915</v>
      </c>
      <c r="J346" s="8">
        <v>2139</v>
      </c>
      <c r="K346" s="8">
        <v>2389</v>
      </c>
      <c r="L346" s="8">
        <v>2429</v>
      </c>
      <c r="M346" s="8">
        <v>2473</v>
      </c>
      <c r="N346" s="8">
        <v>2500</v>
      </c>
      <c r="O346" s="8">
        <v>3249</v>
      </c>
      <c r="P346" s="8">
        <v>3100</v>
      </c>
      <c r="Q346" s="8">
        <v>2909</v>
      </c>
      <c r="R346" s="8">
        <v>2802</v>
      </c>
      <c r="S346" s="8">
        <v>2269</v>
      </c>
      <c r="T346" s="8">
        <v>1921</v>
      </c>
      <c r="U346" s="8">
        <v>2539</v>
      </c>
      <c r="V346" s="8">
        <v>2132</v>
      </c>
      <c r="W346" s="8">
        <v>3417</v>
      </c>
      <c r="X346" s="8">
        <v>3280</v>
      </c>
      <c r="Y346" s="8">
        <v>3434</v>
      </c>
      <c r="Z346" s="8">
        <v>3782</v>
      </c>
      <c r="AA346" s="8">
        <v>2271</v>
      </c>
      <c r="AB346" s="8">
        <v>4630</v>
      </c>
      <c r="AC346" s="8">
        <v>5587</v>
      </c>
      <c r="AD346" s="8">
        <v>6062</v>
      </c>
      <c r="AE346" s="8">
        <v>6744</v>
      </c>
      <c r="AF346" s="8">
        <v>6551</v>
      </c>
      <c r="AG346" s="8">
        <v>6687</v>
      </c>
      <c r="AH346" s="8">
        <v>7522</v>
      </c>
      <c r="AI346" s="8">
        <v>10000</v>
      </c>
      <c r="AJ346" s="8">
        <v>7073</v>
      </c>
      <c r="AK346" s="8">
        <v>6282</v>
      </c>
      <c r="AL346" s="8">
        <v>6250</v>
      </c>
      <c r="AM346" s="8">
        <v>8272</v>
      </c>
      <c r="AN346" s="8">
        <v>7319</v>
      </c>
      <c r="AO346" s="8">
        <v>7175</v>
      </c>
      <c r="AP346" s="8">
        <v>6863</v>
      </c>
      <c r="AQ346" s="8">
        <v>8776</v>
      </c>
      <c r="AR346" s="8">
        <v>8379</v>
      </c>
      <c r="AS346" s="8">
        <v>8286</v>
      </c>
      <c r="AT346" s="8">
        <v>7972</v>
      </c>
      <c r="AU346" s="8">
        <v>7845</v>
      </c>
      <c r="AV346" s="8">
        <v>11138</v>
      </c>
      <c r="AW346" s="8">
        <v>9850</v>
      </c>
      <c r="AX346" s="8">
        <v>9600</v>
      </c>
      <c r="AY346" s="8">
        <v>8600</v>
      </c>
      <c r="AZ346" s="8">
        <v>8700</v>
      </c>
      <c r="BA346" s="8">
        <v>9600</v>
      </c>
      <c r="BB346" s="8">
        <v>8700</v>
      </c>
      <c r="BC346" s="15">
        <v>0</v>
      </c>
      <c r="BD346" s="21">
        <f t="shared" si="93"/>
        <v>8.4598009155479978E-2</v>
      </c>
      <c r="BE346" s="21">
        <f t="shared" si="93"/>
        <v>7.8809969461136831E-2</v>
      </c>
      <c r="BF346" s="21">
        <f t="shared" si="93"/>
        <v>7.1856487554623469E-2</v>
      </c>
      <c r="BG346" s="21">
        <f t="shared" si="93"/>
        <v>8.1230976078878081E-2</v>
      </c>
      <c r="BH346" s="21">
        <f t="shared" si="93"/>
        <v>9.4726870855699405E-2</v>
      </c>
      <c r="BI346" s="21">
        <f t="shared" si="93"/>
        <v>7.5960640164843315E-2</v>
      </c>
      <c r="BJ346" s="23">
        <f t="shared" si="92"/>
        <v>8.3972829033140253E-2</v>
      </c>
    </row>
    <row r="347" spans="1:62" x14ac:dyDescent="0.25">
      <c r="A347" s="12"/>
      <c r="B347" s="2"/>
      <c r="C347" s="2" t="s">
        <v>7</v>
      </c>
      <c r="D347" s="4">
        <v>4</v>
      </c>
      <c r="E347" s="4">
        <v>42</v>
      </c>
      <c r="F347" s="4">
        <v>9</v>
      </c>
      <c r="G347" s="4">
        <v>4</v>
      </c>
      <c r="H347" s="4">
        <v>9</v>
      </c>
      <c r="I347" s="4">
        <v>7</v>
      </c>
      <c r="J347" s="4">
        <v>10</v>
      </c>
      <c r="K347" s="4">
        <v>4</v>
      </c>
      <c r="L347" s="4">
        <v>4</v>
      </c>
      <c r="M347" s="4">
        <v>0</v>
      </c>
      <c r="N347" s="4">
        <v>6</v>
      </c>
      <c r="O347" s="4">
        <v>7</v>
      </c>
      <c r="P347" s="4">
        <v>4</v>
      </c>
      <c r="Q347" s="4">
        <v>2</v>
      </c>
      <c r="R347" s="4">
        <v>1</v>
      </c>
      <c r="S347" s="4">
        <v>0</v>
      </c>
      <c r="T347" s="4">
        <v>2</v>
      </c>
      <c r="U347" s="4">
        <v>1</v>
      </c>
      <c r="V347" s="4">
        <v>4</v>
      </c>
      <c r="W347" s="4">
        <v>4</v>
      </c>
      <c r="X347" s="4">
        <v>5</v>
      </c>
      <c r="Y347" s="4">
        <v>5</v>
      </c>
      <c r="Z347" s="4">
        <v>4</v>
      </c>
      <c r="AA347" s="4">
        <v>240</v>
      </c>
      <c r="AB347" s="4">
        <v>9</v>
      </c>
      <c r="AC347" s="4">
        <v>6</v>
      </c>
      <c r="AD347" s="4">
        <v>3</v>
      </c>
      <c r="AE347" s="4">
        <v>4</v>
      </c>
      <c r="AF347" s="4">
        <v>5</v>
      </c>
      <c r="AG347" s="4">
        <v>17</v>
      </c>
      <c r="AH347" s="4">
        <v>2</v>
      </c>
      <c r="AI347" s="4">
        <v>20</v>
      </c>
      <c r="AJ347" s="4">
        <v>24</v>
      </c>
      <c r="AK347" s="4">
        <v>350</v>
      </c>
      <c r="AL347" s="4">
        <v>696</v>
      </c>
      <c r="AM347" s="4">
        <v>122</v>
      </c>
      <c r="AN347" s="4">
        <v>279</v>
      </c>
      <c r="AO347" s="4">
        <v>120</v>
      </c>
      <c r="AP347" s="4">
        <v>925</v>
      </c>
      <c r="AQ347" s="4">
        <v>475</v>
      </c>
      <c r="AR347" s="4">
        <v>470</v>
      </c>
      <c r="AS347" s="4">
        <v>865</v>
      </c>
      <c r="AT347" s="4">
        <v>872</v>
      </c>
      <c r="AU347" s="3">
        <v>1805</v>
      </c>
      <c r="AV347" s="3">
        <v>1756</v>
      </c>
      <c r="AW347" s="3">
        <v>1615</v>
      </c>
      <c r="AX347" s="3">
        <v>2305</v>
      </c>
      <c r="AY347" s="3">
        <v>3907</v>
      </c>
      <c r="AZ347" s="3">
        <v>1917</v>
      </c>
      <c r="BA347" s="3">
        <v>1800</v>
      </c>
      <c r="BB347" s="3">
        <v>1300</v>
      </c>
      <c r="BC347" s="13">
        <v>0</v>
      </c>
      <c r="BD347" s="20">
        <f t="shared" si="93"/>
        <v>3.6072457617654284E-2</v>
      </c>
      <c r="BE347" s="20">
        <f t="shared" si="93"/>
        <v>6.0611638486418262E-2</v>
      </c>
      <c r="BF347" s="20">
        <f t="shared" si="93"/>
        <v>0.10028491491054699</v>
      </c>
      <c r="BG347" s="20">
        <f t="shared" si="93"/>
        <v>6.3596854991208568E-2</v>
      </c>
      <c r="BH347" s="20">
        <f t="shared" si="93"/>
        <v>4.9773255170888174E-2</v>
      </c>
      <c r="BI347" s="20">
        <f t="shared" si="93"/>
        <v>3.4095677717163236E-2</v>
      </c>
      <c r="BJ347" s="23">
        <f t="shared" si="92"/>
        <v>4.9155262626419997E-2</v>
      </c>
    </row>
    <row r="348" spans="1:62" s="5" customFormat="1" x14ac:dyDescent="0.25">
      <c r="A348" s="14"/>
      <c r="B348" s="6"/>
      <c r="C348" s="6" t="s">
        <v>8</v>
      </c>
      <c r="D348" s="7">
        <v>244</v>
      </c>
      <c r="E348" s="7">
        <v>299</v>
      </c>
      <c r="F348" s="7">
        <v>683</v>
      </c>
      <c r="G348" s="7">
        <v>689</v>
      </c>
      <c r="H348" s="7">
        <v>485</v>
      </c>
      <c r="I348" s="7">
        <v>492</v>
      </c>
      <c r="J348" s="7">
        <v>558</v>
      </c>
      <c r="K348" s="7">
        <v>887</v>
      </c>
      <c r="L348" s="7">
        <v>606</v>
      </c>
      <c r="M348" s="7">
        <v>393</v>
      </c>
      <c r="N348" s="7">
        <v>473</v>
      </c>
      <c r="O348" s="8">
        <v>1151</v>
      </c>
      <c r="P348" s="7">
        <v>822</v>
      </c>
      <c r="Q348" s="7">
        <v>196</v>
      </c>
      <c r="R348" s="8">
        <v>1060</v>
      </c>
      <c r="S348" s="7">
        <v>418</v>
      </c>
      <c r="T348" s="7">
        <v>65</v>
      </c>
      <c r="U348" s="7">
        <v>471</v>
      </c>
      <c r="V348" s="7">
        <v>246</v>
      </c>
      <c r="W348" s="8">
        <v>1177</v>
      </c>
      <c r="X348" s="8">
        <v>1489</v>
      </c>
      <c r="Y348" s="8">
        <v>1096</v>
      </c>
      <c r="Z348" s="8">
        <v>1272</v>
      </c>
      <c r="AA348" s="7">
        <v>377</v>
      </c>
      <c r="AB348" s="8">
        <v>1260</v>
      </c>
      <c r="AC348" s="8">
        <v>3146</v>
      </c>
      <c r="AD348" s="8">
        <v>2870</v>
      </c>
      <c r="AE348" s="8">
        <v>2358</v>
      </c>
      <c r="AF348" s="8">
        <v>3780</v>
      </c>
      <c r="AG348" s="8">
        <v>1371</v>
      </c>
      <c r="AH348" s="8">
        <v>1357</v>
      </c>
      <c r="AI348" s="8">
        <v>2059</v>
      </c>
      <c r="AJ348" s="8">
        <v>1175</v>
      </c>
      <c r="AK348" s="7">
        <v>318</v>
      </c>
      <c r="AL348" s="7">
        <v>148</v>
      </c>
      <c r="AM348" s="8">
        <v>1433</v>
      </c>
      <c r="AN348" s="7">
        <v>119</v>
      </c>
      <c r="AO348" s="7">
        <v>380</v>
      </c>
      <c r="AP348" s="7">
        <v>10</v>
      </c>
      <c r="AQ348" s="7">
        <v>415</v>
      </c>
      <c r="AR348" s="7">
        <v>582</v>
      </c>
      <c r="AS348" s="7">
        <v>180</v>
      </c>
      <c r="AT348" s="7">
        <v>231</v>
      </c>
      <c r="AU348" s="7">
        <v>170</v>
      </c>
      <c r="AV348" s="7">
        <v>558</v>
      </c>
      <c r="AW348" s="7">
        <v>288</v>
      </c>
      <c r="AX348" s="7">
        <v>217</v>
      </c>
      <c r="AY348" s="7">
        <v>269</v>
      </c>
      <c r="AZ348" s="7">
        <v>357</v>
      </c>
      <c r="BA348" s="7">
        <v>730</v>
      </c>
      <c r="BB348" s="7">
        <v>400</v>
      </c>
      <c r="BC348" s="15">
        <v>0</v>
      </c>
      <c r="BD348" s="21">
        <f t="shared" si="93"/>
        <v>6.4208320328175859E-3</v>
      </c>
      <c r="BE348" s="21">
        <f t="shared" si="93"/>
        <v>5.7903725050699115E-3</v>
      </c>
      <c r="BF348" s="21">
        <f t="shared" si="93"/>
        <v>6.8965517241379309E-3</v>
      </c>
      <c r="BG348" s="21">
        <f t="shared" si="93"/>
        <v>1.1874272409778813E-2</v>
      </c>
      <c r="BH348" s="21">
        <f t="shared" si="93"/>
        <v>2.0517144463181564E-2</v>
      </c>
      <c r="BI348" s="21">
        <f t="shared" si="93"/>
        <v>1.049042748492001E-2</v>
      </c>
      <c r="BJ348" s="23">
        <f t="shared" si="92"/>
        <v>1.4293948119293463E-2</v>
      </c>
    </row>
    <row r="349" spans="1:62" x14ac:dyDescent="0.25">
      <c r="A349" s="12"/>
      <c r="B349" s="2"/>
      <c r="C349" s="2" t="s">
        <v>9</v>
      </c>
      <c r="D349" s="3">
        <v>1118</v>
      </c>
      <c r="E349" s="3">
        <v>1128</v>
      </c>
      <c r="F349" s="3">
        <v>1176</v>
      </c>
      <c r="G349" s="3">
        <v>1255</v>
      </c>
      <c r="H349" s="3">
        <v>1301</v>
      </c>
      <c r="I349" s="3">
        <v>1305</v>
      </c>
      <c r="J349" s="3">
        <v>1545</v>
      </c>
      <c r="K349" s="3">
        <v>1548</v>
      </c>
      <c r="L349" s="3">
        <v>1826</v>
      </c>
      <c r="M349" s="3">
        <v>1981</v>
      </c>
      <c r="N349" s="3">
        <v>2030</v>
      </c>
      <c r="O349" s="3">
        <v>1986</v>
      </c>
      <c r="P349" s="3">
        <v>2382</v>
      </c>
      <c r="Q349" s="3">
        <v>2377</v>
      </c>
      <c r="R349" s="3">
        <v>1912</v>
      </c>
      <c r="S349" s="3">
        <v>2146</v>
      </c>
      <c r="T349" s="3">
        <v>1846</v>
      </c>
      <c r="U349" s="3">
        <v>1997</v>
      </c>
      <c r="V349" s="3">
        <v>1890</v>
      </c>
      <c r="W349" s="3">
        <v>2000</v>
      </c>
      <c r="X349" s="3">
        <v>2028</v>
      </c>
      <c r="Y349" s="3">
        <v>2329</v>
      </c>
      <c r="Z349" s="3">
        <v>2437</v>
      </c>
      <c r="AA349" s="3">
        <v>2174</v>
      </c>
      <c r="AB349" s="3">
        <v>2671</v>
      </c>
      <c r="AC349" s="3">
        <v>2524</v>
      </c>
      <c r="AD349" s="3">
        <v>3173</v>
      </c>
      <c r="AE349" s="3">
        <v>3810</v>
      </c>
      <c r="AF349" s="3">
        <v>3726</v>
      </c>
      <c r="AG349" s="3">
        <v>4880</v>
      </c>
      <c r="AH349" s="3">
        <v>5748</v>
      </c>
      <c r="AI349" s="3">
        <v>6582</v>
      </c>
      <c r="AJ349" s="3">
        <v>6734</v>
      </c>
      <c r="AK349" s="3">
        <v>6784</v>
      </c>
      <c r="AL349" s="3">
        <v>6800</v>
      </c>
      <c r="AM349" s="3">
        <v>7223</v>
      </c>
      <c r="AN349" s="3">
        <v>7023</v>
      </c>
      <c r="AO349" s="3">
        <v>7212</v>
      </c>
      <c r="AP349" s="3">
        <v>7025</v>
      </c>
      <c r="AQ349" s="3">
        <v>7675</v>
      </c>
      <c r="AR349" s="3">
        <v>8125</v>
      </c>
      <c r="AS349" s="3">
        <v>8525</v>
      </c>
      <c r="AT349" s="3">
        <v>9425</v>
      </c>
      <c r="AU349" s="3">
        <v>9625</v>
      </c>
      <c r="AV349" s="3">
        <v>10525</v>
      </c>
      <c r="AW349" s="3">
        <v>11525</v>
      </c>
      <c r="AX349" s="3">
        <v>12025</v>
      </c>
      <c r="AY349" s="3">
        <v>12025</v>
      </c>
      <c r="AZ349" s="3">
        <v>11275</v>
      </c>
      <c r="BA349" s="3">
        <v>10925</v>
      </c>
      <c r="BB349" s="3">
        <v>10525</v>
      </c>
      <c r="BC349" s="13">
        <v>0</v>
      </c>
      <c r="BD349" s="20">
        <f t="shared" si="93"/>
        <v>0.10018428693127489</v>
      </c>
      <c r="BE349" s="20">
        <f t="shared" si="93"/>
        <v>9.8576885872149259E-2</v>
      </c>
      <c r="BF349" s="20">
        <f t="shared" si="93"/>
        <v>9.9236641221374045E-2</v>
      </c>
      <c r="BG349" s="20">
        <f t="shared" si="93"/>
        <v>0.10499017608551928</v>
      </c>
      <c r="BH349" s="20">
        <f t="shared" si="93"/>
        <v>9.2232231049125799E-2</v>
      </c>
      <c r="BI349" s="20">
        <f t="shared" si="93"/>
        <v>8.9978029117830607E-2</v>
      </c>
      <c r="BJ349" s="23">
        <f t="shared" si="92"/>
        <v>9.5733478750825232E-2</v>
      </c>
    </row>
    <row r="350" spans="1:62" s="5" customFormat="1" x14ac:dyDescent="0.25">
      <c r="A350" s="14"/>
      <c r="B350" s="6" t="s">
        <v>11</v>
      </c>
      <c r="C350" s="6" t="s">
        <v>6</v>
      </c>
      <c r="D350" s="7">
        <v>0</v>
      </c>
      <c r="E350" s="7">
        <v>0</v>
      </c>
      <c r="F350" s="7">
        <v>0</v>
      </c>
      <c r="G350" s="7">
        <v>0</v>
      </c>
      <c r="H350" s="7">
        <v>0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0</v>
      </c>
      <c r="O350" s="7">
        <v>0</v>
      </c>
      <c r="P350" s="7">
        <v>0</v>
      </c>
      <c r="Q350" s="7">
        <v>0</v>
      </c>
      <c r="R350" s="7">
        <v>0</v>
      </c>
      <c r="S350" s="7">
        <v>0</v>
      </c>
      <c r="T350" s="7">
        <v>0</v>
      </c>
      <c r="U350" s="7">
        <v>0</v>
      </c>
      <c r="V350" s="7">
        <v>0</v>
      </c>
      <c r="W350" s="7">
        <v>0</v>
      </c>
      <c r="X350" s="7">
        <v>0</v>
      </c>
      <c r="Y350" s="7">
        <v>2</v>
      </c>
      <c r="Z350" s="7">
        <v>3</v>
      </c>
      <c r="AA350" s="7">
        <v>1</v>
      </c>
      <c r="AB350" s="7">
        <v>2</v>
      </c>
      <c r="AC350" s="7">
        <v>5</v>
      </c>
      <c r="AD350" s="7">
        <v>5</v>
      </c>
      <c r="AE350" s="7">
        <v>1</v>
      </c>
      <c r="AF350" s="7">
        <v>1</v>
      </c>
      <c r="AG350" s="7">
        <v>1</v>
      </c>
      <c r="AH350" s="7">
        <v>1</v>
      </c>
      <c r="AI350" s="7">
        <v>6</v>
      </c>
      <c r="AJ350" s="7">
        <v>10</v>
      </c>
      <c r="AK350" s="7">
        <v>14</v>
      </c>
      <c r="AL350" s="7">
        <v>14</v>
      </c>
      <c r="AM350" s="7">
        <v>7</v>
      </c>
      <c r="AN350" s="7">
        <v>3</v>
      </c>
      <c r="AO350" s="7">
        <v>7</v>
      </c>
      <c r="AP350" s="7">
        <v>8</v>
      </c>
      <c r="AQ350" s="7">
        <v>1</v>
      </c>
      <c r="AR350" s="7">
        <v>2</v>
      </c>
      <c r="AS350" s="7">
        <v>1</v>
      </c>
      <c r="AT350" s="7">
        <v>2</v>
      </c>
      <c r="AU350" s="7">
        <v>1</v>
      </c>
      <c r="AV350" s="7">
        <v>1</v>
      </c>
      <c r="AW350" s="7">
        <v>2</v>
      </c>
      <c r="AX350" s="7">
        <v>2</v>
      </c>
      <c r="AY350" s="7">
        <v>2</v>
      </c>
      <c r="AZ350" s="7">
        <v>2</v>
      </c>
      <c r="BA350" s="7">
        <v>2</v>
      </c>
      <c r="BB350" s="7">
        <v>2</v>
      </c>
      <c r="BC350" s="15">
        <v>0</v>
      </c>
      <c r="BD350" s="21">
        <f t="shared" si="93"/>
        <v>9.0635125642942931E-6</v>
      </c>
      <c r="BE350" s="21">
        <f t="shared" si="93"/>
        <v>8.4662176749226407E-6</v>
      </c>
      <c r="BF350" s="21">
        <f t="shared" si="93"/>
        <v>9.0744101633393837E-6</v>
      </c>
      <c r="BG350" s="21">
        <f t="shared" si="93"/>
        <v>9.436098739337208E-6</v>
      </c>
      <c r="BH350" s="21">
        <f t="shared" si="93"/>
        <v>7.6857452482879994E-6</v>
      </c>
      <c r="BI350" s="21">
        <f t="shared" si="93"/>
        <v>7.6636574038594172E-6</v>
      </c>
      <c r="BJ350" s="23">
        <f t="shared" si="92"/>
        <v>8.261833797161541E-6</v>
      </c>
    </row>
    <row r="351" spans="1:62" x14ac:dyDescent="0.25">
      <c r="A351" s="12"/>
      <c r="B351" s="2"/>
      <c r="C351" s="2" t="s">
        <v>7</v>
      </c>
      <c r="D351" s="4">
        <v>0</v>
      </c>
      <c r="E351" s="4">
        <v>0</v>
      </c>
      <c r="F351" s="4">
        <v>0</v>
      </c>
      <c r="G351" s="4">
        <v>0</v>
      </c>
      <c r="H351" s="4">
        <v>0</v>
      </c>
      <c r="I351" s="4">
        <v>0</v>
      </c>
      <c r="J351" s="4">
        <v>0</v>
      </c>
      <c r="K351" s="4">
        <v>0</v>
      </c>
      <c r="L351" s="4">
        <v>0</v>
      </c>
      <c r="M351" s="4">
        <v>0</v>
      </c>
      <c r="N351" s="4">
        <v>0</v>
      </c>
      <c r="O351" s="4">
        <v>0</v>
      </c>
      <c r="P351" s="4">
        <v>0</v>
      </c>
      <c r="Q351" s="4">
        <v>0</v>
      </c>
      <c r="R351" s="4">
        <v>0</v>
      </c>
      <c r="S351" s="4">
        <v>0</v>
      </c>
      <c r="T351" s="4">
        <v>0</v>
      </c>
      <c r="U351" s="4">
        <v>0</v>
      </c>
      <c r="V351" s="4">
        <v>0</v>
      </c>
      <c r="W351" s="4">
        <v>0</v>
      </c>
      <c r="X351" s="4">
        <v>0</v>
      </c>
      <c r="Y351" s="4">
        <v>0</v>
      </c>
      <c r="Z351" s="4">
        <v>0</v>
      </c>
      <c r="AA351" s="4">
        <v>0</v>
      </c>
      <c r="AB351" s="4">
        <v>0</v>
      </c>
      <c r="AC351" s="4">
        <v>0</v>
      </c>
      <c r="AD351" s="4">
        <v>0</v>
      </c>
      <c r="AE351" s="4">
        <v>0</v>
      </c>
      <c r="AF351" s="4">
        <v>0</v>
      </c>
      <c r="AG351" s="4">
        <v>0</v>
      </c>
      <c r="AH351" s="4">
        <v>0</v>
      </c>
      <c r="AI351" s="4">
        <v>0</v>
      </c>
      <c r="AJ351" s="4">
        <v>0</v>
      </c>
      <c r="AK351" s="4">
        <v>12</v>
      </c>
      <c r="AL351" s="4">
        <v>25</v>
      </c>
      <c r="AM351" s="4">
        <v>11</v>
      </c>
      <c r="AN351" s="4">
        <v>33</v>
      </c>
      <c r="AO351" s="4">
        <v>0</v>
      </c>
      <c r="AP351" s="4">
        <v>0</v>
      </c>
      <c r="AQ351" s="4">
        <v>50</v>
      </c>
      <c r="AR351" s="4">
        <v>162</v>
      </c>
      <c r="AS351" s="4">
        <v>301</v>
      </c>
      <c r="AT351" s="4">
        <v>87</v>
      </c>
      <c r="AU351" s="4">
        <v>79</v>
      </c>
      <c r="AV351" s="4">
        <v>0</v>
      </c>
      <c r="AW351" s="4">
        <v>12</v>
      </c>
      <c r="AX351" s="4">
        <v>42</v>
      </c>
      <c r="AY351" s="4">
        <v>0</v>
      </c>
      <c r="AZ351" s="4">
        <v>0</v>
      </c>
      <c r="BA351" s="4">
        <v>10</v>
      </c>
      <c r="BB351" s="4">
        <v>10</v>
      </c>
      <c r="BC351" s="13">
        <v>0</v>
      </c>
      <c r="BD351" s="20">
        <f t="shared" si="93"/>
        <v>1.8712283054468336E-4</v>
      </c>
      <c r="BE351" s="20">
        <f t="shared" si="93"/>
        <v>6.0814039355371182E-4</v>
      </c>
      <c r="BF351" s="20">
        <f t="shared" si="93"/>
        <v>0</v>
      </c>
      <c r="BG351" s="20">
        <f t="shared" si="93"/>
        <v>0</v>
      </c>
      <c r="BH351" s="20">
        <f t="shared" si="93"/>
        <v>1.1532030213919161E-4</v>
      </c>
      <c r="BI351" s="20">
        <f t="shared" si="93"/>
        <v>1.0485477613505295E-4</v>
      </c>
      <c r="BJ351" s="23">
        <f t="shared" si="92"/>
        <v>7.339169275808152E-5</v>
      </c>
    </row>
    <row r="352" spans="1:62" s="5" customFormat="1" x14ac:dyDescent="0.25">
      <c r="A352" s="14"/>
      <c r="B352" s="6"/>
      <c r="C352" s="6" t="s">
        <v>9</v>
      </c>
      <c r="D352" s="7">
        <v>0</v>
      </c>
      <c r="E352" s="7">
        <v>0</v>
      </c>
      <c r="F352" s="7">
        <v>0</v>
      </c>
      <c r="G352" s="7">
        <v>0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0</v>
      </c>
      <c r="Q352" s="7">
        <v>0</v>
      </c>
      <c r="R352" s="7">
        <v>0</v>
      </c>
      <c r="S352" s="7">
        <v>0</v>
      </c>
      <c r="T352" s="7">
        <v>0</v>
      </c>
      <c r="U352" s="7">
        <v>0</v>
      </c>
      <c r="V352" s="7">
        <v>0</v>
      </c>
      <c r="W352" s="7">
        <v>0</v>
      </c>
      <c r="X352" s="7">
        <v>0</v>
      </c>
      <c r="Y352" s="7">
        <v>2</v>
      </c>
      <c r="Z352" s="7">
        <v>3</v>
      </c>
      <c r="AA352" s="7">
        <v>1</v>
      </c>
      <c r="AB352" s="7">
        <v>2</v>
      </c>
      <c r="AC352" s="7">
        <v>5</v>
      </c>
      <c r="AD352" s="7">
        <v>5</v>
      </c>
      <c r="AE352" s="7">
        <v>1</v>
      </c>
      <c r="AF352" s="7">
        <v>1</v>
      </c>
      <c r="AG352" s="7">
        <v>1</v>
      </c>
      <c r="AH352" s="7">
        <v>1</v>
      </c>
      <c r="AI352" s="7">
        <v>6</v>
      </c>
      <c r="AJ352" s="7">
        <v>10</v>
      </c>
      <c r="AK352" s="7">
        <v>26</v>
      </c>
      <c r="AL352" s="7">
        <v>39</v>
      </c>
      <c r="AM352" s="7">
        <v>18</v>
      </c>
      <c r="AN352" s="7">
        <v>36</v>
      </c>
      <c r="AO352" s="7">
        <v>7</v>
      </c>
      <c r="AP352" s="7">
        <v>8</v>
      </c>
      <c r="AQ352" s="7">
        <v>51</v>
      </c>
      <c r="AR352" s="7">
        <v>164</v>
      </c>
      <c r="AS352" s="7">
        <v>302</v>
      </c>
      <c r="AT352" s="7">
        <v>89</v>
      </c>
      <c r="AU352" s="7">
        <v>80</v>
      </c>
      <c r="AV352" s="7">
        <v>1</v>
      </c>
      <c r="AW352" s="7">
        <v>14</v>
      </c>
      <c r="AX352" s="7">
        <v>32</v>
      </c>
      <c r="AY352" s="7">
        <v>14</v>
      </c>
      <c r="AZ352" s="7">
        <v>2</v>
      </c>
      <c r="BA352" s="7">
        <v>12</v>
      </c>
      <c r="BB352" s="7">
        <v>12</v>
      </c>
      <c r="BC352" s="15">
        <v>0</v>
      </c>
      <c r="BD352" s="21">
        <f t="shared" ref="BD352:BI360" si="94">AW352/AW558</f>
        <v>6.4774031165562427E-5</v>
      </c>
      <c r="BE352" s="21">
        <f t="shared" si="94"/>
        <v>1.4185906302088876E-4</v>
      </c>
      <c r="BF352" s="21">
        <f t="shared" si="94"/>
        <v>6.0724881586480903E-5</v>
      </c>
      <c r="BG352" s="21">
        <f t="shared" si="94"/>
        <v>9.0359948856268954E-6</v>
      </c>
      <c r="BH352" s="21">
        <f t="shared" si="94"/>
        <v>5.0427795801045535E-5</v>
      </c>
      <c r="BI352" s="21">
        <f t="shared" si="94"/>
        <v>4.6916785261873859E-5</v>
      </c>
      <c r="BJ352" s="23">
        <f t="shared" si="92"/>
        <v>3.5460191982848763E-5</v>
      </c>
    </row>
    <row r="353" spans="1:62" x14ac:dyDescent="0.25">
      <c r="A353" s="12"/>
      <c r="B353" s="2" t="s">
        <v>12</v>
      </c>
      <c r="C353" s="2" t="s">
        <v>6</v>
      </c>
      <c r="D353" s="3">
        <v>1030</v>
      </c>
      <c r="E353" s="3">
        <v>1127</v>
      </c>
      <c r="F353" s="3">
        <v>1096</v>
      </c>
      <c r="G353" s="3">
        <v>1192</v>
      </c>
      <c r="H353" s="3">
        <v>1351</v>
      </c>
      <c r="I353" s="3">
        <v>1317</v>
      </c>
      <c r="J353" s="3">
        <v>1365</v>
      </c>
      <c r="K353" s="3">
        <v>1499</v>
      </c>
      <c r="L353" s="3">
        <v>2032</v>
      </c>
      <c r="M353" s="3">
        <v>2401</v>
      </c>
      <c r="N353" s="3">
        <v>2200</v>
      </c>
      <c r="O353" s="3">
        <v>2226</v>
      </c>
      <c r="P353" s="3">
        <v>2288</v>
      </c>
      <c r="Q353" s="3">
        <v>2455</v>
      </c>
      <c r="R353" s="3">
        <v>2310</v>
      </c>
      <c r="S353" s="3">
        <v>2617</v>
      </c>
      <c r="T353" s="3">
        <v>2737</v>
      </c>
      <c r="U353" s="3">
        <v>2950</v>
      </c>
      <c r="V353" s="3">
        <v>3272</v>
      </c>
      <c r="W353" s="3">
        <v>3216</v>
      </c>
      <c r="X353" s="3">
        <v>3123</v>
      </c>
      <c r="Y353" s="3">
        <v>3430</v>
      </c>
      <c r="Z353" s="3">
        <v>3445</v>
      </c>
      <c r="AA353" s="3">
        <v>3339</v>
      </c>
      <c r="AB353" s="3">
        <v>3315</v>
      </c>
      <c r="AC353" s="3">
        <v>2919</v>
      </c>
      <c r="AD353" s="3">
        <v>3486</v>
      </c>
      <c r="AE353" s="3">
        <v>3241</v>
      </c>
      <c r="AF353" s="3">
        <v>3200</v>
      </c>
      <c r="AG353" s="3">
        <v>3220</v>
      </c>
      <c r="AH353" s="3">
        <v>3265</v>
      </c>
      <c r="AI353" s="3">
        <v>3243</v>
      </c>
      <c r="AJ353" s="3">
        <v>3116</v>
      </c>
      <c r="AK353" s="3">
        <v>3995</v>
      </c>
      <c r="AL353" s="3">
        <v>3447</v>
      </c>
      <c r="AM353" s="3">
        <v>3967</v>
      </c>
      <c r="AN353" s="3">
        <v>4307</v>
      </c>
      <c r="AO353" s="3">
        <v>4333</v>
      </c>
      <c r="AP353" s="3">
        <v>4674</v>
      </c>
      <c r="AQ353" s="3">
        <v>5156</v>
      </c>
      <c r="AR353" s="3">
        <v>4802</v>
      </c>
      <c r="AS353" s="3">
        <v>3882</v>
      </c>
      <c r="AT353" s="3">
        <v>4479</v>
      </c>
      <c r="AU353" s="3">
        <v>4848</v>
      </c>
      <c r="AV353" s="3">
        <v>5025</v>
      </c>
      <c r="AW353" s="3">
        <v>5547</v>
      </c>
      <c r="AX353" s="3">
        <v>5450</v>
      </c>
      <c r="AY353" s="3">
        <v>5700</v>
      </c>
      <c r="AZ353" s="3">
        <v>6900</v>
      </c>
      <c r="BA353" s="3">
        <v>6800</v>
      </c>
      <c r="BB353" s="3">
        <v>5000</v>
      </c>
      <c r="BC353" s="13">
        <v>0</v>
      </c>
      <c r="BD353" s="20">
        <f t="shared" si="94"/>
        <v>1.3251187279624658E-2</v>
      </c>
      <c r="BE353" s="20">
        <f t="shared" si="94"/>
        <v>1.2967298614283539E-2</v>
      </c>
      <c r="BF353" s="20">
        <f t="shared" si="94"/>
        <v>1.3145665505081838E-2</v>
      </c>
      <c r="BG353" s="20">
        <f t="shared" si="94"/>
        <v>1.5399345193060921E-2</v>
      </c>
      <c r="BH353" s="20">
        <f t="shared" si="94"/>
        <v>1.5442156633428182E-2</v>
      </c>
      <c r="BI353" s="20">
        <f t="shared" si="94"/>
        <v>1.1094321704265322E-2</v>
      </c>
      <c r="BJ353" s="23">
        <f t="shared" si="92"/>
        <v>1.3978607843584808E-2</v>
      </c>
    </row>
    <row r="354" spans="1:62" s="5" customFormat="1" x14ac:dyDescent="0.25">
      <c r="A354" s="14"/>
      <c r="B354" s="6"/>
      <c r="C354" s="6" t="s">
        <v>7</v>
      </c>
      <c r="D354" s="7">
        <v>0</v>
      </c>
      <c r="E354" s="7">
        <v>0</v>
      </c>
      <c r="F354" s="7">
        <v>0</v>
      </c>
      <c r="G354" s="7">
        <v>0</v>
      </c>
      <c r="H354" s="7">
        <v>0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0</v>
      </c>
      <c r="O354" s="7">
        <v>109</v>
      </c>
      <c r="P354" s="7">
        <v>0</v>
      </c>
      <c r="Q354" s="7">
        <v>0</v>
      </c>
      <c r="R354" s="7">
        <v>0</v>
      </c>
      <c r="S354" s="7">
        <v>0</v>
      </c>
      <c r="T354" s="7">
        <v>0</v>
      </c>
      <c r="U354" s="7">
        <v>0</v>
      </c>
      <c r="V354" s="7">
        <v>0</v>
      </c>
      <c r="W354" s="7">
        <v>0</v>
      </c>
      <c r="X354" s="7">
        <v>0</v>
      </c>
      <c r="Y354" s="7">
        <v>0</v>
      </c>
      <c r="Z354" s="7">
        <v>0</v>
      </c>
      <c r="AA354" s="7">
        <v>0</v>
      </c>
      <c r="AB354" s="7">
        <v>0</v>
      </c>
      <c r="AC354" s="7">
        <v>0</v>
      </c>
      <c r="AD354" s="7">
        <v>0</v>
      </c>
      <c r="AE354" s="7">
        <v>0</v>
      </c>
      <c r="AF354" s="7">
        <v>0</v>
      </c>
      <c r="AG354" s="7">
        <v>0</v>
      </c>
      <c r="AH354" s="7">
        <v>0</v>
      </c>
      <c r="AI354" s="7">
        <v>0</v>
      </c>
      <c r="AJ354" s="7">
        <v>0</v>
      </c>
      <c r="AK354" s="7">
        <v>0</v>
      </c>
      <c r="AL354" s="7">
        <v>0</v>
      </c>
      <c r="AM354" s="7">
        <v>0</v>
      </c>
      <c r="AN354" s="7">
        <v>0</v>
      </c>
      <c r="AO354" s="7">
        <v>0</v>
      </c>
      <c r="AP354" s="7">
        <v>0</v>
      </c>
      <c r="AQ354" s="7">
        <v>0</v>
      </c>
      <c r="AR354" s="7">
        <v>0</v>
      </c>
      <c r="AS354" s="7">
        <v>0</v>
      </c>
      <c r="AT354" s="7">
        <v>0</v>
      </c>
      <c r="AU354" s="7">
        <v>0</v>
      </c>
      <c r="AV354" s="7">
        <v>0</v>
      </c>
      <c r="AW354" s="7">
        <v>0</v>
      </c>
      <c r="AX354" s="7">
        <v>0</v>
      </c>
      <c r="AY354" s="7">
        <v>0</v>
      </c>
      <c r="AZ354" s="7">
        <v>0</v>
      </c>
      <c r="BA354" s="7">
        <v>0</v>
      </c>
      <c r="BB354" s="7">
        <v>0</v>
      </c>
      <c r="BC354" s="15">
        <v>0</v>
      </c>
      <c r="BD354" s="21">
        <f t="shared" si="94"/>
        <v>0</v>
      </c>
      <c r="BE354" s="21">
        <f t="shared" si="94"/>
        <v>0</v>
      </c>
      <c r="BF354" s="21">
        <f t="shared" si="94"/>
        <v>0</v>
      </c>
      <c r="BG354" s="21">
        <f t="shared" si="94"/>
        <v>0</v>
      </c>
      <c r="BH354" s="21">
        <f t="shared" si="94"/>
        <v>0</v>
      </c>
      <c r="BI354" s="21">
        <f t="shared" si="94"/>
        <v>0</v>
      </c>
      <c r="BJ354" s="23">
        <f t="shared" si="92"/>
        <v>0</v>
      </c>
    </row>
    <row r="355" spans="1:62" x14ac:dyDescent="0.25">
      <c r="A355" s="12"/>
      <c r="B355" s="2"/>
      <c r="C355" s="2" t="s">
        <v>8</v>
      </c>
      <c r="D355" s="4">
        <v>49</v>
      </c>
      <c r="E355" s="4">
        <v>130</v>
      </c>
      <c r="F355" s="4">
        <v>136</v>
      </c>
      <c r="G355" s="4">
        <v>134</v>
      </c>
      <c r="H355" s="4">
        <v>184</v>
      </c>
      <c r="I355" s="4">
        <v>148</v>
      </c>
      <c r="J355" s="4">
        <v>182</v>
      </c>
      <c r="K355" s="4">
        <v>122</v>
      </c>
      <c r="L355" s="4">
        <v>140</v>
      </c>
      <c r="M355" s="4">
        <v>91</v>
      </c>
      <c r="N355" s="4">
        <v>182</v>
      </c>
      <c r="O355" s="4">
        <v>198</v>
      </c>
      <c r="P355" s="4">
        <v>789</v>
      </c>
      <c r="Q355" s="4">
        <v>505</v>
      </c>
      <c r="R355" s="4">
        <v>470</v>
      </c>
      <c r="S355" s="4">
        <v>763</v>
      </c>
      <c r="T355" s="4">
        <v>883</v>
      </c>
      <c r="U355" s="4">
        <v>810</v>
      </c>
      <c r="V355" s="3">
        <v>1015</v>
      </c>
      <c r="W355" s="3">
        <v>1086</v>
      </c>
      <c r="X355" s="3">
        <v>1163</v>
      </c>
      <c r="Y355" s="4">
        <v>840</v>
      </c>
      <c r="Z355" s="3">
        <v>1146</v>
      </c>
      <c r="AA355" s="3">
        <v>1172</v>
      </c>
      <c r="AB355" s="4">
        <v>836</v>
      </c>
      <c r="AC355" s="3">
        <v>1297</v>
      </c>
      <c r="AD355" s="3">
        <v>1300</v>
      </c>
      <c r="AE355" s="4">
        <v>999</v>
      </c>
      <c r="AF355" s="4">
        <v>792</v>
      </c>
      <c r="AG355" s="4">
        <v>749</v>
      </c>
      <c r="AH355" s="3">
        <v>1274</v>
      </c>
      <c r="AI355" s="3">
        <v>1419</v>
      </c>
      <c r="AJ355" s="4">
        <v>918</v>
      </c>
      <c r="AK355" s="3">
        <v>1232</v>
      </c>
      <c r="AL355" s="3">
        <v>1660</v>
      </c>
      <c r="AM355" s="3">
        <v>1632</v>
      </c>
      <c r="AN355" s="3">
        <v>1834</v>
      </c>
      <c r="AO355" s="3">
        <v>2099</v>
      </c>
      <c r="AP355" s="3">
        <v>1837</v>
      </c>
      <c r="AQ355" s="3">
        <v>2104</v>
      </c>
      <c r="AR355" s="3">
        <v>2429</v>
      </c>
      <c r="AS355" s="3">
        <v>1628</v>
      </c>
      <c r="AT355" s="3">
        <v>1992</v>
      </c>
      <c r="AU355" s="3">
        <v>1868</v>
      </c>
      <c r="AV355" s="3">
        <v>2801</v>
      </c>
      <c r="AW355" s="3">
        <v>3664</v>
      </c>
      <c r="AX355" s="3">
        <v>2839</v>
      </c>
      <c r="AY355" s="3">
        <v>2982</v>
      </c>
      <c r="AZ355" s="3">
        <v>2910</v>
      </c>
      <c r="BA355" s="3">
        <v>4000</v>
      </c>
      <c r="BB355" s="3">
        <v>2650</v>
      </c>
      <c r="BC355" s="13">
        <v>0</v>
      </c>
      <c r="BD355" s="20">
        <f t="shared" si="94"/>
        <v>0.12343349952836545</v>
      </c>
      <c r="BE355" s="20">
        <f t="shared" si="94"/>
        <v>9.0428412167542604E-2</v>
      </c>
      <c r="BF355" s="20">
        <f t="shared" si="94"/>
        <v>9.5463712904568301E-2</v>
      </c>
      <c r="BG355" s="20">
        <f t="shared" si="94"/>
        <v>0.100650249031544</v>
      </c>
      <c r="BH355" s="20">
        <f t="shared" si="94"/>
        <v>0.12980691221807561</v>
      </c>
      <c r="BI355" s="20">
        <f t="shared" si="94"/>
        <v>8.7173920194743251E-2</v>
      </c>
      <c r="BJ355" s="23">
        <f t="shared" si="92"/>
        <v>0.10587702714812096</v>
      </c>
    </row>
    <row r="356" spans="1:62" s="5" customFormat="1" x14ac:dyDescent="0.25">
      <c r="A356" s="14"/>
      <c r="B356" s="6"/>
      <c r="C356" s="6" t="s">
        <v>9</v>
      </c>
      <c r="D356" s="7">
        <v>981</v>
      </c>
      <c r="E356" s="7">
        <v>997</v>
      </c>
      <c r="F356" s="7">
        <v>960</v>
      </c>
      <c r="G356" s="8">
        <v>1058</v>
      </c>
      <c r="H356" s="8">
        <v>1167</v>
      </c>
      <c r="I356" s="8">
        <v>1169</v>
      </c>
      <c r="J356" s="8">
        <v>1183</v>
      </c>
      <c r="K356" s="8">
        <v>1377</v>
      </c>
      <c r="L356" s="8">
        <v>1892</v>
      </c>
      <c r="M356" s="8">
        <v>2310</v>
      </c>
      <c r="N356" s="8">
        <v>2018</v>
      </c>
      <c r="O356" s="8">
        <v>1986</v>
      </c>
      <c r="P356" s="8">
        <v>1813</v>
      </c>
      <c r="Q356" s="8">
        <v>1857</v>
      </c>
      <c r="R356" s="8">
        <v>1857</v>
      </c>
      <c r="S356" s="8">
        <v>1961</v>
      </c>
      <c r="T356" s="8">
        <v>1940</v>
      </c>
      <c r="U356" s="8">
        <v>1947</v>
      </c>
      <c r="V356" s="8">
        <v>2118</v>
      </c>
      <c r="W356" s="8">
        <v>2389</v>
      </c>
      <c r="X356" s="8">
        <v>1981</v>
      </c>
      <c r="Y356" s="8">
        <v>2379</v>
      </c>
      <c r="Z356" s="8">
        <v>2250</v>
      </c>
      <c r="AA356" s="8">
        <v>2120</v>
      </c>
      <c r="AB356" s="8">
        <v>2200</v>
      </c>
      <c r="AC356" s="8">
        <v>1857</v>
      </c>
      <c r="AD356" s="8">
        <v>2050</v>
      </c>
      <c r="AE356" s="8">
        <v>2139</v>
      </c>
      <c r="AF356" s="8">
        <v>2100</v>
      </c>
      <c r="AG356" s="8">
        <v>2250</v>
      </c>
      <c r="AH356" s="8">
        <v>2100</v>
      </c>
      <c r="AI356" s="8">
        <v>2150</v>
      </c>
      <c r="AJ356" s="8">
        <v>2250</v>
      </c>
      <c r="AK356" s="8">
        <v>2300</v>
      </c>
      <c r="AL356" s="8">
        <v>2400</v>
      </c>
      <c r="AM356" s="8">
        <v>2531</v>
      </c>
      <c r="AN356" s="8">
        <v>2550</v>
      </c>
      <c r="AO356" s="8">
        <v>2550</v>
      </c>
      <c r="AP356" s="8">
        <v>2575</v>
      </c>
      <c r="AQ356" s="8">
        <v>2600</v>
      </c>
      <c r="AR356" s="8">
        <v>2615</v>
      </c>
      <c r="AS356" s="8">
        <v>2540</v>
      </c>
      <c r="AT356" s="8">
        <v>2545</v>
      </c>
      <c r="AU356" s="8">
        <v>2595</v>
      </c>
      <c r="AV356" s="8">
        <v>2550</v>
      </c>
      <c r="AW356" s="8">
        <v>1896</v>
      </c>
      <c r="AX356" s="8">
        <v>2207</v>
      </c>
      <c r="AY356" s="8">
        <v>2718</v>
      </c>
      <c r="AZ356" s="8">
        <v>3490</v>
      </c>
      <c r="BA356" s="8">
        <v>2900</v>
      </c>
      <c r="BB356" s="8">
        <v>3000</v>
      </c>
      <c r="BC356" s="15">
        <v>0</v>
      </c>
      <c r="BD356" s="21">
        <f t="shared" si="94"/>
        <v>4.5915439066386071E-3</v>
      </c>
      <c r="BE356" s="21">
        <f t="shared" si="94"/>
        <v>5.2726260640216733E-3</v>
      </c>
      <c r="BF356" s="21">
        <f t="shared" si="94"/>
        <v>6.3761357051870032E-3</v>
      </c>
      <c r="BG356" s="21">
        <f t="shared" si="94"/>
        <v>8.0209602169566321E-3</v>
      </c>
      <c r="BH356" s="21">
        <f t="shared" si="94"/>
        <v>6.6622710992977046E-3</v>
      </c>
      <c r="BI356" s="21">
        <f t="shared" si="94"/>
        <v>6.722960253858979E-3</v>
      </c>
      <c r="BJ356" s="23">
        <f t="shared" si="92"/>
        <v>7.1353971900377719E-3</v>
      </c>
    </row>
    <row r="357" spans="1:62" x14ac:dyDescent="0.25">
      <c r="A357" s="12"/>
      <c r="B357" s="2" t="s">
        <v>13</v>
      </c>
      <c r="C357" s="2" t="s">
        <v>6</v>
      </c>
      <c r="D357" s="4">
        <v>220</v>
      </c>
      <c r="E357" s="4">
        <v>248</v>
      </c>
      <c r="F357" s="4">
        <v>251</v>
      </c>
      <c r="G357" s="4">
        <v>238</v>
      </c>
      <c r="H357" s="4">
        <v>293</v>
      </c>
      <c r="I357" s="4">
        <v>274</v>
      </c>
      <c r="J357" s="4">
        <v>277</v>
      </c>
      <c r="K357" s="4">
        <v>291</v>
      </c>
      <c r="L357" s="4">
        <v>262</v>
      </c>
      <c r="M357" s="4">
        <v>304</v>
      </c>
      <c r="N357" s="4">
        <v>329</v>
      </c>
      <c r="O357" s="4">
        <v>312</v>
      </c>
      <c r="P357" s="4">
        <v>302</v>
      </c>
      <c r="Q357" s="4">
        <v>378</v>
      </c>
      <c r="R357" s="4">
        <v>265</v>
      </c>
      <c r="S357" s="4">
        <v>281</v>
      </c>
      <c r="T357" s="4">
        <v>261</v>
      </c>
      <c r="U357" s="4">
        <v>284</v>
      </c>
      <c r="V357" s="4">
        <v>252</v>
      </c>
      <c r="W357" s="4">
        <v>249</v>
      </c>
      <c r="X357" s="4">
        <v>230</v>
      </c>
      <c r="Y357" s="4">
        <v>225</v>
      </c>
      <c r="Z357" s="4">
        <v>222</v>
      </c>
      <c r="AA357" s="4">
        <v>222</v>
      </c>
      <c r="AB357" s="4">
        <v>230</v>
      </c>
      <c r="AC357" s="4">
        <v>218</v>
      </c>
      <c r="AD357" s="4">
        <v>235</v>
      </c>
      <c r="AE357" s="4">
        <v>181</v>
      </c>
      <c r="AF357" s="4">
        <v>248</v>
      </c>
      <c r="AG357" s="4">
        <v>262</v>
      </c>
      <c r="AH357" s="4">
        <v>239</v>
      </c>
      <c r="AI357" s="4">
        <v>225</v>
      </c>
      <c r="AJ357" s="4">
        <v>238</v>
      </c>
      <c r="AK357" s="4">
        <v>212</v>
      </c>
      <c r="AL357" s="4">
        <v>234</v>
      </c>
      <c r="AM357" s="4">
        <v>255</v>
      </c>
      <c r="AN357" s="4">
        <v>219</v>
      </c>
      <c r="AO357" s="4">
        <v>231</v>
      </c>
      <c r="AP357" s="4">
        <v>228</v>
      </c>
      <c r="AQ357" s="4">
        <v>220</v>
      </c>
      <c r="AR357" s="4">
        <v>219</v>
      </c>
      <c r="AS357" s="4">
        <v>222</v>
      </c>
      <c r="AT357" s="4">
        <v>203</v>
      </c>
      <c r="AU357" s="4">
        <v>238</v>
      </c>
      <c r="AV357" s="4">
        <v>186</v>
      </c>
      <c r="AW357" s="4">
        <v>153</v>
      </c>
      <c r="AX357" s="4">
        <v>155</v>
      </c>
      <c r="AY357" s="4">
        <v>151</v>
      </c>
      <c r="AZ357" s="4">
        <v>145</v>
      </c>
      <c r="BA357" s="4">
        <v>145</v>
      </c>
      <c r="BB357" s="4">
        <v>145</v>
      </c>
      <c r="BC357" s="13">
        <v>0</v>
      </c>
      <c r="BD357" s="20">
        <f t="shared" si="94"/>
        <v>2.5656504678539089E-3</v>
      </c>
      <c r="BE357" s="20">
        <f t="shared" si="94"/>
        <v>2.6886383347788376E-3</v>
      </c>
      <c r="BF357" s="20">
        <f t="shared" si="94"/>
        <v>2.2910376428105419E-3</v>
      </c>
      <c r="BG357" s="20">
        <f t="shared" si="94"/>
        <v>2.2360669894827745E-3</v>
      </c>
      <c r="BH357" s="20">
        <f t="shared" si="94"/>
        <v>2.4469682906660818E-3</v>
      </c>
      <c r="BI357" s="20">
        <f t="shared" si="94"/>
        <v>2.2229717299319311E-3</v>
      </c>
      <c r="BJ357" s="23">
        <f t="shared" si="92"/>
        <v>2.3020023366935958E-3</v>
      </c>
    </row>
    <row r="358" spans="1:62" s="5" customFormat="1" x14ac:dyDescent="0.25">
      <c r="A358" s="14"/>
      <c r="B358" s="6"/>
      <c r="C358" s="6" t="s">
        <v>7</v>
      </c>
      <c r="D358" s="7">
        <v>0</v>
      </c>
      <c r="E358" s="7">
        <v>0</v>
      </c>
      <c r="F358" s="7">
        <v>0</v>
      </c>
      <c r="G358" s="7">
        <v>0</v>
      </c>
      <c r="H358" s="7">
        <v>0</v>
      </c>
      <c r="I358" s="7">
        <v>0</v>
      </c>
      <c r="J358" s="7">
        <v>0</v>
      </c>
      <c r="K358" s="7">
        <v>19</v>
      </c>
      <c r="L358" s="7">
        <v>0</v>
      </c>
      <c r="M358" s="7">
        <v>3</v>
      </c>
      <c r="N358" s="7">
        <v>0</v>
      </c>
      <c r="O358" s="7">
        <v>1</v>
      </c>
      <c r="P358" s="7">
        <v>0</v>
      </c>
      <c r="Q358" s="7">
        <v>40</v>
      </c>
      <c r="R358" s="7">
        <v>0</v>
      </c>
      <c r="S358" s="7">
        <v>0</v>
      </c>
      <c r="T358" s="7">
        <v>0</v>
      </c>
      <c r="U358" s="7">
        <v>0</v>
      </c>
      <c r="V358" s="7">
        <v>0</v>
      </c>
      <c r="W358" s="7">
        <v>0</v>
      </c>
      <c r="X358" s="7">
        <v>0</v>
      </c>
      <c r="Y358" s="7">
        <v>0</v>
      </c>
      <c r="Z358" s="7">
        <v>0</v>
      </c>
      <c r="AA358" s="7">
        <v>0</v>
      </c>
      <c r="AB358" s="7">
        <v>0</v>
      </c>
      <c r="AC358" s="7">
        <v>0</v>
      </c>
      <c r="AD358" s="7">
        <v>0</v>
      </c>
      <c r="AE358" s="7">
        <v>0</v>
      </c>
      <c r="AF358" s="7">
        <v>0</v>
      </c>
      <c r="AG358" s="7">
        <v>0</v>
      </c>
      <c r="AH358" s="7">
        <v>0</v>
      </c>
      <c r="AI358" s="7">
        <v>0</v>
      </c>
      <c r="AJ358" s="7">
        <v>0</v>
      </c>
      <c r="AK358" s="7">
        <v>0</v>
      </c>
      <c r="AL358" s="7">
        <v>0</v>
      </c>
      <c r="AM358" s="7">
        <v>0</v>
      </c>
      <c r="AN358" s="7">
        <v>0</v>
      </c>
      <c r="AO358" s="7">
        <v>0</v>
      </c>
      <c r="AP358" s="7">
        <v>0</v>
      </c>
      <c r="AQ358" s="7">
        <v>0</v>
      </c>
      <c r="AR358" s="7">
        <v>0</v>
      </c>
      <c r="AS358" s="7">
        <v>0</v>
      </c>
      <c r="AT358" s="7">
        <v>1</v>
      </c>
      <c r="AU358" s="7">
        <v>0</v>
      </c>
      <c r="AV358" s="7">
        <v>1</v>
      </c>
      <c r="AW358" s="7">
        <v>0</v>
      </c>
      <c r="AX358" s="7">
        <v>3</v>
      </c>
      <c r="AY358" s="7">
        <v>2</v>
      </c>
      <c r="AZ358" s="7">
        <v>4</v>
      </c>
      <c r="BA358" s="7">
        <v>0</v>
      </c>
      <c r="BB358" s="7">
        <v>0</v>
      </c>
      <c r="BC358" s="15">
        <v>0</v>
      </c>
      <c r="BD358" s="21">
        <f t="shared" si="94"/>
        <v>0</v>
      </c>
      <c r="BE358" s="21">
        <f t="shared" si="94"/>
        <v>6.1996280223186606E-4</v>
      </c>
      <c r="BF358" s="21">
        <f t="shared" si="94"/>
        <v>2.0663291662361815E-4</v>
      </c>
      <c r="BG358" s="21">
        <f t="shared" si="94"/>
        <v>6.5445026178010475E-4</v>
      </c>
      <c r="BH358" s="21">
        <f t="shared" si="94"/>
        <v>0</v>
      </c>
      <c r="BI358" s="21">
        <f t="shared" si="94"/>
        <v>0</v>
      </c>
      <c r="BJ358" s="23">
        <f t="shared" si="92"/>
        <v>2.1815008726003491E-4</v>
      </c>
    </row>
    <row r="359" spans="1:62" x14ac:dyDescent="0.25">
      <c r="A359" s="12"/>
      <c r="B359" s="2"/>
      <c r="C359" s="2" t="s">
        <v>8</v>
      </c>
      <c r="D359" s="4">
        <v>0</v>
      </c>
      <c r="E359" s="4">
        <v>0</v>
      </c>
      <c r="F359" s="4">
        <v>0</v>
      </c>
      <c r="G359" s="4">
        <v>0</v>
      </c>
      <c r="H359" s="4">
        <v>0</v>
      </c>
      <c r="I359" s="4">
        <v>0</v>
      </c>
      <c r="J359" s="4">
        <v>0</v>
      </c>
      <c r="K359" s="4">
        <v>5</v>
      </c>
      <c r="L359" s="4">
        <v>5</v>
      </c>
      <c r="M359" s="4">
        <v>5</v>
      </c>
      <c r="N359" s="4">
        <v>8</v>
      </c>
      <c r="O359" s="4">
        <v>10</v>
      </c>
      <c r="P359" s="4">
        <v>0</v>
      </c>
      <c r="Q359" s="4">
        <v>0</v>
      </c>
      <c r="R359" s="4">
        <v>0</v>
      </c>
      <c r="S359" s="4">
        <v>0</v>
      </c>
      <c r="T359" s="4">
        <v>0</v>
      </c>
      <c r="U359" s="4">
        <v>0</v>
      </c>
      <c r="V359" s="4">
        <v>0</v>
      </c>
      <c r="W359" s="4">
        <v>0</v>
      </c>
      <c r="X359" s="4">
        <v>0</v>
      </c>
      <c r="Y359" s="4">
        <v>0</v>
      </c>
      <c r="Z359" s="4">
        <v>0</v>
      </c>
      <c r="AA359" s="4">
        <v>0</v>
      </c>
      <c r="AB359" s="4">
        <v>0</v>
      </c>
      <c r="AC359" s="4">
        <v>0</v>
      </c>
      <c r="AD359" s="4">
        <v>0</v>
      </c>
      <c r="AE359" s="4">
        <v>0</v>
      </c>
      <c r="AF359" s="4">
        <v>0</v>
      </c>
      <c r="AG359" s="4">
        <v>0</v>
      </c>
      <c r="AH359" s="4">
        <v>0</v>
      </c>
      <c r="AI359" s="4">
        <v>0</v>
      </c>
      <c r="AJ359" s="4">
        <v>0</v>
      </c>
      <c r="AK359" s="4">
        <v>0</v>
      </c>
      <c r="AL359" s="4">
        <v>0</v>
      </c>
      <c r="AM359" s="4">
        <v>0</v>
      </c>
      <c r="AN359" s="4">
        <v>0</v>
      </c>
      <c r="AO359" s="4">
        <v>0</v>
      </c>
      <c r="AP359" s="4">
        <v>0</v>
      </c>
      <c r="AQ359" s="4">
        <v>0</v>
      </c>
      <c r="AR359" s="4">
        <v>0</v>
      </c>
      <c r="AS359" s="4">
        <v>0</v>
      </c>
      <c r="AT359" s="4">
        <v>0</v>
      </c>
      <c r="AU359" s="4">
        <v>0</v>
      </c>
      <c r="AV359" s="4">
        <v>0</v>
      </c>
      <c r="AW359" s="4">
        <v>0</v>
      </c>
      <c r="AX359" s="4">
        <v>0</v>
      </c>
      <c r="AY359" s="4">
        <v>0</v>
      </c>
      <c r="AZ359" s="4">
        <v>0</v>
      </c>
      <c r="BA359" s="4">
        <v>0</v>
      </c>
      <c r="BB359" s="4">
        <v>0</v>
      </c>
      <c r="BC359" s="13">
        <v>0</v>
      </c>
      <c r="BD359" s="20">
        <f t="shared" si="94"/>
        <v>0</v>
      </c>
      <c r="BE359" s="20">
        <f t="shared" si="94"/>
        <v>0</v>
      </c>
      <c r="BF359" s="20">
        <f t="shared" si="94"/>
        <v>0</v>
      </c>
      <c r="BG359" s="20">
        <f t="shared" si="94"/>
        <v>0</v>
      </c>
      <c r="BH359" s="20">
        <f t="shared" si="94"/>
        <v>0</v>
      </c>
      <c r="BI359" s="20">
        <f t="shared" si="94"/>
        <v>0</v>
      </c>
      <c r="BJ359" s="23">
        <f t="shared" si="92"/>
        <v>0</v>
      </c>
    </row>
    <row r="360" spans="1:62" s="5" customFormat="1" x14ac:dyDescent="0.25">
      <c r="A360" s="14"/>
      <c r="B360" s="6"/>
      <c r="C360" s="6" t="s">
        <v>9</v>
      </c>
      <c r="D360" s="7">
        <v>220</v>
      </c>
      <c r="E360" s="7">
        <v>248</v>
      </c>
      <c r="F360" s="7">
        <v>251</v>
      </c>
      <c r="G360" s="7">
        <v>238</v>
      </c>
      <c r="H360" s="7">
        <v>293</v>
      </c>
      <c r="I360" s="7">
        <v>274</v>
      </c>
      <c r="J360" s="7">
        <v>277</v>
      </c>
      <c r="K360" s="7">
        <v>305</v>
      </c>
      <c r="L360" s="7">
        <v>257</v>
      </c>
      <c r="M360" s="7">
        <v>302</v>
      </c>
      <c r="N360" s="7">
        <v>298</v>
      </c>
      <c r="O360" s="7">
        <v>305</v>
      </c>
      <c r="P360" s="7">
        <v>298</v>
      </c>
      <c r="Q360" s="7">
        <v>391</v>
      </c>
      <c r="R360" s="7">
        <v>298</v>
      </c>
      <c r="S360" s="7">
        <v>300</v>
      </c>
      <c r="T360" s="7">
        <v>261</v>
      </c>
      <c r="U360" s="7">
        <v>284</v>
      </c>
      <c r="V360" s="7">
        <v>252</v>
      </c>
      <c r="W360" s="7">
        <v>249</v>
      </c>
      <c r="X360" s="7">
        <v>230</v>
      </c>
      <c r="Y360" s="7">
        <v>225</v>
      </c>
      <c r="Z360" s="7">
        <v>222</v>
      </c>
      <c r="AA360" s="7">
        <v>222</v>
      </c>
      <c r="AB360" s="7">
        <v>230</v>
      </c>
      <c r="AC360" s="7">
        <v>218</v>
      </c>
      <c r="AD360" s="7">
        <v>235</v>
      </c>
      <c r="AE360" s="7">
        <v>181</v>
      </c>
      <c r="AF360" s="7">
        <v>248</v>
      </c>
      <c r="AG360" s="7">
        <v>262</v>
      </c>
      <c r="AH360" s="7">
        <v>239</v>
      </c>
      <c r="AI360" s="7">
        <v>225</v>
      </c>
      <c r="AJ360" s="7">
        <v>238</v>
      </c>
      <c r="AK360" s="7">
        <v>212</v>
      </c>
      <c r="AL360" s="7">
        <v>234</v>
      </c>
      <c r="AM360" s="7">
        <v>255</v>
      </c>
      <c r="AN360" s="7">
        <v>219</v>
      </c>
      <c r="AO360" s="7">
        <v>231</v>
      </c>
      <c r="AP360" s="7">
        <v>228</v>
      </c>
      <c r="AQ360" s="7">
        <v>220</v>
      </c>
      <c r="AR360" s="7">
        <v>219</v>
      </c>
      <c r="AS360" s="7">
        <v>222</v>
      </c>
      <c r="AT360" s="7">
        <v>204</v>
      </c>
      <c r="AU360" s="7">
        <v>238</v>
      </c>
      <c r="AV360" s="7">
        <v>187</v>
      </c>
      <c r="AW360" s="7">
        <v>153</v>
      </c>
      <c r="AX360" s="7">
        <v>158</v>
      </c>
      <c r="AY360" s="7">
        <v>153</v>
      </c>
      <c r="AZ360" s="7">
        <v>149</v>
      </c>
      <c r="BA360" s="7">
        <v>145</v>
      </c>
      <c r="BB360" s="7">
        <v>145</v>
      </c>
      <c r="BC360" s="15">
        <v>0</v>
      </c>
      <c r="BD360" s="21">
        <f t="shared" si="94"/>
        <v>2.580405781458182E-3</v>
      </c>
      <c r="BE360" s="21">
        <f t="shared" si="94"/>
        <v>2.7339424141749722E-3</v>
      </c>
      <c r="BF360" s="21">
        <f t="shared" si="94"/>
        <v>2.3731232162799354E-3</v>
      </c>
      <c r="BG360" s="21">
        <f t="shared" si="94"/>
        <v>2.3104357264692199E-3</v>
      </c>
      <c r="BH360" s="21">
        <f t="shared" si="94"/>
        <v>2.3741690408357074E-3</v>
      </c>
      <c r="BI360" s="21">
        <f t="shared" si="94"/>
        <v>2.2396243609347729E-3</v>
      </c>
      <c r="BJ360" s="23">
        <f t="shared" si="92"/>
        <v>2.3080763760799003E-3</v>
      </c>
    </row>
    <row r="361" spans="1:62" x14ac:dyDescent="0.25">
      <c r="A361" s="14"/>
      <c r="B361" s="6" t="s">
        <v>14</v>
      </c>
      <c r="C361" s="6" t="s">
        <v>42</v>
      </c>
      <c r="D361" s="7">
        <v>0</v>
      </c>
      <c r="E361" s="7">
        <v>0</v>
      </c>
      <c r="F361" s="7">
        <v>0</v>
      </c>
      <c r="G361" s="7">
        <v>0</v>
      </c>
      <c r="H361" s="7">
        <v>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0</v>
      </c>
      <c r="Q361" s="7">
        <v>177</v>
      </c>
      <c r="R361" s="7">
        <v>557</v>
      </c>
      <c r="S361" s="7">
        <v>668</v>
      </c>
      <c r="T361" s="7">
        <v>786</v>
      </c>
      <c r="U361" s="7">
        <v>914</v>
      </c>
      <c r="V361" s="7">
        <v>646</v>
      </c>
      <c r="W361" s="7">
        <v>609</v>
      </c>
      <c r="X361" s="7">
        <v>906</v>
      </c>
      <c r="Y361" s="8">
        <v>1379</v>
      </c>
      <c r="Z361" s="8">
        <v>1197</v>
      </c>
      <c r="AA361" s="8">
        <v>1219</v>
      </c>
      <c r="AB361" s="8">
        <v>1395</v>
      </c>
      <c r="AC361" s="8">
        <v>1220</v>
      </c>
      <c r="AD361" s="8">
        <v>1364</v>
      </c>
      <c r="AE361" s="8">
        <v>1907</v>
      </c>
      <c r="AF361" s="8">
        <v>1980</v>
      </c>
      <c r="AG361" s="8">
        <v>1987</v>
      </c>
      <c r="AH361" s="8">
        <v>2067</v>
      </c>
      <c r="AI361" s="8">
        <v>2489</v>
      </c>
      <c r="AJ361" s="8">
        <v>2562</v>
      </c>
      <c r="AK361" s="8">
        <v>3128</v>
      </c>
      <c r="AL361" s="8">
        <v>3212</v>
      </c>
      <c r="AM361" s="8">
        <v>2560</v>
      </c>
      <c r="AN361" s="8">
        <v>3817</v>
      </c>
      <c r="AO361" s="8">
        <v>3805</v>
      </c>
      <c r="AP361" s="8">
        <v>3791</v>
      </c>
      <c r="AQ361" s="8">
        <v>2595</v>
      </c>
      <c r="AR361" s="8">
        <v>2648</v>
      </c>
      <c r="AS361" s="8">
        <v>3453</v>
      </c>
      <c r="AT361" s="8">
        <v>3944</v>
      </c>
      <c r="AU361" s="8">
        <v>4047</v>
      </c>
      <c r="AV361" s="8">
        <v>2937</v>
      </c>
      <c r="AW361" s="8">
        <v>2597</v>
      </c>
      <c r="AX361" s="8">
        <v>3615</v>
      </c>
      <c r="AY361" s="8">
        <v>4163</v>
      </c>
      <c r="AZ361" s="8">
        <v>3512</v>
      </c>
      <c r="BA361" s="8">
        <v>3420</v>
      </c>
      <c r="BB361" s="25">
        <v>3270</v>
      </c>
      <c r="BC361" s="21">
        <f t="shared" ref="BC361:BH361" si="95">AW361/AX$83</f>
        <v>0.32474678004251595</v>
      </c>
      <c r="BD361" s="21">
        <f t="shared" si="95"/>
        <v>0.53381571175428233</v>
      </c>
      <c r="BE361" s="21">
        <f t="shared" si="95"/>
        <v>0.65016398563173516</v>
      </c>
      <c r="BF361" s="21">
        <f t="shared" si="95"/>
        <v>0.49284310973898399</v>
      </c>
      <c r="BG361" s="21">
        <f t="shared" si="95"/>
        <v>0.52615384615384619</v>
      </c>
      <c r="BH361" s="21" t="e">
        <f t="shared" si="95"/>
        <v>#DIV/0!</v>
      </c>
      <c r="BJ361" s="23" t="e">
        <f>AVERAGE(BF361,BG361,BH361)</f>
        <v>#DIV/0!</v>
      </c>
    </row>
    <row r="362" spans="1:62" s="5" customFormat="1" x14ac:dyDescent="0.25">
      <c r="A362" s="14"/>
      <c r="B362" s="2"/>
      <c r="C362" s="2" t="s">
        <v>45</v>
      </c>
      <c r="D362" s="4">
        <v>0</v>
      </c>
      <c r="E362" s="4">
        <v>0</v>
      </c>
      <c r="F362" s="4">
        <v>0</v>
      </c>
      <c r="G362" s="4">
        <v>0</v>
      </c>
      <c r="H362" s="4">
        <v>0</v>
      </c>
      <c r="I362" s="4">
        <v>0</v>
      </c>
      <c r="J362" s="4">
        <v>0</v>
      </c>
      <c r="K362" s="4">
        <v>0</v>
      </c>
      <c r="L362" s="4">
        <v>0</v>
      </c>
      <c r="M362" s="4">
        <v>0</v>
      </c>
      <c r="N362" s="4">
        <v>0</v>
      </c>
      <c r="O362" s="4">
        <v>0</v>
      </c>
      <c r="P362" s="4">
        <v>0</v>
      </c>
      <c r="Q362" s="4">
        <v>0</v>
      </c>
      <c r="R362" s="4">
        <v>57</v>
      </c>
      <c r="S362" s="4">
        <v>0</v>
      </c>
      <c r="T362" s="4">
        <v>0</v>
      </c>
      <c r="U362" s="4">
        <v>0</v>
      </c>
      <c r="V362" s="4">
        <v>0</v>
      </c>
      <c r="W362" s="4">
        <v>234</v>
      </c>
      <c r="X362" s="4">
        <v>10</v>
      </c>
      <c r="Y362" s="4">
        <v>2</v>
      </c>
      <c r="Z362" s="4">
        <v>5</v>
      </c>
      <c r="AA362" s="4">
        <v>0</v>
      </c>
      <c r="AB362" s="4">
        <v>0</v>
      </c>
      <c r="AC362" s="4">
        <v>424</v>
      </c>
      <c r="AD362" s="4">
        <v>576</v>
      </c>
      <c r="AE362" s="4">
        <v>207</v>
      </c>
      <c r="AF362" s="4">
        <v>94</v>
      </c>
      <c r="AG362" s="4">
        <v>402</v>
      </c>
      <c r="AH362" s="4">
        <v>328</v>
      </c>
      <c r="AI362" s="4">
        <v>153</v>
      </c>
      <c r="AJ362" s="4">
        <v>86</v>
      </c>
      <c r="AK362" s="4">
        <v>9</v>
      </c>
      <c r="AL362" s="4">
        <v>4</v>
      </c>
      <c r="AM362" s="4">
        <v>771</v>
      </c>
      <c r="AN362" s="4">
        <v>21</v>
      </c>
      <c r="AO362" s="4">
        <v>21</v>
      </c>
      <c r="AP362" s="4">
        <v>8</v>
      </c>
      <c r="AQ362" s="4">
        <v>550</v>
      </c>
      <c r="AR362" s="3">
        <v>1100</v>
      </c>
      <c r="AS362" s="4">
        <v>32</v>
      </c>
      <c r="AT362" s="4">
        <v>0</v>
      </c>
      <c r="AU362" s="4">
        <v>0</v>
      </c>
      <c r="AV362" s="4">
        <v>825</v>
      </c>
      <c r="AW362" s="3">
        <v>1532</v>
      </c>
      <c r="AX362" s="4">
        <v>200</v>
      </c>
      <c r="AY362" s="4">
        <v>110</v>
      </c>
      <c r="AZ362" s="4">
        <v>125</v>
      </c>
      <c r="BA362" s="3">
        <v>1030</v>
      </c>
      <c r="BB362" s="24">
        <v>1200</v>
      </c>
      <c r="BC362" s="21">
        <f t="shared" ref="BC362:BH362" si="96">AW362/AX$63</f>
        <v>2.9747572815533982</v>
      </c>
      <c r="BD362" s="21">
        <f t="shared" si="96"/>
        <v>1.2195121951219512</v>
      </c>
      <c r="BE362" s="21">
        <f t="shared" si="96"/>
        <v>2.2000000000000002</v>
      </c>
      <c r="BF362" s="21">
        <f t="shared" si="96"/>
        <v>0.82781456953642385</v>
      </c>
      <c r="BG362" s="21">
        <f t="shared" si="96"/>
        <v>1.5846153846153845</v>
      </c>
      <c r="BH362" s="21" t="e">
        <f t="shared" si="96"/>
        <v>#DIV/0!</v>
      </c>
      <c r="BI362"/>
      <c r="BJ362" s="23" t="e">
        <f>AVERAGE(BF362,BG362,BH362)</f>
        <v>#DIV/0!</v>
      </c>
    </row>
    <row r="363" spans="1:62" x14ac:dyDescent="0.25">
      <c r="A363" s="14"/>
      <c r="B363" s="6"/>
      <c r="C363" s="6" t="s">
        <v>44</v>
      </c>
      <c r="D363" s="7">
        <v>0</v>
      </c>
      <c r="E363" s="7">
        <v>0</v>
      </c>
      <c r="F363" s="7">
        <v>0</v>
      </c>
      <c r="G363" s="7">
        <v>0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0</v>
      </c>
      <c r="Q363" s="7">
        <v>0</v>
      </c>
      <c r="R363" s="7">
        <v>0</v>
      </c>
      <c r="S363" s="7">
        <v>0</v>
      </c>
      <c r="T363" s="7">
        <v>0</v>
      </c>
      <c r="U363" s="7">
        <v>0</v>
      </c>
      <c r="V363" s="7">
        <v>0</v>
      </c>
      <c r="W363" s="7">
        <v>0</v>
      </c>
      <c r="X363" s="7">
        <v>0</v>
      </c>
      <c r="Y363" s="7">
        <v>0</v>
      </c>
      <c r="Z363" s="7">
        <v>0</v>
      </c>
      <c r="AA363" s="7">
        <v>50</v>
      </c>
      <c r="AB363" s="7">
        <v>15</v>
      </c>
      <c r="AC363" s="7">
        <v>0</v>
      </c>
      <c r="AD363" s="7">
        <v>0</v>
      </c>
      <c r="AE363" s="7">
        <v>0</v>
      </c>
      <c r="AF363" s="7">
        <v>51</v>
      </c>
      <c r="AG363" s="7">
        <v>0</v>
      </c>
      <c r="AH363" s="7">
        <v>0</v>
      </c>
      <c r="AI363" s="7">
        <v>0</v>
      </c>
      <c r="AJ363" s="7">
        <v>0</v>
      </c>
      <c r="AK363" s="7">
        <v>174</v>
      </c>
      <c r="AL363" s="7">
        <v>349</v>
      </c>
      <c r="AM363" s="7">
        <v>0</v>
      </c>
      <c r="AN363" s="7">
        <v>620</v>
      </c>
      <c r="AO363" s="7">
        <v>628</v>
      </c>
      <c r="AP363" s="7">
        <v>540</v>
      </c>
      <c r="AQ363" s="7">
        <v>0</v>
      </c>
      <c r="AR363" s="7">
        <v>0</v>
      </c>
      <c r="AS363" s="7">
        <v>0</v>
      </c>
      <c r="AT363" s="7">
        <v>107</v>
      </c>
      <c r="AU363" s="7">
        <v>214</v>
      </c>
      <c r="AV363" s="7">
        <v>0</v>
      </c>
      <c r="AW363" s="7">
        <v>61</v>
      </c>
      <c r="AX363" s="7">
        <v>65</v>
      </c>
      <c r="AY363" s="7">
        <v>70</v>
      </c>
      <c r="AZ363" s="7">
        <v>75</v>
      </c>
      <c r="BA363" s="7">
        <v>70</v>
      </c>
      <c r="BB363" s="15">
        <v>70</v>
      </c>
      <c r="BC363" s="21">
        <f t="shared" ref="BC363:BH363" si="97">AW363/AX$42</f>
        <v>0.5213675213675214</v>
      </c>
      <c r="BD363" s="21">
        <f t="shared" si="97"/>
        <v>5</v>
      </c>
      <c r="BE363" s="21">
        <f t="shared" si="97"/>
        <v>1.5909090909090908</v>
      </c>
      <c r="BF363" s="21">
        <f t="shared" si="97"/>
        <v>0.528169014084507</v>
      </c>
      <c r="BG363" s="21">
        <f t="shared" si="97"/>
        <v>0.11513157894736842</v>
      </c>
      <c r="BH363" s="21" t="e">
        <f t="shared" si="97"/>
        <v>#DIV/0!</v>
      </c>
      <c r="BJ363" s="23" t="e">
        <f>AVERAGE(BF363,BG363,BH363)</f>
        <v>#DIV/0!</v>
      </c>
    </row>
    <row r="364" spans="1:62" s="5" customFormat="1" ht="30" x14ac:dyDescent="0.25">
      <c r="A364" s="14"/>
      <c r="B364" s="2"/>
      <c r="C364" s="2" t="s">
        <v>43</v>
      </c>
      <c r="D364" s="4">
        <v>0</v>
      </c>
      <c r="E364" s="4">
        <v>0</v>
      </c>
      <c r="F364" s="4">
        <v>0</v>
      </c>
      <c r="G364" s="4">
        <v>0</v>
      </c>
      <c r="H364" s="4">
        <v>0</v>
      </c>
      <c r="I364" s="4">
        <v>0</v>
      </c>
      <c r="J364" s="4">
        <v>0</v>
      </c>
      <c r="K364" s="4">
        <v>0</v>
      </c>
      <c r="L364" s="4">
        <v>0</v>
      </c>
      <c r="M364" s="4">
        <v>0</v>
      </c>
      <c r="N364" s="4">
        <v>0</v>
      </c>
      <c r="O364" s="4">
        <v>0</v>
      </c>
      <c r="P364" s="4">
        <v>0</v>
      </c>
      <c r="Q364" s="4">
        <v>0</v>
      </c>
      <c r="R364" s="4">
        <v>597</v>
      </c>
      <c r="S364" s="4">
        <v>705</v>
      </c>
      <c r="T364" s="4">
        <v>792</v>
      </c>
      <c r="U364" s="4">
        <v>871</v>
      </c>
      <c r="V364" s="4">
        <v>796</v>
      </c>
      <c r="W364" s="4">
        <v>818</v>
      </c>
      <c r="X364" s="4">
        <v>875</v>
      </c>
      <c r="Y364" s="3">
        <v>1013</v>
      </c>
      <c r="Z364" s="3">
        <v>1155</v>
      </c>
      <c r="AA364" s="3">
        <v>1215</v>
      </c>
      <c r="AB364" s="3">
        <v>1380</v>
      </c>
      <c r="AC364" s="3">
        <v>1686</v>
      </c>
      <c r="AD364" s="3">
        <v>2160</v>
      </c>
      <c r="AE364" s="3">
        <v>1995</v>
      </c>
      <c r="AF364" s="3">
        <v>2150</v>
      </c>
      <c r="AG364" s="3">
        <v>2270</v>
      </c>
      <c r="AH364" s="3">
        <v>2400</v>
      </c>
      <c r="AI364" s="3">
        <v>2500</v>
      </c>
      <c r="AJ364" s="3">
        <v>2700</v>
      </c>
      <c r="AK364" s="3">
        <v>2800</v>
      </c>
      <c r="AL364" s="3">
        <v>2900</v>
      </c>
      <c r="AM364" s="3">
        <v>3369</v>
      </c>
      <c r="AN364" s="3">
        <v>3100</v>
      </c>
      <c r="AO364" s="3">
        <v>3318</v>
      </c>
      <c r="AP364" s="3">
        <v>3210</v>
      </c>
      <c r="AQ364" s="3">
        <v>3300</v>
      </c>
      <c r="AR364" s="3">
        <v>3720</v>
      </c>
      <c r="AS364" s="3">
        <v>3450</v>
      </c>
      <c r="AT364" s="3">
        <v>3500</v>
      </c>
      <c r="AU364" s="3">
        <v>3600</v>
      </c>
      <c r="AV364" s="3">
        <v>3750</v>
      </c>
      <c r="AW364" s="3">
        <v>3850</v>
      </c>
      <c r="AX364" s="3">
        <v>3950</v>
      </c>
      <c r="AY364" s="3">
        <v>4100</v>
      </c>
      <c r="AZ364" s="3">
        <v>4175</v>
      </c>
      <c r="BA364" s="3">
        <v>4200</v>
      </c>
      <c r="BB364" s="24">
        <v>4280</v>
      </c>
      <c r="BC364" s="20">
        <f t="shared" ref="BC364:BH364" si="98">AW364/AW$25</f>
        <v>2.2985074626865671</v>
      </c>
      <c r="BD364" s="20">
        <f t="shared" si="98"/>
        <v>2.3099415204678362</v>
      </c>
      <c r="BE364" s="20">
        <f t="shared" si="98"/>
        <v>2.2841225626740949</v>
      </c>
      <c r="BF364" s="20">
        <f t="shared" si="98"/>
        <v>2.4132947976878611</v>
      </c>
      <c r="BG364" s="20">
        <f t="shared" si="98"/>
        <v>2.4277456647398843</v>
      </c>
      <c r="BH364" s="20">
        <f t="shared" si="98"/>
        <v>2.4318181818181817</v>
      </c>
      <c r="BJ364" s="23">
        <f>AVERAGE(BF364,BG364,BH364)</f>
        <v>2.4242862147486424</v>
      </c>
    </row>
    <row r="365" spans="1:62" s="5" customFormat="1" x14ac:dyDescent="0.25">
      <c r="A365" s="14"/>
      <c r="B365" s="6" t="s">
        <v>15</v>
      </c>
      <c r="C365" s="6" t="s">
        <v>6</v>
      </c>
      <c r="D365" s="8">
        <v>3909</v>
      </c>
      <c r="E365" s="8">
        <v>3814</v>
      </c>
      <c r="F365" s="8">
        <v>4027</v>
      </c>
      <c r="G365" s="8">
        <v>4170</v>
      </c>
      <c r="H365" s="8">
        <v>4162</v>
      </c>
      <c r="I365" s="8">
        <v>4591</v>
      </c>
      <c r="J365" s="8">
        <v>3916</v>
      </c>
      <c r="K365" s="8">
        <v>4334</v>
      </c>
      <c r="L365" s="8">
        <v>6418</v>
      </c>
      <c r="M365" s="8">
        <v>6618</v>
      </c>
      <c r="N365" s="8">
        <v>7294</v>
      </c>
      <c r="O365" s="8">
        <v>6476</v>
      </c>
      <c r="P365" s="8">
        <v>6890</v>
      </c>
      <c r="Q365" s="8">
        <v>7800</v>
      </c>
      <c r="R365" s="8">
        <v>7800</v>
      </c>
      <c r="S365" s="8">
        <v>7674</v>
      </c>
      <c r="T365" s="8">
        <v>8690</v>
      </c>
      <c r="U365" s="8">
        <v>9143</v>
      </c>
      <c r="V365" s="8">
        <v>8367</v>
      </c>
      <c r="W365" s="8">
        <v>9950</v>
      </c>
      <c r="X365" s="8">
        <v>10857</v>
      </c>
      <c r="Y365" s="8">
        <v>11473</v>
      </c>
      <c r="Z365" s="8">
        <v>11304</v>
      </c>
      <c r="AA365" s="8">
        <v>12414</v>
      </c>
      <c r="AB365" s="8">
        <v>10882</v>
      </c>
      <c r="AC365" s="8">
        <v>11703</v>
      </c>
      <c r="AD365" s="8">
        <v>13922</v>
      </c>
      <c r="AE365" s="8">
        <v>12020</v>
      </c>
      <c r="AF365" s="8">
        <v>12675</v>
      </c>
      <c r="AG365" s="8">
        <v>14419</v>
      </c>
      <c r="AH365" s="8">
        <v>14429</v>
      </c>
      <c r="AI365" s="8">
        <v>14565</v>
      </c>
      <c r="AJ365" s="8">
        <v>15684</v>
      </c>
      <c r="AK365" s="8">
        <v>16157</v>
      </c>
      <c r="AL365" s="8">
        <v>15212</v>
      </c>
      <c r="AM365" s="8">
        <v>17002</v>
      </c>
      <c r="AN365" s="8">
        <v>16907</v>
      </c>
      <c r="AO365" s="8">
        <v>16651</v>
      </c>
      <c r="AP365" s="8">
        <v>18694</v>
      </c>
      <c r="AQ365" s="8">
        <v>17858</v>
      </c>
      <c r="AR365" s="8">
        <v>21079</v>
      </c>
      <c r="AS365" s="8">
        <v>19024</v>
      </c>
      <c r="AT365" s="8">
        <v>18227</v>
      </c>
      <c r="AU365" s="8">
        <v>19183</v>
      </c>
      <c r="AV365" s="8">
        <v>19500</v>
      </c>
      <c r="AW365" s="8">
        <v>21612</v>
      </c>
      <c r="AX365" s="8">
        <v>21277</v>
      </c>
      <c r="AY365" s="8">
        <v>23295</v>
      </c>
      <c r="AZ365" s="8">
        <v>20959</v>
      </c>
      <c r="BA365" s="8">
        <v>24033</v>
      </c>
      <c r="BB365" s="8">
        <v>23900</v>
      </c>
      <c r="BC365" s="15">
        <v>0</v>
      </c>
      <c r="BD365" s="21">
        <f t="shared" ref="BD365:BI368" si="99">AW365/AW571</f>
        <v>3.490670870374199E-2</v>
      </c>
      <c r="BE365" s="21">
        <f t="shared" si="99"/>
        <v>3.5684516472034522E-2</v>
      </c>
      <c r="BF365" s="21">
        <f t="shared" si="99"/>
        <v>3.8057817822396853E-2</v>
      </c>
      <c r="BG365" s="21">
        <f t="shared" si="99"/>
        <v>3.0723112329409694E-2</v>
      </c>
      <c r="BH365" s="21">
        <f t="shared" si="99"/>
        <v>3.5145881805831176E-2</v>
      </c>
      <c r="BI365" s="21">
        <f t="shared" si="99"/>
        <v>3.6929390695956771E-2</v>
      </c>
      <c r="BJ365" s="23">
        <f t="shared" si="92"/>
        <v>3.4266128277065877E-2</v>
      </c>
    </row>
    <row r="366" spans="1:62" x14ac:dyDescent="0.25">
      <c r="A366" s="12"/>
      <c r="B366" s="2"/>
      <c r="C366" s="2" t="s">
        <v>7</v>
      </c>
      <c r="D366" s="3">
        <v>1026</v>
      </c>
      <c r="E366" s="3">
        <v>1143</v>
      </c>
      <c r="F366" s="3">
        <v>1637</v>
      </c>
      <c r="G366" s="3">
        <v>1515</v>
      </c>
      <c r="H366" s="3">
        <v>1785</v>
      </c>
      <c r="I366" s="3">
        <v>1236</v>
      </c>
      <c r="J366" s="3">
        <v>1759</v>
      </c>
      <c r="K366" s="3">
        <v>2131</v>
      </c>
      <c r="L366" s="4">
        <v>756</v>
      </c>
      <c r="M366" s="3">
        <v>1085</v>
      </c>
      <c r="N366" s="3">
        <v>1075</v>
      </c>
      <c r="O366" s="3">
        <v>1027</v>
      </c>
      <c r="P366" s="3">
        <v>1468</v>
      </c>
      <c r="Q366" s="3">
        <v>1106</v>
      </c>
      <c r="R366" s="3">
        <v>1135</v>
      </c>
      <c r="S366" s="3">
        <v>1289</v>
      </c>
      <c r="T366" s="4">
        <v>507</v>
      </c>
      <c r="U366" s="4">
        <v>800</v>
      </c>
      <c r="V366" s="3">
        <v>2111</v>
      </c>
      <c r="W366" s="4">
        <v>668</v>
      </c>
      <c r="X366" s="4">
        <v>320</v>
      </c>
      <c r="Y366" s="4">
        <v>346</v>
      </c>
      <c r="Z366" s="4">
        <v>570</v>
      </c>
      <c r="AA366" s="4">
        <v>393</v>
      </c>
      <c r="AB366" s="3">
        <v>1042</v>
      </c>
      <c r="AC366" s="3">
        <v>1832</v>
      </c>
      <c r="AD366" s="4">
        <v>374</v>
      </c>
      <c r="AE366" s="4">
        <v>505</v>
      </c>
      <c r="AF366" s="3">
        <v>2200</v>
      </c>
      <c r="AG366" s="3">
        <v>1916</v>
      </c>
      <c r="AH366" s="3">
        <v>1026</v>
      </c>
      <c r="AI366" s="3">
        <v>2217</v>
      </c>
      <c r="AJ366" s="3">
        <v>2862</v>
      </c>
      <c r="AK366" s="3">
        <v>1617</v>
      </c>
      <c r="AL366" s="3">
        <v>2123</v>
      </c>
      <c r="AM366" s="3">
        <v>1903</v>
      </c>
      <c r="AN366" s="3">
        <v>3018</v>
      </c>
      <c r="AO366" s="3">
        <v>4130</v>
      </c>
      <c r="AP366" s="3">
        <v>3130</v>
      </c>
      <c r="AQ366" s="3">
        <v>2100</v>
      </c>
      <c r="AR366" s="4">
        <v>50</v>
      </c>
      <c r="AS366" s="4">
        <v>235</v>
      </c>
      <c r="AT366" s="4">
        <v>185</v>
      </c>
      <c r="AU366" s="4">
        <v>162</v>
      </c>
      <c r="AV366" s="3">
        <v>1415</v>
      </c>
      <c r="AW366" s="4">
        <v>924</v>
      </c>
      <c r="AX366" s="4">
        <v>66</v>
      </c>
      <c r="AY366" s="3">
        <v>1493</v>
      </c>
      <c r="AZ366" s="3">
        <v>3126</v>
      </c>
      <c r="BA366" s="4">
        <v>170</v>
      </c>
      <c r="BB366" s="4">
        <v>200</v>
      </c>
      <c r="BC366" s="13">
        <v>0</v>
      </c>
      <c r="BD366" s="20">
        <f t="shared" si="99"/>
        <v>8.2812766071860694E-3</v>
      </c>
      <c r="BE366" s="20">
        <f t="shared" si="99"/>
        <v>5.7890674338642904E-4</v>
      </c>
      <c r="BF366" s="20">
        <f t="shared" si="99"/>
        <v>1.3118931505645621E-2</v>
      </c>
      <c r="BG366" s="20">
        <f t="shared" si="99"/>
        <v>2.2828682640415387E-2</v>
      </c>
      <c r="BH366" s="20">
        <f t="shared" si="99"/>
        <v>1.2738376231688584E-3</v>
      </c>
      <c r="BI366" s="20">
        <f t="shared" si="99"/>
        <v>1.6303373167908439E-3</v>
      </c>
      <c r="BJ366" s="23">
        <f t="shared" si="92"/>
        <v>8.5776191934583638E-3</v>
      </c>
    </row>
    <row r="367" spans="1:62" s="5" customFormat="1" x14ac:dyDescent="0.25">
      <c r="A367" s="14"/>
      <c r="B367" s="6"/>
      <c r="C367" s="6" t="s">
        <v>8</v>
      </c>
      <c r="D367" s="7">
        <v>0</v>
      </c>
      <c r="E367" s="7">
        <v>0</v>
      </c>
      <c r="F367" s="7">
        <v>0</v>
      </c>
      <c r="G367" s="7">
        <v>0</v>
      </c>
      <c r="H367" s="7">
        <v>0</v>
      </c>
      <c r="I367" s="7">
        <v>0</v>
      </c>
      <c r="J367" s="7">
        <v>0</v>
      </c>
      <c r="K367" s="7">
        <v>0</v>
      </c>
      <c r="L367" s="7">
        <v>2</v>
      </c>
      <c r="M367" s="7">
        <v>0</v>
      </c>
      <c r="N367" s="7">
        <v>0</v>
      </c>
      <c r="O367" s="7">
        <v>0</v>
      </c>
      <c r="P367" s="7">
        <v>0</v>
      </c>
      <c r="Q367" s="7">
        <v>0</v>
      </c>
      <c r="R367" s="7">
        <v>0</v>
      </c>
      <c r="S367" s="7">
        <v>0</v>
      </c>
      <c r="T367" s="7">
        <v>0</v>
      </c>
      <c r="U367" s="7">
        <v>0</v>
      </c>
      <c r="V367" s="7">
        <v>0</v>
      </c>
      <c r="W367" s="7">
        <v>0</v>
      </c>
      <c r="X367" s="7">
        <v>0</v>
      </c>
      <c r="Y367" s="7">
        <v>0</v>
      </c>
      <c r="Z367" s="7">
        <v>78</v>
      </c>
      <c r="AA367" s="7">
        <v>205</v>
      </c>
      <c r="AB367" s="7">
        <v>49</v>
      </c>
      <c r="AC367" s="7">
        <v>0</v>
      </c>
      <c r="AD367" s="7">
        <v>0</v>
      </c>
      <c r="AE367" s="7">
        <v>0</v>
      </c>
      <c r="AF367" s="7">
        <v>0</v>
      </c>
      <c r="AG367" s="7">
        <v>0</v>
      </c>
      <c r="AH367" s="7">
        <v>0</v>
      </c>
      <c r="AI367" s="7">
        <v>10</v>
      </c>
      <c r="AJ367" s="7">
        <v>50</v>
      </c>
      <c r="AK367" s="7">
        <v>0</v>
      </c>
      <c r="AL367" s="7">
        <v>6</v>
      </c>
      <c r="AM367" s="7">
        <v>1</v>
      </c>
      <c r="AN367" s="7">
        <v>1</v>
      </c>
      <c r="AO367" s="7">
        <v>12</v>
      </c>
      <c r="AP367" s="7">
        <v>0</v>
      </c>
      <c r="AQ367" s="7">
        <v>0</v>
      </c>
      <c r="AR367" s="7">
        <v>253</v>
      </c>
      <c r="AS367" s="7">
        <v>495</v>
      </c>
      <c r="AT367" s="8">
        <v>1185</v>
      </c>
      <c r="AU367" s="7">
        <v>193</v>
      </c>
      <c r="AV367" s="7">
        <v>600</v>
      </c>
      <c r="AW367" s="7">
        <v>600</v>
      </c>
      <c r="AX367" s="7">
        <v>700</v>
      </c>
      <c r="AY367" s="8">
        <v>2200</v>
      </c>
      <c r="AZ367" s="8">
        <v>2100</v>
      </c>
      <c r="BA367" s="7">
        <v>300</v>
      </c>
      <c r="BB367" s="7">
        <v>500</v>
      </c>
      <c r="BC367" s="15">
        <v>0</v>
      </c>
      <c r="BD367" s="21">
        <f t="shared" si="99"/>
        <v>5.1288626747018852E-3</v>
      </c>
      <c r="BE367" s="21">
        <f t="shared" si="99"/>
        <v>6.2597809076682318E-3</v>
      </c>
      <c r="BF367" s="21">
        <f t="shared" si="99"/>
        <v>1.8758206715438003E-2</v>
      </c>
      <c r="BG367" s="21">
        <f t="shared" si="99"/>
        <v>1.4617847695948767E-2</v>
      </c>
      <c r="BH367" s="21">
        <f t="shared" si="99"/>
        <v>2.2091148076965558E-3</v>
      </c>
      <c r="BI367" s="21">
        <f t="shared" si="99"/>
        <v>4.0271591613843761E-3</v>
      </c>
      <c r="BJ367" s="23">
        <f t="shared" si="92"/>
        <v>6.9513738883432334E-3</v>
      </c>
    </row>
    <row r="368" spans="1:62" x14ac:dyDescent="0.25">
      <c r="A368" s="12"/>
      <c r="B368" s="2"/>
      <c r="C368" s="2" t="s">
        <v>9</v>
      </c>
      <c r="D368" s="3">
        <v>5454</v>
      </c>
      <c r="E368" s="3">
        <v>4465</v>
      </c>
      <c r="F368" s="3">
        <v>5378</v>
      </c>
      <c r="G368" s="3">
        <v>5871</v>
      </c>
      <c r="H368" s="3">
        <v>6645</v>
      </c>
      <c r="I368" s="3">
        <v>5835</v>
      </c>
      <c r="J368" s="3">
        <v>5858</v>
      </c>
      <c r="K368" s="3">
        <v>6334</v>
      </c>
      <c r="L368" s="3">
        <v>6918</v>
      </c>
      <c r="M368" s="3">
        <v>7678</v>
      </c>
      <c r="N368" s="3">
        <v>8356</v>
      </c>
      <c r="O368" s="3">
        <v>7458</v>
      </c>
      <c r="P368" s="3">
        <v>8115</v>
      </c>
      <c r="Q368" s="3">
        <v>8744</v>
      </c>
      <c r="R368" s="3">
        <v>8692</v>
      </c>
      <c r="S368" s="3">
        <v>9148</v>
      </c>
      <c r="T368" s="3">
        <v>9705</v>
      </c>
      <c r="U368" s="3">
        <v>9885</v>
      </c>
      <c r="V368" s="3">
        <v>10036</v>
      </c>
      <c r="W368" s="3">
        <v>10770</v>
      </c>
      <c r="X368" s="3">
        <v>11200</v>
      </c>
      <c r="Y368" s="3">
        <v>11215</v>
      </c>
      <c r="Z368" s="3">
        <v>11521</v>
      </c>
      <c r="AA368" s="3">
        <v>12000</v>
      </c>
      <c r="AB368" s="3">
        <v>12312</v>
      </c>
      <c r="AC368" s="3">
        <v>12754</v>
      </c>
      <c r="AD368" s="3">
        <v>13200</v>
      </c>
      <c r="AE368" s="3">
        <v>13800</v>
      </c>
      <c r="AF368" s="3">
        <v>14886</v>
      </c>
      <c r="AG368" s="3">
        <v>15316</v>
      </c>
      <c r="AH368" s="3">
        <v>16206</v>
      </c>
      <c r="AI368" s="3">
        <v>16907</v>
      </c>
      <c r="AJ368" s="3">
        <v>17405</v>
      </c>
      <c r="AK368" s="3">
        <v>17900</v>
      </c>
      <c r="AL368" s="3">
        <v>18137</v>
      </c>
      <c r="AM368" s="3">
        <v>18904</v>
      </c>
      <c r="AN368" s="3">
        <v>20124</v>
      </c>
      <c r="AO368" s="3">
        <v>20258</v>
      </c>
      <c r="AP368" s="3">
        <v>21284</v>
      </c>
      <c r="AQ368" s="3">
        <v>20452</v>
      </c>
      <c r="AR368" s="3">
        <v>20500</v>
      </c>
      <c r="AS368" s="3">
        <v>19800</v>
      </c>
      <c r="AT368" s="3">
        <v>18380</v>
      </c>
      <c r="AU368" s="3">
        <v>18900</v>
      </c>
      <c r="AV368" s="3">
        <v>19500</v>
      </c>
      <c r="AW368" s="3">
        <v>20100</v>
      </c>
      <c r="AX368" s="3">
        <v>21700</v>
      </c>
      <c r="AY368" s="3">
        <v>22400</v>
      </c>
      <c r="AZ368" s="3">
        <v>22800</v>
      </c>
      <c r="BA368" s="3">
        <v>23000</v>
      </c>
      <c r="BB368" s="3">
        <v>23200</v>
      </c>
      <c r="BC368" s="13">
        <v>0</v>
      </c>
      <c r="BD368" s="20">
        <f t="shared" si="99"/>
        <v>3.2593202776746287E-2</v>
      </c>
      <c r="BE368" s="20">
        <f t="shared" si="99"/>
        <v>3.5096685708370802E-2</v>
      </c>
      <c r="BF368" s="20">
        <f t="shared" si="99"/>
        <v>3.6524915210018265E-2</v>
      </c>
      <c r="BG368" s="20">
        <f t="shared" si="99"/>
        <v>3.5919370465770255E-2</v>
      </c>
      <c r="BH368" s="20">
        <f t="shared" si="99"/>
        <v>3.5373241526955181E-2</v>
      </c>
      <c r="BI368" s="20">
        <f t="shared" si="99"/>
        <v>3.5110340297893075E-2</v>
      </c>
      <c r="BJ368" s="23">
        <f t="shared" si="92"/>
        <v>3.5467650763539506E-2</v>
      </c>
    </row>
    <row r="369" spans="1:62" s="5" customFormat="1" x14ac:dyDescent="0.25">
      <c r="A369" s="14" t="s">
        <v>29</v>
      </c>
      <c r="B369" s="6" t="s">
        <v>5</v>
      </c>
      <c r="C369" s="6" t="s">
        <v>6</v>
      </c>
      <c r="D369" s="7">
        <v>0</v>
      </c>
      <c r="E369" s="7">
        <v>0</v>
      </c>
      <c r="F369" s="7">
        <v>0</v>
      </c>
      <c r="G369" s="7">
        <v>0</v>
      </c>
      <c r="H369" s="7">
        <v>0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0</v>
      </c>
      <c r="Q369" s="7">
        <v>0</v>
      </c>
      <c r="R369" s="7">
        <v>0</v>
      </c>
      <c r="S369" s="7">
        <v>0</v>
      </c>
      <c r="T369" s="7">
        <v>0</v>
      </c>
      <c r="U369" s="7">
        <v>0</v>
      </c>
      <c r="V369" s="7">
        <v>0</v>
      </c>
      <c r="W369" s="7">
        <v>0</v>
      </c>
      <c r="X369" s="7">
        <v>0</v>
      </c>
      <c r="Y369" s="7">
        <v>0</v>
      </c>
      <c r="Z369" s="7">
        <v>0</v>
      </c>
      <c r="AA369" s="7">
        <v>0</v>
      </c>
      <c r="AB369" s="7">
        <v>0</v>
      </c>
      <c r="AC369" s="7">
        <v>0</v>
      </c>
      <c r="AD369" s="7">
        <v>0</v>
      </c>
      <c r="AE369" s="8">
        <v>3844</v>
      </c>
      <c r="AF369" s="8">
        <v>3814</v>
      </c>
      <c r="AG369" s="8">
        <v>4663</v>
      </c>
      <c r="AH369" s="8">
        <v>2451</v>
      </c>
      <c r="AI369" s="8">
        <v>1969</v>
      </c>
      <c r="AJ369" s="8">
        <v>2135</v>
      </c>
      <c r="AK369" s="8">
        <v>2447</v>
      </c>
      <c r="AL369" s="7">
        <v>900</v>
      </c>
      <c r="AM369" s="8">
        <v>1700</v>
      </c>
      <c r="AN369" s="8">
        <v>1081</v>
      </c>
      <c r="AO369" s="8">
        <v>2652</v>
      </c>
      <c r="AP369" s="7">
        <v>800</v>
      </c>
      <c r="AQ369" s="8">
        <v>1034</v>
      </c>
      <c r="AR369" s="8">
        <v>1489</v>
      </c>
      <c r="AS369" s="7">
        <v>808</v>
      </c>
      <c r="AT369" s="8">
        <v>1499</v>
      </c>
      <c r="AU369" s="8">
        <v>2031</v>
      </c>
      <c r="AV369" s="8">
        <v>3373</v>
      </c>
      <c r="AW369" s="8">
        <v>3060</v>
      </c>
      <c r="AX369" s="8">
        <v>3510</v>
      </c>
      <c r="AY369" s="8">
        <v>3798</v>
      </c>
      <c r="AZ369" s="8">
        <v>6682</v>
      </c>
      <c r="BA369" s="8">
        <v>3963</v>
      </c>
      <c r="BB369" s="8">
        <v>3075</v>
      </c>
      <c r="BC369" s="15">
        <v>0</v>
      </c>
      <c r="BD369" s="21">
        <f t="shared" ref="BD369:BI372" si="100">AW369/AW547</f>
        <v>4.3748159289049519E-3</v>
      </c>
      <c r="BE369" s="21">
        <f t="shared" si="100"/>
        <v>4.9189218732263503E-3</v>
      </c>
      <c r="BF369" s="21">
        <f t="shared" si="100"/>
        <v>4.7805334863909614E-3</v>
      </c>
      <c r="BG369" s="21">
        <f t="shared" si="100"/>
        <v>8.3647962504882177E-3</v>
      </c>
      <c r="BH369" s="21">
        <f t="shared" si="100"/>
        <v>4.8779767289861119E-3</v>
      </c>
      <c r="BI369" s="21">
        <f t="shared" si="100"/>
        <v>3.773279292611367E-3</v>
      </c>
      <c r="BJ369" s="23">
        <f t="shared" si="92"/>
        <v>5.6720174240285663E-3</v>
      </c>
    </row>
    <row r="370" spans="1:62" x14ac:dyDescent="0.25">
      <c r="A370" s="12"/>
      <c r="B370" s="2"/>
      <c r="C370" s="2" t="s">
        <v>7</v>
      </c>
      <c r="D370" s="4">
        <v>0</v>
      </c>
      <c r="E370" s="4">
        <v>0</v>
      </c>
      <c r="F370" s="4">
        <v>0</v>
      </c>
      <c r="G370" s="4">
        <v>0</v>
      </c>
      <c r="H370" s="4">
        <v>0</v>
      </c>
      <c r="I370" s="4">
        <v>0</v>
      </c>
      <c r="J370" s="4">
        <v>0</v>
      </c>
      <c r="K370" s="4">
        <v>0</v>
      </c>
      <c r="L370" s="4">
        <v>0</v>
      </c>
      <c r="M370" s="4">
        <v>0</v>
      </c>
      <c r="N370" s="4">
        <v>0</v>
      </c>
      <c r="O370" s="4">
        <v>0</v>
      </c>
      <c r="P370" s="4">
        <v>0</v>
      </c>
      <c r="Q370" s="4">
        <v>0</v>
      </c>
      <c r="R370" s="4">
        <v>0</v>
      </c>
      <c r="S370" s="4">
        <v>0</v>
      </c>
      <c r="T370" s="4">
        <v>0</v>
      </c>
      <c r="U370" s="4">
        <v>0</v>
      </c>
      <c r="V370" s="4">
        <v>0</v>
      </c>
      <c r="W370" s="4">
        <v>0</v>
      </c>
      <c r="X370" s="4">
        <v>0</v>
      </c>
      <c r="Y370" s="4">
        <v>0</v>
      </c>
      <c r="Z370" s="4">
        <v>0</v>
      </c>
      <c r="AA370" s="4">
        <v>0</v>
      </c>
      <c r="AB370" s="4">
        <v>0</v>
      </c>
      <c r="AC370" s="4">
        <v>0</v>
      </c>
      <c r="AD370" s="4">
        <v>0</v>
      </c>
      <c r="AE370" s="3">
        <v>5000</v>
      </c>
      <c r="AF370" s="3">
        <v>13575</v>
      </c>
      <c r="AG370" s="3">
        <v>10750</v>
      </c>
      <c r="AH370" s="3">
        <v>6050</v>
      </c>
      <c r="AI370" s="3">
        <v>6025</v>
      </c>
      <c r="AJ370" s="3">
        <v>4271</v>
      </c>
      <c r="AK370" s="3">
        <v>2765</v>
      </c>
      <c r="AL370" s="4">
        <v>111</v>
      </c>
      <c r="AM370" s="4">
        <v>112</v>
      </c>
      <c r="AN370" s="4">
        <v>231</v>
      </c>
      <c r="AO370" s="4">
        <v>85</v>
      </c>
      <c r="AP370" s="4">
        <v>524</v>
      </c>
      <c r="AQ370" s="4">
        <v>870</v>
      </c>
      <c r="AR370" s="4">
        <v>150</v>
      </c>
      <c r="AS370" s="4">
        <v>534</v>
      </c>
      <c r="AT370" s="4">
        <v>99</v>
      </c>
      <c r="AU370" s="4">
        <v>496</v>
      </c>
      <c r="AV370" s="4">
        <v>226</v>
      </c>
      <c r="AW370" s="4">
        <v>306</v>
      </c>
      <c r="AX370" s="4">
        <v>108</v>
      </c>
      <c r="AY370" s="4">
        <v>341</v>
      </c>
      <c r="AZ370" s="4">
        <v>51</v>
      </c>
      <c r="BA370" s="4">
        <v>50</v>
      </c>
      <c r="BB370" s="4">
        <v>500</v>
      </c>
      <c r="BC370" s="13">
        <v>0</v>
      </c>
      <c r="BD370" s="20">
        <f t="shared" si="100"/>
        <v>3.794925217650123E-3</v>
      </c>
      <c r="BE370" s="20">
        <f t="shared" si="100"/>
        <v>1.1923951685914281E-3</v>
      </c>
      <c r="BF370" s="20">
        <f t="shared" si="100"/>
        <v>3.461331546839632E-3</v>
      </c>
      <c r="BG370" s="20">
        <f t="shared" si="100"/>
        <v>6.1753060409023208E-4</v>
      </c>
      <c r="BH370" s="20">
        <f t="shared" si="100"/>
        <v>5.5653257941719911E-4</v>
      </c>
      <c r="BI370" s="20">
        <f t="shared" si="100"/>
        <v>5.4523843276664888E-3</v>
      </c>
      <c r="BJ370" s="23">
        <f t="shared" si="92"/>
        <v>2.2088158370579731E-3</v>
      </c>
    </row>
    <row r="371" spans="1:62" s="5" customFormat="1" x14ac:dyDescent="0.25">
      <c r="A371" s="14"/>
      <c r="B371" s="6"/>
      <c r="C371" s="6" t="s">
        <v>8</v>
      </c>
      <c r="D371" s="7">
        <v>0</v>
      </c>
      <c r="E371" s="7">
        <v>0</v>
      </c>
      <c r="F371" s="7">
        <v>0</v>
      </c>
      <c r="G371" s="7">
        <v>0</v>
      </c>
      <c r="H371" s="7">
        <v>0</v>
      </c>
      <c r="I371" s="7">
        <v>0</v>
      </c>
      <c r="J371" s="7">
        <v>0</v>
      </c>
      <c r="K371" s="7">
        <v>0</v>
      </c>
      <c r="L371" s="7">
        <v>0</v>
      </c>
      <c r="M371" s="7">
        <v>0</v>
      </c>
      <c r="N371" s="7">
        <v>0</v>
      </c>
      <c r="O371" s="7">
        <v>0</v>
      </c>
      <c r="P371" s="7">
        <v>0</v>
      </c>
      <c r="Q371" s="7">
        <v>0</v>
      </c>
      <c r="R371" s="7">
        <v>0</v>
      </c>
      <c r="S371" s="7">
        <v>0</v>
      </c>
      <c r="T371" s="7">
        <v>0</v>
      </c>
      <c r="U371" s="7">
        <v>0</v>
      </c>
      <c r="V371" s="7">
        <v>0</v>
      </c>
      <c r="W371" s="7">
        <v>0</v>
      </c>
      <c r="X371" s="7">
        <v>0</v>
      </c>
      <c r="Y371" s="7">
        <v>0</v>
      </c>
      <c r="Z371" s="7">
        <v>0</v>
      </c>
      <c r="AA371" s="7">
        <v>0</v>
      </c>
      <c r="AB371" s="7">
        <v>0</v>
      </c>
      <c r="AC371" s="7">
        <v>0</v>
      </c>
      <c r="AD371" s="7">
        <v>0</v>
      </c>
      <c r="AE371" s="7">
        <v>500</v>
      </c>
      <c r="AF371" s="7">
        <v>100</v>
      </c>
      <c r="AG371" s="7">
        <v>150</v>
      </c>
      <c r="AH371" s="7">
        <v>400</v>
      </c>
      <c r="AI371" s="7">
        <v>300</v>
      </c>
      <c r="AJ371" s="7">
        <v>100</v>
      </c>
      <c r="AK371" s="7">
        <v>4</v>
      </c>
      <c r="AL371" s="7">
        <v>1</v>
      </c>
      <c r="AM371" s="7">
        <v>0</v>
      </c>
      <c r="AN371" s="7">
        <v>0</v>
      </c>
      <c r="AO371" s="7">
        <v>16</v>
      </c>
      <c r="AP371" s="7">
        <v>13</v>
      </c>
      <c r="AQ371" s="7">
        <v>0</v>
      </c>
      <c r="AR371" s="7">
        <v>1</v>
      </c>
      <c r="AS371" s="7">
        <v>0</v>
      </c>
      <c r="AT371" s="7">
        <v>12</v>
      </c>
      <c r="AU371" s="7">
        <v>0</v>
      </c>
      <c r="AV371" s="7">
        <v>44</v>
      </c>
      <c r="AW371" s="7">
        <v>53</v>
      </c>
      <c r="AX371" s="7">
        <v>77</v>
      </c>
      <c r="AY371" s="7">
        <v>49</v>
      </c>
      <c r="AZ371" s="8">
        <v>1331</v>
      </c>
      <c r="BA371" s="7">
        <v>427</v>
      </c>
      <c r="BB371" s="7">
        <v>25</v>
      </c>
      <c r="BC371" s="15">
        <v>0</v>
      </c>
      <c r="BD371" s="21">
        <f t="shared" si="100"/>
        <v>6.5373988553384642E-4</v>
      </c>
      <c r="BE371" s="21">
        <f t="shared" si="100"/>
        <v>8.186525192170705E-4</v>
      </c>
      <c r="BF371" s="21">
        <f t="shared" si="100"/>
        <v>4.9679617162786923E-4</v>
      </c>
      <c r="BG371" s="21">
        <f t="shared" si="100"/>
        <v>1.5757633158511607E-2</v>
      </c>
      <c r="BH371" s="21">
        <f t="shared" si="100"/>
        <v>4.4028334862811006E-3</v>
      </c>
      <c r="BI371" s="21">
        <f t="shared" si="100"/>
        <v>2.753394935956034E-4</v>
      </c>
      <c r="BJ371" s="23">
        <f t="shared" si="92"/>
        <v>6.8119353794627692E-3</v>
      </c>
    </row>
    <row r="372" spans="1:62" x14ac:dyDescent="0.25">
      <c r="A372" s="12"/>
      <c r="B372" s="2"/>
      <c r="C372" s="2" t="s">
        <v>9</v>
      </c>
      <c r="D372" s="4">
        <v>0</v>
      </c>
      <c r="E372" s="4">
        <v>0</v>
      </c>
      <c r="F372" s="4">
        <v>0</v>
      </c>
      <c r="G372" s="4">
        <v>0</v>
      </c>
      <c r="H372" s="4">
        <v>0</v>
      </c>
      <c r="I372" s="4">
        <v>0</v>
      </c>
      <c r="J372" s="4">
        <v>0</v>
      </c>
      <c r="K372" s="4">
        <v>0</v>
      </c>
      <c r="L372" s="4">
        <v>0</v>
      </c>
      <c r="M372" s="4">
        <v>0</v>
      </c>
      <c r="N372" s="4">
        <v>0</v>
      </c>
      <c r="O372" s="4">
        <v>0</v>
      </c>
      <c r="P372" s="4">
        <v>0</v>
      </c>
      <c r="Q372" s="4">
        <v>0</v>
      </c>
      <c r="R372" s="4">
        <v>0</v>
      </c>
      <c r="S372" s="4">
        <v>0</v>
      </c>
      <c r="T372" s="4">
        <v>0</v>
      </c>
      <c r="U372" s="4">
        <v>0</v>
      </c>
      <c r="V372" s="4">
        <v>0</v>
      </c>
      <c r="W372" s="4">
        <v>0</v>
      </c>
      <c r="X372" s="4">
        <v>0</v>
      </c>
      <c r="Y372" s="4">
        <v>0</v>
      </c>
      <c r="Z372" s="4">
        <v>0</v>
      </c>
      <c r="AA372" s="4">
        <v>0</v>
      </c>
      <c r="AB372" s="4">
        <v>0</v>
      </c>
      <c r="AC372" s="4">
        <v>0</v>
      </c>
      <c r="AD372" s="4">
        <v>0</v>
      </c>
      <c r="AE372" s="3">
        <v>7400</v>
      </c>
      <c r="AF372" s="3">
        <v>15665</v>
      </c>
      <c r="AG372" s="3">
        <v>15775</v>
      </c>
      <c r="AH372" s="3">
        <v>8600</v>
      </c>
      <c r="AI372" s="3">
        <v>8295</v>
      </c>
      <c r="AJ372" s="3">
        <v>6175</v>
      </c>
      <c r="AK372" s="3">
        <v>5650</v>
      </c>
      <c r="AL372" s="3">
        <v>1800</v>
      </c>
      <c r="AM372" s="3">
        <v>1800</v>
      </c>
      <c r="AN372" s="3">
        <v>1330</v>
      </c>
      <c r="AO372" s="3">
        <v>2370</v>
      </c>
      <c r="AP372" s="3">
        <v>1710</v>
      </c>
      <c r="AQ372" s="3">
        <v>1845</v>
      </c>
      <c r="AR372" s="3">
        <v>1700</v>
      </c>
      <c r="AS372" s="3">
        <v>1350</v>
      </c>
      <c r="AT372" s="3">
        <v>1600</v>
      </c>
      <c r="AU372" s="3">
        <v>2550</v>
      </c>
      <c r="AV372" s="3">
        <v>3500</v>
      </c>
      <c r="AW372" s="3">
        <v>3300</v>
      </c>
      <c r="AX372" s="3">
        <v>3600</v>
      </c>
      <c r="AY372" s="3">
        <v>4100</v>
      </c>
      <c r="AZ372" s="3">
        <v>5200</v>
      </c>
      <c r="BA372" s="3">
        <v>3700</v>
      </c>
      <c r="BB372" s="3">
        <v>3600</v>
      </c>
      <c r="BC372" s="13">
        <v>0</v>
      </c>
      <c r="BD372" s="20">
        <f t="shared" si="100"/>
        <v>4.6743997291681123E-3</v>
      </c>
      <c r="BE372" s="20">
        <f t="shared" si="100"/>
        <v>4.9674905341708158E-3</v>
      </c>
      <c r="BF372" s="20">
        <f t="shared" si="100"/>
        <v>5.3091959158039223E-3</v>
      </c>
      <c r="BG372" s="20">
        <f t="shared" si="100"/>
        <v>6.6654275807702416E-3</v>
      </c>
      <c r="BH372" s="20">
        <f t="shared" si="100"/>
        <v>4.5760760271744711E-3</v>
      </c>
      <c r="BI372" s="20">
        <f t="shared" si="100"/>
        <v>4.2896822417879399E-3</v>
      </c>
      <c r="BJ372" s="23">
        <f t="shared" si="92"/>
        <v>5.1770619499108836E-3</v>
      </c>
    </row>
    <row r="373" spans="1:62" s="5" customFormat="1" x14ac:dyDescent="0.25">
      <c r="A373" s="14"/>
      <c r="B373" s="6" t="s">
        <v>10</v>
      </c>
      <c r="C373" s="6" t="s">
        <v>7</v>
      </c>
      <c r="D373" s="7">
        <v>0</v>
      </c>
      <c r="E373" s="7">
        <v>0</v>
      </c>
      <c r="F373" s="7">
        <v>0</v>
      </c>
      <c r="G373" s="7">
        <v>0</v>
      </c>
      <c r="H373" s="7">
        <v>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0</v>
      </c>
      <c r="Q373" s="7">
        <v>0</v>
      </c>
      <c r="R373" s="7">
        <v>0</v>
      </c>
      <c r="S373" s="7">
        <v>0</v>
      </c>
      <c r="T373" s="7">
        <v>0</v>
      </c>
      <c r="U373" s="7">
        <v>0</v>
      </c>
      <c r="V373" s="7">
        <v>0</v>
      </c>
      <c r="W373" s="7">
        <v>0</v>
      </c>
      <c r="X373" s="7">
        <v>0</v>
      </c>
      <c r="Y373" s="7">
        <v>0</v>
      </c>
      <c r="Z373" s="7">
        <v>0</v>
      </c>
      <c r="AA373" s="7">
        <v>0</v>
      </c>
      <c r="AB373" s="7">
        <v>0</v>
      </c>
      <c r="AC373" s="7">
        <v>0</v>
      </c>
      <c r="AD373" s="7">
        <v>0</v>
      </c>
      <c r="AE373" s="8">
        <v>5395</v>
      </c>
      <c r="AF373" s="8">
        <v>5827</v>
      </c>
      <c r="AG373" s="8">
        <v>5878</v>
      </c>
      <c r="AH373" s="8">
        <v>5290</v>
      </c>
      <c r="AI373" s="8">
        <v>3900</v>
      </c>
      <c r="AJ373" s="8">
        <v>2650</v>
      </c>
      <c r="AK373" s="8">
        <v>3000</v>
      </c>
      <c r="AL373" s="8">
        <v>2159</v>
      </c>
      <c r="AM373" s="8">
        <v>1100</v>
      </c>
      <c r="AN373" s="8">
        <v>1000</v>
      </c>
      <c r="AO373" s="8">
        <v>1225</v>
      </c>
      <c r="AP373" s="7">
        <v>850</v>
      </c>
      <c r="AQ373" s="8">
        <v>1600</v>
      </c>
      <c r="AR373" s="8">
        <v>1650</v>
      </c>
      <c r="AS373" s="8">
        <v>1800</v>
      </c>
      <c r="AT373" s="8">
        <v>1650</v>
      </c>
      <c r="AU373" s="8">
        <v>1475</v>
      </c>
      <c r="AV373" s="8">
        <v>1450</v>
      </c>
      <c r="AW373" s="8">
        <v>1375</v>
      </c>
      <c r="AX373" s="8">
        <v>1325</v>
      </c>
      <c r="AY373" s="8">
        <v>1125</v>
      </c>
      <c r="AZ373" s="7">
        <v>845</v>
      </c>
      <c r="BA373" s="7">
        <v>600</v>
      </c>
      <c r="BB373" s="7">
        <v>550</v>
      </c>
      <c r="BC373" s="15">
        <v>0</v>
      </c>
      <c r="BD373" s="21">
        <f t="shared" ref="BD373:BI383" si="101">AW373/AW552</f>
        <v>3.0711844720913092E-2</v>
      </c>
      <c r="BE373" s="21">
        <f t="shared" si="101"/>
        <v>3.4841831234058221E-2</v>
      </c>
      <c r="BF373" s="21">
        <f t="shared" si="101"/>
        <v>2.8876511204086346E-2</v>
      </c>
      <c r="BG373" s="21">
        <f t="shared" si="101"/>
        <v>2.8033042497428922E-2</v>
      </c>
      <c r="BH373" s="21">
        <f t="shared" si="101"/>
        <v>1.6591085056962725E-2</v>
      </c>
      <c r="BI373" s="21">
        <f t="shared" si="101"/>
        <v>1.4425094418799833E-2</v>
      </c>
      <c r="BJ373" s="23">
        <f t="shared" si="92"/>
        <v>1.9683073991063827E-2</v>
      </c>
    </row>
    <row r="374" spans="1:62" x14ac:dyDescent="0.25">
      <c r="A374" s="12"/>
      <c r="B374" s="2"/>
      <c r="C374" s="2" t="s">
        <v>8</v>
      </c>
      <c r="D374" s="4">
        <v>0</v>
      </c>
      <c r="E374" s="4">
        <v>0</v>
      </c>
      <c r="F374" s="4">
        <v>0</v>
      </c>
      <c r="G374" s="4">
        <v>0</v>
      </c>
      <c r="H374" s="4">
        <v>0</v>
      </c>
      <c r="I374" s="4">
        <v>0</v>
      </c>
      <c r="J374" s="4">
        <v>0</v>
      </c>
      <c r="K374" s="4">
        <v>0</v>
      </c>
      <c r="L374" s="4">
        <v>0</v>
      </c>
      <c r="M374" s="4">
        <v>0</v>
      </c>
      <c r="N374" s="4">
        <v>0</v>
      </c>
      <c r="O374" s="4">
        <v>0</v>
      </c>
      <c r="P374" s="4">
        <v>0</v>
      </c>
      <c r="Q374" s="4">
        <v>0</v>
      </c>
      <c r="R374" s="4">
        <v>0</v>
      </c>
      <c r="S374" s="4">
        <v>0</v>
      </c>
      <c r="T374" s="4">
        <v>0</v>
      </c>
      <c r="U374" s="4">
        <v>0</v>
      </c>
      <c r="V374" s="4">
        <v>0</v>
      </c>
      <c r="W374" s="4">
        <v>0</v>
      </c>
      <c r="X374" s="4">
        <v>0</v>
      </c>
      <c r="Y374" s="4">
        <v>0</v>
      </c>
      <c r="Z374" s="4">
        <v>0</v>
      </c>
      <c r="AA374" s="4">
        <v>0</v>
      </c>
      <c r="AB374" s="4">
        <v>0</v>
      </c>
      <c r="AC374" s="4">
        <v>0</v>
      </c>
      <c r="AD374" s="4">
        <v>0</v>
      </c>
      <c r="AE374" s="4">
        <v>0</v>
      </c>
      <c r="AF374" s="4">
        <v>0</v>
      </c>
      <c r="AG374" s="4">
        <v>0</v>
      </c>
      <c r="AH374" s="4">
        <v>0</v>
      </c>
      <c r="AI374" s="4">
        <v>0</v>
      </c>
      <c r="AJ374" s="4">
        <v>450</v>
      </c>
      <c r="AK374" s="4">
        <v>827</v>
      </c>
      <c r="AL374" s="4">
        <v>666</v>
      </c>
      <c r="AM374" s="4">
        <v>0</v>
      </c>
      <c r="AN374" s="4">
        <v>0</v>
      </c>
      <c r="AO374" s="4">
        <v>0</v>
      </c>
      <c r="AP374" s="4">
        <v>0</v>
      </c>
      <c r="AQ374" s="4">
        <v>0</v>
      </c>
      <c r="AR374" s="4">
        <v>0</v>
      </c>
      <c r="AS374" s="4">
        <v>0</v>
      </c>
      <c r="AT374" s="4">
        <v>0</v>
      </c>
      <c r="AU374" s="4">
        <v>0</v>
      </c>
      <c r="AV374" s="4">
        <v>0</v>
      </c>
      <c r="AW374" s="4">
        <v>0</v>
      </c>
      <c r="AX374" s="4">
        <v>0</v>
      </c>
      <c r="AY374" s="4">
        <v>0</v>
      </c>
      <c r="AZ374" s="4">
        <v>0</v>
      </c>
      <c r="BA374" s="4">
        <v>0</v>
      </c>
      <c r="BB374" s="4">
        <v>0</v>
      </c>
      <c r="BC374" s="13">
        <v>0</v>
      </c>
      <c r="BD374" s="20">
        <f t="shared" si="101"/>
        <v>0</v>
      </c>
      <c r="BE374" s="20">
        <f t="shared" si="101"/>
        <v>0</v>
      </c>
      <c r="BF374" s="20">
        <f t="shared" si="101"/>
        <v>0</v>
      </c>
      <c r="BG374" s="20">
        <f t="shared" si="101"/>
        <v>0</v>
      </c>
      <c r="BH374" s="20">
        <f t="shared" si="101"/>
        <v>0</v>
      </c>
      <c r="BI374" s="20">
        <f t="shared" si="101"/>
        <v>0</v>
      </c>
      <c r="BJ374" s="23">
        <f t="shared" si="92"/>
        <v>0</v>
      </c>
    </row>
    <row r="375" spans="1:62" s="5" customFormat="1" x14ac:dyDescent="0.25">
      <c r="A375" s="14"/>
      <c r="B375" s="6"/>
      <c r="C375" s="6" t="s">
        <v>9</v>
      </c>
      <c r="D375" s="7">
        <v>0</v>
      </c>
      <c r="E375" s="7">
        <v>0</v>
      </c>
      <c r="F375" s="7">
        <v>0</v>
      </c>
      <c r="G375" s="7">
        <v>0</v>
      </c>
      <c r="H375" s="7">
        <v>0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  <c r="Q375" s="7">
        <v>0</v>
      </c>
      <c r="R375" s="7">
        <v>0</v>
      </c>
      <c r="S375" s="7">
        <v>0</v>
      </c>
      <c r="T375" s="7">
        <v>0</v>
      </c>
      <c r="U375" s="7">
        <v>0</v>
      </c>
      <c r="V375" s="7">
        <v>0</v>
      </c>
      <c r="W375" s="7">
        <v>0</v>
      </c>
      <c r="X375" s="7">
        <v>0</v>
      </c>
      <c r="Y375" s="7">
        <v>0</v>
      </c>
      <c r="Z375" s="7">
        <v>0</v>
      </c>
      <c r="AA375" s="7">
        <v>0</v>
      </c>
      <c r="AB375" s="7">
        <v>0</v>
      </c>
      <c r="AC375" s="7">
        <v>0</v>
      </c>
      <c r="AD375" s="7">
        <v>0</v>
      </c>
      <c r="AE375" s="8">
        <v>5665</v>
      </c>
      <c r="AF375" s="8">
        <v>5600</v>
      </c>
      <c r="AG375" s="8">
        <v>5831</v>
      </c>
      <c r="AH375" s="8">
        <v>5469</v>
      </c>
      <c r="AI375" s="8">
        <v>4539</v>
      </c>
      <c r="AJ375" s="8">
        <v>2200</v>
      </c>
      <c r="AK375" s="8">
        <v>2200</v>
      </c>
      <c r="AL375" s="8">
        <v>1263</v>
      </c>
      <c r="AM375" s="8">
        <v>1150</v>
      </c>
      <c r="AN375" s="8">
        <v>1150</v>
      </c>
      <c r="AO375" s="8">
        <v>1200</v>
      </c>
      <c r="AP375" s="7">
        <v>920</v>
      </c>
      <c r="AQ375" s="8">
        <v>1550</v>
      </c>
      <c r="AR375" s="8">
        <v>1600</v>
      </c>
      <c r="AS375" s="8">
        <v>1800</v>
      </c>
      <c r="AT375" s="8">
        <v>1650</v>
      </c>
      <c r="AU375" s="8">
        <v>1500</v>
      </c>
      <c r="AV375" s="8">
        <v>1425</v>
      </c>
      <c r="AW375" s="8">
        <v>1375</v>
      </c>
      <c r="AX375" s="8">
        <v>1325</v>
      </c>
      <c r="AY375" s="8">
        <v>1150</v>
      </c>
      <c r="AZ375" s="7">
        <v>900</v>
      </c>
      <c r="BA375" s="7">
        <v>650</v>
      </c>
      <c r="BB375" s="7">
        <v>550</v>
      </c>
      <c r="BC375" s="15">
        <v>0</v>
      </c>
      <c r="BD375" s="21">
        <f t="shared" si="101"/>
        <v>1.1952572193536048E-2</v>
      </c>
      <c r="BE375" s="21">
        <f t="shared" si="101"/>
        <v>1.0861902185496696E-2</v>
      </c>
      <c r="BF375" s="21">
        <f t="shared" si="101"/>
        <v>9.4904064369713218E-3</v>
      </c>
      <c r="BG375" s="21">
        <f t="shared" si="101"/>
        <v>8.3805905522809174E-3</v>
      </c>
      <c r="BH375" s="21">
        <f t="shared" si="101"/>
        <v>5.4875011608175534E-3</v>
      </c>
      <c r="BI375" s="21">
        <f t="shared" si="101"/>
        <v>4.7019397638771339E-3</v>
      </c>
      <c r="BJ375" s="23">
        <f t="shared" si="92"/>
        <v>6.1900104923252016E-3</v>
      </c>
    </row>
    <row r="376" spans="1:62" x14ac:dyDescent="0.25">
      <c r="A376" s="12"/>
      <c r="B376" s="2" t="s">
        <v>11</v>
      </c>
      <c r="C376" s="2" t="s">
        <v>6</v>
      </c>
      <c r="D376" s="4">
        <v>0</v>
      </c>
      <c r="E376" s="4">
        <v>0</v>
      </c>
      <c r="F376" s="4">
        <v>0</v>
      </c>
      <c r="G376" s="4">
        <v>0</v>
      </c>
      <c r="H376" s="4">
        <v>0</v>
      </c>
      <c r="I376" s="4">
        <v>0</v>
      </c>
      <c r="J376" s="4">
        <v>0</v>
      </c>
      <c r="K376" s="4">
        <v>0</v>
      </c>
      <c r="L376" s="4">
        <v>0</v>
      </c>
      <c r="M376" s="4">
        <v>0</v>
      </c>
      <c r="N376" s="4">
        <v>0</v>
      </c>
      <c r="O376" s="4">
        <v>0</v>
      </c>
      <c r="P376" s="4">
        <v>0</v>
      </c>
      <c r="Q376" s="4">
        <v>0</v>
      </c>
      <c r="R376" s="4">
        <v>0</v>
      </c>
      <c r="S376" s="4">
        <v>0</v>
      </c>
      <c r="T376" s="4">
        <v>0</v>
      </c>
      <c r="U376" s="4">
        <v>0</v>
      </c>
      <c r="V376" s="4">
        <v>0</v>
      </c>
      <c r="W376" s="4">
        <v>0</v>
      </c>
      <c r="X376" s="4">
        <v>0</v>
      </c>
      <c r="Y376" s="4">
        <v>0</v>
      </c>
      <c r="Z376" s="4">
        <v>0</v>
      </c>
      <c r="AA376" s="4">
        <v>0</v>
      </c>
      <c r="AB376" s="4">
        <v>0</v>
      </c>
      <c r="AC376" s="4">
        <v>0</v>
      </c>
      <c r="AD376" s="4">
        <v>0</v>
      </c>
      <c r="AE376" s="4">
        <v>541</v>
      </c>
      <c r="AF376" s="4">
        <v>675</v>
      </c>
      <c r="AG376" s="4">
        <v>738</v>
      </c>
      <c r="AH376" s="4">
        <v>717</v>
      </c>
      <c r="AI376" s="4">
        <v>624</v>
      </c>
      <c r="AJ376" s="4">
        <v>505</v>
      </c>
      <c r="AK376" s="4">
        <v>497</v>
      </c>
      <c r="AL376" s="4">
        <v>421</v>
      </c>
      <c r="AM376" s="4">
        <v>290</v>
      </c>
      <c r="AN376" s="4">
        <v>279</v>
      </c>
      <c r="AO376" s="4">
        <v>280</v>
      </c>
      <c r="AP376" s="4">
        <v>297</v>
      </c>
      <c r="AQ376" s="4">
        <v>334</v>
      </c>
      <c r="AR376" s="4">
        <v>342</v>
      </c>
      <c r="AS376" s="4">
        <v>350</v>
      </c>
      <c r="AT376" s="4">
        <v>423</v>
      </c>
      <c r="AU376" s="4">
        <v>393</v>
      </c>
      <c r="AV376" s="4">
        <v>555</v>
      </c>
      <c r="AW376" s="4">
        <v>689</v>
      </c>
      <c r="AX376" s="4">
        <v>807</v>
      </c>
      <c r="AY376" s="4">
        <v>652</v>
      </c>
      <c r="AZ376" s="4">
        <v>744</v>
      </c>
      <c r="BA376" s="4">
        <v>942</v>
      </c>
      <c r="BB376" s="3">
        <v>1200</v>
      </c>
      <c r="BC376" s="13">
        <v>0</v>
      </c>
      <c r="BD376" s="20">
        <f t="shared" si="101"/>
        <v>3.1223800783993839E-3</v>
      </c>
      <c r="BE376" s="20">
        <f t="shared" si="101"/>
        <v>3.4161188318312854E-3</v>
      </c>
      <c r="BF376" s="20">
        <f t="shared" si="101"/>
        <v>2.9582577132486387E-3</v>
      </c>
      <c r="BG376" s="20">
        <f t="shared" si="101"/>
        <v>3.5102287310334415E-3</v>
      </c>
      <c r="BH376" s="20">
        <f t="shared" si="101"/>
        <v>3.6199860119436483E-3</v>
      </c>
      <c r="BI376" s="20">
        <f t="shared" si="101"/>
        <v>4.598194442315651E-3</v>
      </c>
      <c r="BJ376" s="23">
        <f t="shared" si="92"/>
        <v>3.9094697284309133E-3</v>
      </c>
    </row>
    <row r="377" spans="1:62" s="5" customFormat="1" x14ac:dyDescent="0.25">
      <c r="A377" s="14"/>
      <c r="B377" s="6"/>
      <c r="C377" s="6" t="s">
        <v>7</v>
      </c>
      <c r="D377" s="7">
        <v>0</v>
      </c>
      <c r="E377" s="7">
        <v>0</v>
      </c>
      <c r="F377" s="7">
        <v>0</v>
      </c>
      <c r="G377" s="7">
        <v>0</v>
      </c>
      <c r="H377" s="7">
        <v>0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0</v>
      </c>
      <c r="Q377" s="7">
        <v>0</v>
      </c>
      <c r="R377" s="7">
        <v>0</v>
      </c>
      <c r="S377" s="7">
        <v>0</v>
      </c>
      <c r="T377" s="7">
        <v>0</v>
      </c>
      <c r="U377" s="7">
        <v>0</v>
      </c>
      <c r="V377" s="7">
        <v>0</v>
      </c>
      <c r="W377" s="7">
        <v>0</v>
      </c>
      <c r="X377" s="7">
        <v>0</v>
      </c>
      <c r="Y377" s="7">
        <v>0</v>
      </c>
      <c r="Z377" s="7">
        <v>0</v>
      </c>
      <c r="AA377" s="7">
        <v>0</v>
      </c>
      <c r="AB377" s="7">
        <v>0</v>
      </c>
      <c r="AC377" s="7">
        <v>0</v>
      </c>
      <c r="AD377" s="7">
        <v>0</v>
      </c>
      <c r="AE377" s="7">
        <v>425</v>
      </c>
      <c r="AF377" s="7">
        <v>200</v>
      </c>
      <c r="AG377" s="7">
        <v>200</v>
      </c>
      <c r="AH377" s="7">
        <v>180</v>
      </c>
      <c r="AI377" s="7">
        <v>75</v>
      </c>
      <c r="AJ377" s="7">
        <v>167</v>
      </c>
      <c r="AK377" s="7">
        <v>68</v>
      </c>
      <c r="AL377" s="7">
        <v>35</v>
      </c>
      <c r="AM377" s="7">
        <v>35</v>
      </c>
      <c r="AN377" s="7">
        <v>4</v>
      </c>
      <c r="AO377" s="7">
        <v>14</v>
      </c>
      <c r="AP377" s="7">
        <v>200</v>
      </c>
      <c r="AQ377" s="7">
        <v>65</v>
      </c>
      <c r="AR377" s="7">
        <v>22</v>
      </c>
      <c r="AS377" s="7">
        <v>64</v>
      </c>
      <c r="AT377" s="7">
        <v>15</v>
      </c>
      <c r="AU377" s="7">
        <v>1</v>
      </c>
      <c r="AV377" s="7">
        <v>40</v>
      </c>
      <c r="AW377" s="7">
        <v>2</v>
      </c>
      <c r="AX377" s="7">
        <v>34</v>
      </c>
      <c r="AY377" s="7">
        <v>442</v>
      </c>
      <c r="AZ377" s="7">
        <v>837</v>
      </c>
      <c r="BA377" s="8">
        <v>1037</v>
      </c>
      <c r="BB377" s="8">
        <v>1150</v>
      </c>
      <c r="BC377" s="15">
        <v>0</v>
      </c>
      <c r="BD377" s="21">
        <f t="shared" si="101"/>
        <v>3.1187138424113898E-5</v>
      </c>
      <c r="BE377" s="21">
        <f t="shared" si="101"/>
        <v>4.9230412811490957E-4</v>
      </c>
      <c r="BF377" s="21">
        <f t="shared" si="101"/>
        <v>5.6586140236330349E-3</v>
      </c>
      <c r="BG377" s="21">
        <f t="shared" si="101"/>
        <v>1.0817307692307692E-2</v>
      </c>
      <c r="BH377" s="21">
        <f t="shared" si="101"/>
        <v>1.1958715331834169E-2</v>
      </c>
      <c r="BI377" s="21">
        <f t="shared" si="101"/>
        <v>1.2058299255531089E-2</v>
      </c>
      <c r="BJ377" s="23">
        <f t="shared" si="92"/>
        <v>1.1611440759890984E-2</v>
      </c>
    </row>
    <row r="378" spans="1:62" x14ac:dyDescent="0.25">
      <c r="A378" s="12"/>
      <c r="B378" s="2"/>
      <c r="C378" s="2" t="s">
        <v>8</v>
      </c>
      <c r="D378" s="4">
        <v>0</v>
      </c>
      <c r="E378" s="4">
        <v>0</v>
      </c>
      <c r="F378" s="4">
        <v>0</v>
      </c>
      <c r="G378" s="4">
        <v>0</v>
      </c>
      <c r="H378" s="4">
        <v>0</v>
      </c>
      <c r="I378" s="4">
        <v>0</v>
      </c>
      <c r="J378" s="4">
        <v>0</v>
      </c>
      <c r="K378" s="4">
        <v>0</v>
      </c>
      <c r="L378" s="4">
        <v>0</v>
      </c>
      <c r="M378" s="4">
        <v>0</v>
      </c>
      <c r="N378" s="4">
        <v>0</v>
      </c>
      <c r="O378" s="4">
        <v>0</v>
      </c>
      <c r="P378" s="4">
        <v>0</v>
      </c>
      <c r="Q378" s="4">
        <v>0</v>
      </c>
      <c r="R378" s="4">
        <v>0</v>
      </c>
      <c r="S378" s="4">
        <v>0</v>
      </c>
      <c r="T378" s="4">
        <v>0</v>
      </c>
      <c r="U378" s="4">
        <v>0</v>
      </c>
      <c r="V378" s="4">
        <v>0</v>
      </c>
      <c r="W378" s="4">
        <v>0</v>
      </c>
      <c r="X378" s="4">
        <v>0</v>
      </c>
      <c r="Y378" s="4">
        <v>0</v>
      </c>
      <c r="Z378" s="4">
        <v>0</v>
      </c>
      <c r="AA378" s="4">
        <v>0</v>
      </c>
      <c r="AB378" s="4">
        <v>0</v>
      </c>
      <c r="AC378" s="4">
        <v>0</v>
      </c>
      <c r="AD378" s="4">
        <v>0</v>
      </c>
      <c r="AE378" s="4">
        <v>0</v>
      </c>
      <c r="AF378" s="4">
        <v>0</v>
      </c>
      <c r="AG378" s="4">
        <v>0</v>
      </c>
      <c r="AH378" s="4">
        <v>0</v>
      </c>
      <c r="AI378" s="4">
        <v>0</v>
      </c>
      <c r="AJ378" s="4">
        <v>5</v>
      </c>
      <c r="AK378" s="4">
        <v>17</v>
      </c>
      <c r="AL378" s="4">
        <v>56</v>
      </c>
      <c r="AM378" s="4">
        <v>50</v>
      </c>
      <c r="AN378" s="4">
        <v>85</v>
      </c>
      <c r="AO378" s="4">
        <v>57</v>
      </c>
      <c r="AP378" s="4">
        <v>80</v>
      </c>
      <c r="AQ378" s="4">
        <v>45</v>
      </c>
      <c r="AR378" s="4">
        <v>12</v>
      </c>
      <c r="AS378" s="4">
        <v>0</v>
      </c>
      <c r="AT378" s="4">
        <v>1</v>
      </c>
      <c r="AU378" s="4">
        <v>1</v>
      </c>
      <c r="AV378" s="4">
        <v>9</v>
      </c>
      <c r="AW378" s="4">
        <v>3</v>
      </c>
      <c r="AX378" s="4">
        <v>16</v>
      </c>
      <c r="AY378" s="4">
        <v>5</v>
      </c>
      <c r="AZ378" s="4">
        <v>2</v>
      </c>
      <c r="BA378" s="4">
        <v>0</v>
      </c>
      <c r="BB378" s="4">
        <v>1</v>
      </c>
      <c r="BC378" s="13">
        <v>0</v>
      </c>
      <c r="BD378" s="20">
        <f t="shared" si="101"/>
        <v>4.7294740824820283E-5</v>
      </c>
      <c r="BE378" s="20">
        <f t="shared" si="101"/>
        <v>2.2579416039852668E-4</v>
      </c>
      <c r="BF378" s="20">
        <f t="shared" si="101"/>
        <v>6.3471913678197394E-5</v>
      </c>
      <c r="BG378" s="20">
        <f t="shared" si="101"/>
        <v>2.6027432914291665E-5</v>
      </c>
      <c r="BH378" s="20">
        <f t="shared" si="101"/>
        <v>0</v>
      </c>
      <c r="BI378" s="20">
        <f t="shared" si="101"/>
        <v>1.0151253679829459E-5</v>
      </c>
      <c r="BJ378" s="23">
        <f t="shared" si="92"/>
        <v>1.2059562198040374E-5</v>
      </c>
    </row>
    <row r="379" spans="1:62" s="5" customFormat="1" x14ac:dyDescent="0.25">
      <c r="A379" s="14"/>
      <c r="B379" s="6"/>
      <c r="C379" s="6" t="s">
        <v>9</v>
      </c>
      <c r="D379" s="7">
        <v>0</v>
      </c>
      <c r="E379" s="7">
        <v>0</v>
      </c>
      <c r="F379" s="7">
        <v>0</v>
      </c>
      <c r="G379" s="7">
        <v>0</v>
      </c>
      <c r="H379" s="7">
        <v>0</v>
      </c>
      <c r="I379" s="7">
        <v>0</v>
      </c>
      <c r="J379" s="7">
        <v>0</v>
      </c>
      <c r="K379" s="7">
        <v>0</v>
      </c>
      <c r="L379" s="7">
        <v>0</v>
      </c>
      <c r="M379" s="7">
        <v>0</v>
      </c>
      <c r="N379" s="7">
        <v>0</v>
      </c>
      <c r="O379" s="7">
        <v>0</v>
      </c>
      <c r="P379" s="7">
        <v>0</v>
      </c>
      <c r="Q379" s="7">
        <v>0</v>
      </c>
      <c r="R379" s="7">
        <v>0</v>
      </c>
      <c r="S379" s="7">
        <v>0</v>
      </c>
      <c r="T379" s="7">
        <v>0</v>
      </c>
      <c r="U379" s="7">
        <v>0</v>
      </c>
      <c r="V379" s="7">
        <v>0</v>
      </c>
      <c r="W379" s="7">
        <v>0</v>
      </c>
      <c r="X379" s="7">
        <v>0</v>
      </c>
      <c r="Y379" s="7">
        <v>0</v>
      </c>
      <c r="Z379" s="7">
        <v>0</v>
      </c>
      <c r="AA379" s="7">
        <v>0</v>
      </c>
      <c r="AB379" s="7">
        <v>0</v>
      </c>
      <c r="AC379" s="7">
        <v>0</v>
      </c>
      <c r="AD379" s="7">
        <v>0</v>
      </c>
      <c r="AE379" s="7">
        <v>966</v>
      </c>
      <c r="AF379" s="7">
        <v>875</v>
      </c>
      <c r="AG379" s="7">
        <v>938</v>
      </c>
      <c r="AH379" s="7">
        <v>897</v>
      </c>
      <c r="AI379" s="7">
        <v>644</v>
      </c>
      <c r="AJ379" s="7">
        <v>668</v>
      </c>
      <c r="AK379" s="7">
        <v>542</v>
      </c>
      <c r="AL379" s="7">
        <v>400</v>
      </c>
      <c r="AM379" s="7">
        <v>301</v>
      </c>
      <c r="AN379" s="7">
        <v>207</v>
      </c>
      <c r="AO379" s="7">
        <v>232</v>
      </c>
      <c r="AP379" s="7">
        <v>397</v>
      </c>
      <c r="AQ379" s="7">
        <v>369</v>
      </c>
      <c r="AR379" s="7">
        <v>367</v>
      </c>
      <c r="AS379" s="7">
        <v>415</v>
      </c>
      <c r="AT379" s="7">
        <v>452</v>
      </c>
      <c r="AU379" s="7">
        <v>390</v>
      </c>
      <c r="AV379" s="7">
        <v>564</v>
      </c>
      <c r="AW379" s="7">
        <v>695</v>
      </c>
      <c r="AX379" s="7">
        <v>825</v>
      </c>
      <c r="AY379" s="8">
        <v>1071</v>
      </c>
      <c r="AZ379" s="8">
        <v>1527</v>
      </c>
      <c r="BA379" s="8">
        <v>1980</v>
      </c>
      <c r="BB379" s="8">
        <v>2280</v>
      </c>
      <c r="BC379" s="15">
        <v>0</v>
      </c>
      <c r="BD379" s="21">
        <f t="shared" si="101"/>
        <v>3.2155679757189916E-3</v>
      </c>
      <c r="BE379" s="21">
        <f t="shared" si="101"/>
        <v>3.657303968507288E-3</v>
      </c>
      <c r="BF379" s="21">
        <f t="shared" si="101"/>
        <v>4.6454534413657893E-3</v>
      </c>
      <c r="BG379" s="21">
        <f t="shared" si="101"/>
        <v>6.898982095176134E-3</v>
      </c>
      <c r="BH379" s="21">
        <f t="shared" si="101"/>
        <v>8.3205863071725127E-3</v>
      </c>
      <c r="BI379" s="21">
        <f t="shared" si="101"/>
        <v>8.9141891997560323E-3</v>
      </c>
      <c r="BJ379" s="23">
        <f t="shared" si="92"/>
        <v>8.0445858673682258E-3</v>
      </c>
    </row>
    <row r="380" spans="1:62" x14ac:dyDescent="0.25">
      <c r="A380" s="12"/>
      <c r="B380" s="2" t="s">
        <v>12</v>
      </c>
      <c r="C380" s="2" t="s">
        <v>6</v>
      </c>
      <c r="D380" s="4">
        <v>0</v>
      </c>
      <c r="E380" s="4">
        <v>0</v>
      </c>
      <c r="F380" s="4">
        <v>0</v>
      </c>
      <c r="G380" s="4">
        <v>0</v>
      </c>
      <c r="H380" s="4">
        <v>0</v>
      </c>
      <c r="I380" s="4">
        <v>0</v>
      </c>
      <c r="J380" s="4">
        <v>0</v>
      </c>
      <c r="K380" s="4">
        <v>0</v>
      </c>
      <c r="L380" s="4">
        <v>0</v>
      </c>
      <c r="M380" s="4">
        <v>0</v>
      </c>
      <c r="N380" s="4">
        <v>0</v>
      </c>
      <c r="O380" s="4">
        <v>0</v>
      </c>
      <c r="P380" s="4">
        <v>0</v>
      </c>
      <c r="Q380" s="4">
        <v>0</v>
      </c>
      <c r="R380" s="4">
        <v>0</v>
      </c>
      <c r="S380" s="4">
        <v>0</v>
      </c>
      <c r="T380" s="4">
        <v>0</v>
      </c>
      <c r="U380" s="4">
        <v>0</v>
      </c>
      <c r="V380" s="4">
        <v>0</v>
      </c>
      <c r="W380" s="4">
        <v>0</v>
      </c>
      <c r="X380" s="4">
        <v>0</v>
      </c>
      <c r="Y380" s="4">
        <v>0</v>
      </c>
      <c r="Z380" s="4">
        <v>0</v>
      </c>
      <c r="AA380" s="4">
        <v>0</v>
      </c>
      <c r="AB380" s="4">
        <v>0</v>
      </c>
      <c r="AC380" s="4">
        <v>0</v>
      </c>
      <c r="AD380" s="4">
        <v>0</v>
      </c>
      <c r="AE380" s="4">
        <v>697</v>
      </c>
      <c r="AF380" s="4">
        <v>745</v>
      </c>
      <c r="AG380" s="4">
        <v>641</v>
      </c>
      <c r="AH380" s="4">
        <v>582</v>
      </c>
      <c r="AI380" s="4">
        <v>502</v>
      </c>
      <c r="AJ380" s="4">
        <v>491</v>
      </c>
      <c r="AK380" s="4">
        <v>447</v>
      </c>
      <c r="AL380" s="4">
        <v>340</v>
      </c>
      <c r="AM380" s="4">
        <v>300</v>
      </c>
      <c r="AN380" s="4">
        <v>253</v>
      </c>
      <c r="AO380" s="4">
        <v>213</v>
      </c>
      <c r="AP380" s="4">
        <v>268</v>
      </c>
      <c r="AQ380" s="4">
        <v>289</v>
      </c>
      <c r="AR380" s="4">
        <v>381</v>
      </c>
      <c r="AS380" s="4">
        <v>323</v>
      </c>
      <c r="AT380" s="4">
        <v>314</v>
      </c>
      <c r="AU380" s="4">
        <v>293</v>
      </c>
      <c r="AV380" s="4">
        <v>306</v>
      </c>
      <c r="AW380" s="4">
        <v>372</v>
      </c>
      <c r="AX380" s="4">
        <v>445</v>
      </c>
      <c r="AY380" s="4">
        <v>460</v>
      </c>
      <c r="AZ380" s="4">
        <v>480</v>
      </c>
      <c r="BA380" s="4">
        <v>590</v>
      </c>
      <c r="BB380" s="4">
        <v>690</v>
      </c>
      <c r="BC380" s="13">
        <v>0</v>
      </c>
      <c r="BD380" s="20">
        <f t="shared" si="101"/>
        <v>8.8866804903918743E-4</v>
      </c>
      <c r="BE380" s="20">
        <f t="shared" si="101"/>
        <v>1.0587977767626008E-3</v>
      </c>
      <c r="BF380" s="20">
        <f t="shared" si="101"/>
        <v>1.0608782688311658E-3</v>
      </c>
      <c r="BG380" s="20">
        <f t="shared" si="101"/>
        <v>1.0712587960390206E-3</v>
      </c>
      <c r="BH380" s="20">
        <f t="shared" si="101"/>
        <v>1.3398341784886217E-3</v>
      </c>
      <c r="BI380" s="20">
        <f t="shared" si="101"/>
        <v>1.5310163951886145E-3</v>
      </c>
      <c r="BJ380" s="23">
        <f t="shared" si="92"/>
        <v>1.3140364565720857E-3</v>
      </c>
    </row>
    <row r="381" spans="1:62" s="5" customFormat="1" x14ac:dyDescent="0.25">
      <c r="A381" s="14"/>
      <c r="B381" s="6"/>
      <c r="C381" s="6" t="s">
        <v>7</v>
      </c>
      <c r="D381" s="7">
        <v>0</v>
      </c>
      <c r="E381" s="7">
        <v>0</v>
      </c>
      <c r="F381" s="7">
        <v>0</v>
      </c>
      <c r="G381" s="7">
        <v>0</v>
      </c>
      <c r="H381" s="7">
        <v>0</v>
      </c>
      <c r="I381" s="7">
        <v>0</v>
      </c>
      <c r="J381" s="7">
        <v>0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0</v>
      </c>
      <c r="Q381" s="7">
        <v>0</v>
      </c>
      <c r="R381" s="7">
        <v>0</v>
      </c>
      <c r="S381" s="7">
        <v>0</v>
      </c>
      <c r="T381" s="7">
        <v>0</v>
      </c>
      <c r="U381" s="7">
        <v>0</v>
      </c>
      <c r="V381" s="7">
        <v>0</v>
      </c>
      <c r="W381" s="7">
        <v>0</v>
      </c>
      <c r="X381" s="7">
        <v>0</v>
      </c>
      <c r="Y381" s="7">
        <v>0</v>
      </c>
      <c r="Z381" s="7">
        <v>0</v>
      </c>
      <c r="AA381" s="7">
        <v>0</v>
      </c>
      <c r="AB381" s="7">
        <v>0</v>
      </c>
      <c r="AC381" s="7">
        <v>0</v>
      </c>
      <c r="AD381" s="7">
        <v>0</v>
      </c>
      <c r="AE381" s="7">
        <v>175</v>
      </c>
      <c r="AF381" s="7">
        <v>185</v>
      </c>
      <c r="AG381" s="7">
        <v>100</v>
      </c>
      <c r="AH381" s="7">
        <v>100</v>
      </c>
      <c r="AI381" s="7">
        <v>500</v>
      </c>
      <c r="AJ381" s="7">
        <v>128</v>
      </c>
      <c r="AK381" s="7">
        <v>50</v>
      </c>
      <c r="AL381" s="7">
        <v>129</v>
      </c>
      <c r="AM381" s="7">
        <v>408</v>
      </c>
      <c r="AN381" s="7">
        <v>290</v>
      </c>
      <c r="AO381" s="7">
        <v>224</v>
      </c>
      <c r="AP381" s="7">
        <v>580</v>
      </c>
      <c r="AQ381" s="7">
        <v>400</v>
      </c>
      <c r="AR381" s="7">
        <v>247</v>
      </c>
      <c r="AS381" s="7">
        <v>406</v>
      </c>
      <c r="AT381" s="7">
        <v>385</v>
      </c>
      <c r="AU381" s="7">
        <v>350</v>
      </c>
      <c r="AV381" s="7">
        <v>350</v>
      </c>
      <c r="AW381" s="7">
        <v>358</v>
      </c>
      <c r="AX381" s="7">
        <v>221</v>
      </c>
      <c r="AY381" s="7">
        <v>237</v>
      </c>
      <c r="AZ381" s="7">
        <v>230</v>
      </c>
      <c r="BA381" s="7">
        <v>220</v>
      </c>
      <c r="BB381" s="7">
        <v>200</v>
      </c>
      <c r="BC381" s="15">
        <v>0</v>
      </c>
      <c r="BD381" s="21">
        <f t="shared" si="101"/>
        <v>1.3509433962264152E-2</v>
      </c>
      <c r="BE381" s="21">
        <f t="shared" si="101"/>
        <v>7.8296605966130511E-3</v>
      </c>
      <c r="BF381" s="21">
        <f t="shared" si="101"/>
        <v>8.0510921629242116E-3</v>
      </c>
      <c r="BG381" s="21">
        <f t="shared" si="101"/>
        <v>8.4717669159085057E-3</v>
      </c>
      <c r="BH381" s="21">
        <f t="shared" si="101"/>
        <v>7.8361531611754222E-3</v>
      </c>
      <c r="BI381" s="21">
        <f t="shared" si="101"/>
        <v>6.8418171866447726E-3</v>
      </c>
      <c r="BJ381" s="23">
        <f t="shared" si="92"/>
        <v>7.7165790879095671E-3</v>
      </c>
    </row>
    <row r="382" spans="1:62" x14ac:dyDescent="0.25">
      <c r="A382" s="12"/>
      <c r="B382" s="2"/>
      <c r="C382" s="2" t="s">
        <v>8</v>
      </c>
      <c r="D382" s="4">
        <v>0</v>
      </c>
      <c r="E382" s="4">
        <v>0</v>
      </c>
      <c r="F382" s="4">
        <v>0</v>
      </c>
      <c r="G382" s="4">
        <v>0</v>
      </c>
      <c r="H382" s="4">
        <v>0</v>
      </c>
      <c r="I382" s="4">
        <v>0</v>
      </c>
      <c r="J382" s="4">
        <v>0</v>
      </c>
      <c r="K382" s="4">
        <v>0</v>
      </c>
      <c r="L382" s="4">
        <v>0</v>
      </c>
      <c r="M382" s="4">
        <v>0</v>
      </c>
      <c r="N382" s="4">
        <v>0</v>
      </c>
      <c r="O382" s="4">
        <v>0</v>
      </c>
      <c r="P382" s="4">
        <v>0</v>
      </c>
      <c r="Q382" s="4">
        <v>0</v>
      </c>
      <c r="R382" s="4">
        <v>0</v>
      </c>
      <c r="S382" s="4">
        <v>0</v>
      </c>
      <c r="T382" s="4">
        <v>0</v>
      </c>
      <c r="U382" s="4">
        <v>0</v>
      </c>
      <c r="V382" s="4">
        <v>0</v>
      </c>
      <c r="W382" s="4">
        <v>0</v>
      </c>
      <c r="X382" s="4">
        <v>0</v>
      </c>
      <c r="Y382" s="4">
        <v>0</v>
      </c>
      <c r="Z382" s="4">
        <v>0</v>
      </c>
      <c r="AA382" s="4">
        <v>0</v>
      </c>
      <c r="AB382" s="4">
        <v>0</v>
      </c>
      <c r="AC382" s="4">
        <v>0</v>
      </c>
      <c r="AD382" s="4">
        <v>0</v>
      </c>
      <c r="AE382" s="4">
        <v>166</v>
      </c>
      <c r="AF382" s="4">
        <v>150</v>
      </c>
      <c r="AG382" s="4">
        <v>150</v>
      </c>
      <c r="AH382" s="4">
        <v>150</v>
      </c>
      <c r="AI382" s="4">
        <v>25</v>
      </c>
      <c r="AJ382" s="4">
        <v>25</v>
      </c>
      <c r="AK382" s="4">
        <v>90</v>
      </c>
      <c r="AL382" s="4">
        <v>91</v>
      </c>
      <c r="AM382" s="4">
        <v>33</v>
      </c>
      <c r="AN382" s="4">
        <v>12</v>
      </c>
      <c r="AO382" s="4">
        <v>14</v>
      </c>
      <c r="AP382" s="4">
        <v>7</v>
      </c>
      <c r="AQ382" s="4">
        <v>25</v>
      </c>
      <c r="AR382" s="4">
        <v>10</v>
      </c>
      <c r="AS382" s="4">
        <v>6</v>
      </c>
      <c r="AT382" s="4">
        <v>20</v>
      </c>
      <c r="AU382" s="4">
        <v>45</v>
      </c>
      <c r="AV382" s="4">
        <v>10</v>
      </c>
      <c r="AW382" s="4">
        <v>18</v>
      </c>
      <c r="AX382" s="4">
        <v>12</v>
      </c>
      <c r="AY382" s="4">
        <v>21</v>
      </c>
      <c r="AZ382" s="4">
        <v>90</v>
      </c>
      <c r="BA382" s="4">
        <v>154</v>
      </c>
      <c r="BB382" s="4">
        <v>120</v>
      </c>
      <c r="BC382" s="13">
        <v>0</v>
      </c>
      <c r="BD382" s="20">
        <f t="shared" si="101"/>
        <v>6.0638727934240663E-4</v>
      </c>
      <c r="BE382" s="20">
        <f t="shared" si="101"/>
        <v>3.822264691829909E-4</v>
      </c>
      <c r="BF382" s="20">
        <f t="shared" si="101"/>
        <v>6.7227966834203028E-4</v>
      </c>
      <c r="BG382" s="20">
        <f t="shared" si="101"/>
        <v>3.1128942999446596E-3</v>
      </c>
      <c r="BH382" s="20">
        <f t="shared" si="101"/>
        <v>4.9975661203959113E-3</v>
      </c>
      <c r="BI382" s="20">
        <f t="shared" si="101"/>
        <v>3.9474982729695053E-3</v>
      </c>
      <c r="BJ382" s="23">
        <f t="shared" si="92"/>
        <v>4.0193195644366913E-3</v>
      </c>
    </row>
    <row r="383" spans="1:62" s="5" customFormat="1" x14ac:dyDescent="0.25">
      <c r="A383" s="14"/>
      <c r="B383" s="6"/>
      <c r="C383" s="6" t="s">
        <v>9</v>
      </c>
      <c r="D383" s="7">
        <v>0</v>
      </c>
      <c r="E383" s="7">
        <v>0</v>
      </c>
      <c r="F383" s="7">
        <v>0</v>
      </c>
      <c r="G383" s="7">
        <v>0</v>
      </c>
      <c r="H383" s="7">
        <v>0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0</v>
      </c>
      <c r="Q383" s="7">
        <v>0</v>
      </c>
      <c r="R383" s="7">
        <v>0</v>
      </c>
      <c r="S383" s="7">
        <v>0</v>
      </c>
      <c r="T383" s="7">
        <v>0</v>
      </c>
      <c r="U383" s="7">
        <v>0</v>
      </c>
      <c r="V383" s="7">
        <v>0</v>
      </c>
      <c r="W383" s="7">
        <v>0</v>
      </c>
      <c r="X383" s="7">
        <v>0</v>
      </c>
      <c r="Y383" s="7">
        <v>0</v>
      </c>
      <c r="Z383" s="7">
        <v>0</v>
      </c>
      <c r="AA383" s="7">
        <v>0</v>
      </c>
      <c r="AB383" s="7">
        <v>0</v>
      </c>
      <c r="AC383" s="7">
        <v>0</v>
      </c>
      <c r="AD383" s="7">
        <v>0</v>
      </c>
      <c r="AE383" s="7">
        <v>706</v>
      </c>
      <c r="AF383" s="7">
        <v>780</v>
      </c>
      <c r="AG383" s="7">
        <v>591</v>
      </c>
      <c r="AH383" s="7">
        <v>532</v>
      </c>
      <c r="AI383" s="7">
        <v>977</v>
      </c>
      <c r="AJ383" s="7">
        <v>594</v>
      </c>
      <c r="AK383" s="7">
        <v>407</v>
      </c>
      <c r="AL383" s="7">
        <v>378</v>
      </c>
      <c r="AM383" s="7">
        <v>560</v>
      </c>
      <c r="AN383" s="7">
        <v>471</v>
      </c>
      <c r="AO383" s="7">
        <v>550</v>
      </c>
      <c r="AP383" s="7">
        <v>600</v>
      </c>
      <c r="AQ383" s="7">
        <v>625</v>
      </c>
      <c r="AR383" s="7">
        <v>650</v>
      </c>
      <c r="AS383" s="7">
        <v>680</v>
      </c>
      <c r="AT383" s="7">
        <v>710</v>
      </c>
      <c r="AU383" s="7">
        <v>715</v>
      </c>
      <c r="AV383" s="7">
        <v>720</v>
      </c>
      <c r="AW383" s="7">
        <v>725</v>
      </c>
      <c r="AX383" s="7">
        <v>689</v>
      </c>
      <c r="AY383" s="7">
        <v>676</v>
      </c>
      <c r="AZ383" s="7">
        <v>640</v>
      </c>
      <c r="BA383" s="7">
        <v>650</v>
      </c>
      <c r="BB383" s="7">
        <v>720</v>
      </c>
      <c r="BC383" s="15">
        <v>0</v>
      </c>
      <c r="BD383" s="21">
        <f t="shared" si="101"/>
        <v>1.7557327702072733E-3</v>
      </c>
      <c r="BE383" s="21">
        <f t="shared" si="101"/>
        <v>1.6460531754014195E-3</v>
      </c>
      <c r="BF383" s="21">
        <f t="shared" si="101"/>
        <v>1.5858233026881583E-3</v>
      </c>
      <c r="BG383" s="21">
        <f t="shared" si="101"/>
        <v>1.4708924180092391E-3</v>
      </c>
      <c r="BH383" s="21">
        <f t="shared" si="101"/>
        <v>1.4932676601874166E-3</v>
      </c>
      <c r="BI383" s="21">
        <f t="shared" si="101"/>
        <v>1.613510460926155E-3</v>
      </c>
      <c r="BJ383" s="23">
        <f t="shared" si="92"/>
        <v>1.5258901797076034E-3</v>
      </c>
    </row>
    <row r="384" spans="1:62" x14ac:dyDescent="0.25">
      <c r="A384" s="12"/>
      <c r="B384" s="2" t="s">
        <v>13</v>
      </c>
      <c r="C384" s="2" t="s">
        <v>7</v>
      </c>
      <c r="D384" s="4">
        <v>0</v>
      </c>
      <c r="E384" s="4">
        <v>0</v>
      </c>
      <c r="F384" s="4">
        <v>0</v>
      </c>
      <c r="G384" s="4">
        <v>0</v>
      </c>
      <c r="H384" s="4">
        <v>0</v>
      </c>
      <c r="I384" s="4">
        <v>0</v>
      </c>
      <c r="J384" s="4">
        <v>0</v>
      </c>
      <c r="K384" s="4">
        <v>0</v>
      </c>
      <c r="L384" s="4">
        <v>0</v>
      </c>
      <c r="M384" s="4">
        <v>0</v>
      </c>
      <c r="N384" s="4">
        <v>0</v>
      </c>
      <c r="O384" s="4">
        <v>0</v>
      </c>
      <c r="P384" s="4">
        <v>0</v>
      </c>
      <c r="Q384" s="4">
        <v>0</v>
      </c>
      <c r="R384" s="4">
        <v>0</v>
      </c>
      <c r="S384" s="4">
        <v>0</v>
      </c>
      <c r="T384" s="4">
        <v>0</v>
      </c>
      <c r="U384" s="4">
        <v>0</v>
      </c>
      <c r="V384" s="4">
        <v>0</v>
      </c>
      <c r="W384" s="4">
        <v>0</v>
      </c>
      <c r="X384" s="4">
        <v>0</v>
      </c>
      <c r="Y384" s="4">
        <v>0</v>
      </c>
      <c r="Z384" s="4">
        <v>0</v>
      </c>
      <c r="AA384" s="4">
        <v>0</v>
      </c>
      <c r="AB384" s="4">
        <v>0</v>
      </c>
      <c r="AC384" s="4">
        <v>0</v>
      </c>
      <c r="AD384" s="4">
        <v>0</v>
      </c>
      <c r="AE384" s="4">
        <v>0</v>
      </c>
      <c r="AF384" s="3">
        <v>1000</v>
      </c>
      <c r="AG384" s="4">
        <v>400</v>
      </c>
      <c r="AH384" s="4">
        <v>5</v>
      </c>
      <c r="AI384" s="4">
        <v>0</v>
      </c>
      <c r="AJ384" s="4">
        <v>0</v>
      </c>
      <c r="AK384" s="4">
        <v>0</v>
      </c>
      <c r="AL384" s="4">
        <v>7</v>
      </c>
      <c r="AM384" s="4">
        <v>0</v>
      </c>
      <c r="AN384" s="4">
        <v>0</v>
      </c>
      <c r="AO384" s="4">
        <v>0</v>
      </c>
      <c r="AP384" s="4">
        <v>0</v>
      </c>
      <c r="AQ384" s="4">
        <v>0</v>
      </c>
      <c r="AR384" s="4">
        <v>0</v>
      </c>
      <c r="AS384" s="4">
        <v>0</v>
      </c>
      <c r="AT384" s="4">
        <v>0</v>
      </c>
      <c r="AU384" s="4">
        <v>0</v>
      </c>
      <c r="AV384" s="4">
        <v>0</v>
      </c>
      <c r="AW384" s="4">
        <v>0</v>
      </c>
      <c r="AX384" s="4">
        <v>0</v>
      </c>
      <c r="AY384" s="4">
        <v>0</v>
      </c>
      <c r="AZ384" s="4">
        <v>0</v>
      </c>
      <c r="BA384" s="4">
        <v>0</v>
      </c>
      <c r="BB384" s="4">
        <v>0</v>
      </c>
      <c r="BC384" s="13">
        <v>0</v>
      </c>
      <c r="BD384" s="20">
        <f t="shared" ref="BD384:BI386" si="102">AW384/AW564</f>
        <v>0</v>
      </c>
      <c r="BE384" s="20">
        <f t="shared" si="102"/>
        <v>0</v>
      </c>
      <c r="BF384" s="20">
        <f t="shared" si="102"/>
        <v>0</v>
      </c>
      <c r="BG384" s="20">
        <f t="shared" si="102"/>
        <v>0</v>
      </c>
      <c r="BH384" s="20">
        <f t="shared" si="102"/>
        <v>0</v>
      </c>
      <c r="BI384" s="20">
        <f t="shared" si="102"/>
        <v>0</v>
      </c>
      <c r="BJ384" s="23">
        <f t="shared" si="92"/>
        <v>0</v>
      </c>
    </row>
    <row r="385" spans="1:62" s="5" customFormat="1" x14ac:dyDescent="0.25">
      <c r="A385" s="14"/>
      <c r="B385" s="6"/>
      <c r="C385" s="6" t="s">
        <v>8</v>
      </c>
      <c r="D385" s="7">
        <v>0</v>
      </c>
      <c r="E385" s="7">
        <v>0</v>
      </c>
      <c r="F385" s="7">
        <v>0</v>
      </c>
      <c r="G385" s="7">
        <v>0</v>
      </c>
      <c r="H385" s="7">
        <v>0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0</v>
      </c>
      <c r="O385" s="7">
        <v>0</v>
      </c>
      <c r="P385" s="7">
        <v>0</v>
      </c>
      <c r="Q385" s="7">
        <v>0</v>
      </c>
      <c r="R385" s="7">
        <v>0</v>
      </c>
      <c r="S385" s="7">
        <v>0</v>
      </c>
      <c r="T385" s="7">
        <v>0</v>
      </c>
      <c r="U385" s="7">
        <v>0</v>
      </c>
      <c r="V385" s="7">
        <v>0</v>
      </c>
      <c r="W385" s="7">
        <v>0</v>
      </c>
      <c r="X385" s="7">
        <v>0</v>
      </c>
      <c r="Y385" s="7">
        <v>0</v>
      </c>
      <c r="Z385" s="7">
        <v>0</v>
      </c>
      <c r="AA385" s="7">
        <v>0</v>
      </c>
      <c r="AB385" s="7">
        <v>0</v>
      </c>
      <c r="AC385" s="7">
        <v>0</v>
      </c>
      <c r="AD385" s="7">
        <v>0</v>
      </c>
      <c r="AE385" s="7">
        <v>0</v>
      </c>
      <c r="AF385" s="7">
        <v>15</v>
      </c>
      <c r="AG385" s="7">
        <v>0</v>
      </c>
      <c r="AH385" s="7">
        <v>0</v>
      </c>
      <c r="AI385" s="7">
        <v>0</v>
      </c>
      <c r="AJ385" s="7">
        <v>0</v>
      </c>
      <c r="AK385" s="7">
        <v>0</v>
      </c>
      <c r="AL385" s="7">
        <v>0</v>
      </c>
      <c r="AM385" s="7">
        <v>0</v>
      </c>
      <c r="AN385" s="7">
        <v>0</v>
      </c>
      <c r="AO385" s="7">
        <v>0</v>
      </c>
      <c r="AP385" s="7">
        <v>0</v>
      </c>
      <c r="AQ385" s="7">
        <v>0</v>
      </c>
      <c r="AR385" s="7">
        <v>0</v>
      </c>
      <c r="AS385" s="7">
        <v>0</v>
      </c>
      <c r="AT385" s="7">
        <v>0</v>
      </c>
      <c r="AU385" s="7">
        <v>0</v>
      </c>
      <c r="AV385" s="7">
        <v>0</v>
      </c>
      <c r="AW385" s="7">
        <v>0</v>
      </c>
      <c r="AX385" s="7">
        <v>0</v>
      </c>
      <c r="AY385" s="7">
        <v>0</v>
      </c>
      <c r="AZ385" s="7">
        <v>0</v>
      </c>
      <c r="BA385" s="7">
        <v>0</v>
      </c>
      <c r="BB385" s="7">
        <v>0</v>
      </c>
      <c r="BC385" s="15">
        <v>0</v>
      </c>
      <c r="BD385" s="21">
        <f t="shared" si="102"/>
        <v>0</v>
      </c>
      <c r="BE385" s="21">
        <f t="shared" si="102"/>
        <v>0</v>
      </c>
      <c r="BF385" s="21">
        <f t="shared" si="102"/>
        <v>0</v>
      </c>
      <c r="BG385" s="21">
        <f t="shared" si="102"/>
        <v>0</v>
      </c>
      <c r="BH385" s="21">
        <f t="shared" si="102"/>
        <v>0</v>
      </c>
      <c r="BI385" s="21">
        <f t="shared" si="102"/>
        <v>0</v>
      </c>
      <c r="BJ385" s="23">
        <f t="shared" si="92"/>
        <v>0</v>
      </c>
    </row>
    <row r="386" spans="1:62" x14ac:dyDescent="0.25">
      <c r="A386" s="12"/>
      <c r="B386" s="2"/>
      <c r="C386" s="2" t="s">
        <v>9</v>
      </c>
      <c r="D386" s="4">
        <v>0</v>
      </c>
      <c r="E386" s="4">
        <v>0</v>
      </c>
      <c r="F386" s="4">
        <v>0</v>
      </c>
      <c r="G386" s="4">
        <v>0</v>
      </c>
      <c r="H386" s="4">
        <v>0</v>
      </c>
      <c r="I386" s="4">
        <v>0</v>
      </c>
      <c r="J386" s="4">
        <v>0</v>
      </c>
      <c r="K386" s="4">
        <v>0</v>
      </c>
      <c r="L386" s="4">
        <v>0</v>
      </c>
      <c r="M386" s="4">
        <v>0</v>
      </c>
      <c r="N386" s="4">
        <v>0</v>
      </c>
      <c r="O386" s="4">
        <v>0</v>
      </c>
      <c r="P386" s="4">
        <v>0</v>
      </c>
      <c r="Q386" s="4">
        <v>0</v>
      </c>
      <c r="R386" s="4">
        <v>0</v>
      </c>
      <c r="S386" s="4">
        <v>0</v>
      </c>
      <c r="T386" s="4">
        <v>0</v>
      </c>
      <c r="U386" s="4">
        <v>0</v>
      </c>
      <c r="V386" s="4">
        <v>0</v>
      </c>
      <c r="W386" s="4">
        <v>0</v>
      </c>
      <c r="X386" s="4">
        <v>0</v>
      </c>
      <c r="Y386" s="4">
        <v>0</v>
      </c>
      <c r="Z386" s="4">
        <v>0</v>
      </c>
      <c r="AA386" s="4">
        <v>0</v>
      </c>
      <c r="AB386" s="4">
        <v>0</v>
      </c>
      <c r="AC386" s="4">
        <v>0</v>
      </c>
      <c r="AD386" s="4">
        <v>0</v>
      </c>
      <c r="AE386" s="4">
        <v>0</v>
      </c>
      <c r="AF386" s="4">
        <v>985</v>
      </c>
      <c r="AG386" s="4">
        <v>400</v>
      </c>
      <c r="AH386" s="4">
        <v>5</v>
      </c>
      <c r="AI386" s="4">
        <v>0</v>
      </c>
      <c r="AJ386" s="4">
        <v>0</v>
      </c>
      <c r="AK386" s="4">
        <v>0</v>
      </c>
      <c r="AL386" s="4">
        <v>7</v>
      </c>
      <c r="AM386" s="4">
        <v>0</v>
      </c>
      <c r="AN386" s="4">
        <v>0</v>
      </c>
      <c r="AO386" s="4">
        <v>0</v>
      </c>
      <c r="AP386" s="4">
        <v>0</v>
      </c>
      <c r="AQ386" s="4">
        <v>0</v>
      </c>
      <c r="AR386" s="4">
        <v>0</v>
      </c>
      <c r="AS386" s="4">
        <v>0</v>
      </c>
      <c r="AT386" s="4">
        <v>0</v>
      </c>
      <c r="AU386" s="4">
        <v>0</v>
      </c>
      <c r="AV386" s="4">
        <v>0</v>
      </c>
      <c r="AW386" s="4">
        <v>0</v>
      </c>
      <c r="AX386" s="4">
        <v>0</v>
      </c>
      <c r="AY386" s="4">
        <v>0</v>
      </c>
      <c r="AZ386" s="4">
        <v>0</v>
      </c>
      <c r="BA386" s="4">
        <v>0</v>
      </c>
      <c r="BB386" s="4">
        <v>0</v>
      </c>
      <c r="BC386" s="13">
        <v>0</v>
      </c>
      <c r="BD386" s="20">
        <f t="shared" si="102"/>
        <v>0</v>
      </c>
      <c r="BE386" s="20">
        <f t="shared" si="102"/>
        <v>0</v>
      </c>
      <c r="BF386" s="20">
        <f t="shared" si="102"/>
        <v>0</v>
      </c>
      <c r="BG386" s="20">
        <f t="shared" si="102"/>
        <v>0</v>
      </c>
      <c r="BH386" s="20">
        <f t="shared" si="102"/>
        <v>0</v>
      </c>
      <c r="BI386" s="20">
        <f t="shared" si="102"/>
        <v>0</v>
      </c>
      <c r="BJ386" s="23">
        <f t="shared" si="92"/>
        <v>0</v>
      </c>
    </row>
    <row r="387" spans="1:62" x14ac:dyDescent="0.25">
      <c r="A387" s="14"/>
      <c r="B387" s="6" t="s">
        <v>14</v>
      </c>
      <c r="C387" s="6" t="s">
        <v>42</v>
      </c>
      <c r="D387" s="7">
        <v>0</v>
      </c>
      <c r="E387" s="7">
        <v>0</v>
      </c>
      <c r="F387" s="7">
        <v>0</v>
      </c>
      <c r="G387" s="7">
        <v>0</v>
      </c>
      <c r="H387" s="7">
        <v>0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0</v>
      </c>
      <c r="O387" s="7">
        <v>0</v>
      </c>
      <c r="P387" s="7">
        <v>0</v>
      </c>
      <c r="Q387" s="7">
        <v>0</v>
      </c>
      <c r="R387" s="7">
        <v>0</v>
      </c>
      <c r="S387" s="7">
        <v>0</v>
      </c>
      <c r="T387" s="7">
        <v>0</v>
      </c>
      <c r="U387" s="7">
        <v>0</v>
      </c>
      <c r="V387" s="7">
        <v>0</v>
      </c>
      <c r="W387" s="7">
        <v>0</v>
      </c>
      <c r="X387" s="7">
        <v>0</v>
      </c>
      <c r="Y387" s="7">
        <v>0</v>
      </c>
      <c r="Z387" s="7">
        <v>0</v>
      </c>
      <c r="AA387" s="7">
        <v>0</v>
      </c>
      <c r="AB387" s="7">
        <v>0</v>
      </c>
      <c r="AC387" s="7">
        <v>0</v>
      </c>
      <c r="AD387" s="7">
        <v>0</v>
      </c>
      <c r="AE387" s="7">
        <v>0</v>
      </c>
      <c r="AF387" s="7">
        <v>0</v>
      </c>
      <c r="AG387" s="8">
        <v>3200</v>
      </c>
      <c r="AH387" s="8">
        <v>2600</v>
      </c>
      <c r="AI387" s="8">
        <v>2200</v>
      </c>
      <c r="AJ387" s="8">
        <v>2540</v>
      </c>
      <c r="AK387" s="8">
        <v>2700</v>
      </c>
      <c r="AL387" s="8">
        <v>1655</v>
      </c>
      <c r="AM387" s="8">
        <v>2060</v>
      </c>
      <c r="AN387" s="8">
        <v>1300</v>
      </c>
      <c r="AO387" s="8">
        <v>1300</v>
      </c>
      <c r="AP387" s="8">
        <v>1300</v>
      </c>
      <c r="AQ387" s="8">
        <v>1500</v>
      </c>
      <c r="AR387" s="8">
        <v>1550</v>
      </c>
      <c r="AS387" s="8">
        <v>1630</v>
      </c>
      <c r="AT387" s="8">
        <v>1580</v>
      </c>
      <c r="AU387" s="8">
        <v>1930</v>
      </c>
      <c r="AV387" s="8">
        <v>2250</v>
      </c>
      <c r="AW387" s="8">
        <v>2500</v>
      </c>
      <c r="AX387" s="8">
        <v>3150</v>
      </c>
      <c r="AY387" s="8">
        <v>3200</v>
      </c>
      <c r="AZ387" s="8">
        <v>3481</v>
      </c>
      <c r="BA387" s="8">
        <v>3313</v>
      </c>
      <c r="BB387" s="25">
        <v>2850</v>
      </c>
      <c r="BC387" s="21">
        <f t="shared" ref="BC387:BH387" si="103">AW387/AX$83</f>
        <v>0.31261723146179815</v>
      </c>
      <c r="BD387" s="21">
        <f t="shared" si="103"/>
        <v>0.46515062020082693</v>
      </c>
      <c r="BE387" s="21">
        <f t="shared" si="103"/>
        <v>0.49976573481180697</v>
      </c>
      <c r="BF387" s="21">
        <f t="shared" si="103"/>
        <v>0.48849284310973901</v>
      </c>
      <c r="BG387" s="21">
        <f t="shared" si="103"/>
        <v>0.50969230769230767</v>
      </c>
      <c r="BH387" s="21" t="e">
        <f t="shared" si="103"/>
        <v>#DIV/0!</v>
      </c>
      <c r="BI387" s="5"/>
      <c r="BJ387" s="23" t="e">
        <f>AVERAGE(BF387,BG387,BH387)</f>
        <v>#DIV/0!</v>
      </c>
    </row>
    <row r="388" spans="1:62" s="5" customFormat="1" x14ac:dyDescent="0.25">
      <c r="A388" s="14"/>
      <c r="B388" s="2"/>
      <c r="C388" s="2" t="s">
        <v>45</v>
      </c>
      <c r="D388" s="4">
        <v>0</v>
      </c>
      <c r="E388" s="4">
        <v>0</v>
      </c>
      <c r="F388" s="4">
        <v>0</v>
      </c>
      <c r="G388" s="4">
        <v>0</v>
      </c>
      <c r="H388" s="4">
        <v>0</v>
      </c>
      <c r="I388" s="4">
        <v>0</v>
      </c>
      <c r="J388" s="4">
        <v>0</v>
      </c>
      <c r="K388" s="4">
        <v>0</v>
      </c>
      <c r="L388" s="4">
        <v>0</v>
      </c>
      <c r="M388" s="4">
        <v>0</v>
      </c>
      <c r="N388" s="4">
        <v>0</v>
      </c>
      <c r="O388" s="4">
        <v>0</v>
      </c>
      <c r="P388" s="4">
        <v>0</v>
      </c>
      <c r="Q388" s="4">
        <v>0</v>
      </c>
      <c r="R388" s="4">
        <v>0</v>
      </c>
      <c r="S388" s="4">
        <v>0</v>
      </c>
      <c r="T388" s="4">
        <v>0</v>
      </c>
      <c r="U388" s="4">
        <v>0</v>
      </c>
      <c r="V388" s="4">
        <v>0</v>
      </c>
      <c r="W388" s="4">
        <v>0</v>
      </c>
      <c r="X388" s="4">
        <v>0</v>
      </c>
      <c r="Y388" s="4">
        <v>0</v>
      </c>
      <c r="Z388" s="4">
        <v>0</v>
      </c>
      <c r="AA388" s="4">
        <v>0</v>
      </c>
      <c r="AB388" s="4">
        <v>0</v>
      </c>
      <c r="AC388" s="4">
        <v>0</v>
      </c>
      <c r="AD388" s="4">
        <v>0</v>
      </c>
      <c r="AE388" s="4">
        <v>0</v>
      </c>
      <c r="AF388" s="4">
        <v>0</v>
      </c>
      <c r="AG388" s="3">
        <v>2161</v>
      </c>
      <c r="AH388" s="3">
        <v>3580</v>
      </c>
      <c r="AI388" s="3">
        <v>3850</v>
      </c>
      <c r="AJ388" s="3">
        <v>3500</v>
      </c>
      <c r="AK388" s="3">
        <v>3150</v>
      </c>
      <c r="AL388" s="3">
        <v>2700</v>
      </c>
      <c r="AM388" s="3">
        <v>3200</v>
      </c>
      <c r="AN388" s="3">
        <v>3600</v>
      </c>
      <c r="AO388" s="3">
        <v>4210</v>
      </c>
      <c r="AP388" s="3">
        <v>5400</v>
      </c>
      <c r="AQ388" s="3">
        <v>5170</v>
      </c>
      <c r="AR388" s="3">
        <v>5650</v>
      </c>
      <c r="AS388" s="3">
        <v>4850</v>
      </c>
      <c r="AT388" s="3">
        <v>4000</v>
      </c>
      <c r="AU388" s="3">
        <v>3670</v>
      </c>
      <c r="AV388" s="3">
        <v>4300</v>
      </c>
      <c r="AW388" s="3">
        <v>2900</v>
      </c>
      <c r="AX388" s="3">
        <v>2950</v>
      </c>
      <c r="AY388" s="3">
        <v>3100</v>
      </c>
      <c r="AZ388" s="3">
        <v>2150</v>
      </c>
      <c r="BA388" s="3">
        <v>2380</v>
      </c>
      <c r="BB388" s="24">
        <v>3050</v>
      </c>
      <c r="BC388" s="21">
        <f t="shared" ref="BC388:BH388" si="104">AW388/AX$63</f>
        <v>5.6310679611650487</v>
      </c>
      <c r="BD388" s="21">
        <f t="shared" si="104"/>
        <v>17.987804878048781</v>
      </c>
      <c r="BE388" s="21">
        <f t="shared" si="104"/>
        <v>62</v>
      </c>
      <c r="BF388" s="21">
        <f t="shared" si="104"/>
        <v>14.23841059602649</v>
      </c>
      <c r="BG388" s="21">
        <f t="shared" si="104"/>
        <v>3.6615384615384614</v>
      </c>
      <c r="BH388" s="21" t="e">
        <f t="shared" si="104"/>
        <v>#DIV/0!</v>
      </c>
      <c r="BJ388" s="23" t="e">
        <f>AVERAGE(BF388,BG388,BH388)</f>
        <v>#DIV/0!</v>
      </c>
    </row>
    <row r="389" spans="1:62" x14ac:dyDescent="0.25">
      <c r="A389" s="14"/>
      <c r="B389" s="6"/>
      <c r="C389" s="6" t="s">
        <v>44</v>
      </c>
      <c r="D389" s="7">
        <v>0</v>
      </c>
      <c r="E389" s="7">
        <v>0</v>
      </c>
      <c r="F389" s="7">
        <v>0</v>
      </c>
      <c r="G389" s="7">
        <v>0</v>
      </c>
      <c r="H389" s="7">
        <v>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0</v>
      </c>
      <c r="Q389" s="7">
        <v>0</v>
      </c>
      <c r="R389" s="7">
        <v>0</v>
      </c>
      <c r="S389" s="7">
        <v>0</v>
      </c>
      <c r="T389" s="7">
        <v>0</v>
      </c>
      <c r="U389" s="7">
        <v>0</v>
      </c>
      <c r="V389" s="7">
        <v>0</v>
      </c>
      <c r="W389" s="7">
        <v>0</v>
      </c>
      <c r="X389" s="7">
        <v>0</v>
      </c>
      <c r="Y389" s="7">
        <v>0</v>
      </c>
      <c r="Z389" s="7">
        <v>0</v>
      </c>
      <c r="AA389" s="7">
        <v>0</v>
      </c>
      <c r="AB389" s="7">
        <v>0</v>
      </c>
      <c r="AC389" s="7">
        <v>0</v>
      </c>
      <c r="AD389" s="7">
        <v>0</v>
      </c>
      <c r="AE389" s="7">
        <v>0</v>
      </c>
      <c r="AF389" s="7">
        <v>0</v>
      </c>
      <c r="AG389" s="7">
        <v>130</v>
      </c>
      <c r="AH389" s="7">
        <v>120</v>
      </c>
      <c r="AI389" s="7">
        <v>100</v>
      </c>
      <c r="AJ389" s="7">
        <v>80</v>
      </c>
      <c r="AK389" s="7">
        <v>80</v>
      </c>
      <c r="AL389" s="7">
        <v>100</v>
      </c>
      <c r="AM389" s="7">
        <v>100</v>
      </c>
      <c r="AN389" s="7">
        <v>130</v>
      </c>
      <c r="AO389" s="7">
        <v>150</v>
      </c>
      <c r="AP389" s="7">
        <v>160</v>
      </c>
      <c r="AQ389" s="7">
        <v>190</v>
      </c>
      <c r="AR389" s="7">
        <v>260</v>
      </c>
      <c r="AS389" s="7">
        <v>410</v>
      </c>
      <c r="AT389" s="7">
        <v>260</v>
      </c>
      <c r="AU389" s="7">
        <v>110</v>
      </c>
      <c r="AV389" s="7">
        <v>110</v>
      </c>
      <c r="AW389" s="7">
        <v>110</v>
      </c>
      <c r="AX389" s="7">
        <v>180</v>
      </c>
      <c r="AY389" s="7">
        <v>200</v>
      </c>
      <c r="AZ389" s="7">
        <v>200</v>
      </c>
      <c r="BA389" s="7">
        <v>100</v>
      </c>
      <c r="BB389" s="15">
        <v>100</v>
      </c>
      <c r="BC389" s="21">
        <f t="shared" ref="BC389:BH389" si="105">AW389/AX$42</f>
        <v>0.94017094017094016</v>
      </c>
      <c r="BD389" s="21">
        <f t="shared" si="105"/>
        <v>13.846153846153847</v>
      </c>
      <c r="BE389" s="21">
        <f t="shared" si="105"/>
        <v>4.5454545454545459</v>
      </c>
      <c r="BF389" s="21">
        <f t="shared" si="105"/>
        <v>1.408450704225352</v>
      </c>
      <c r="BG389" s="21">
        <f t="shared" si="105"/>
        <v>0.16447368421052633</v>
      </c>
      <c r="BH389" s="21" t="e">
        <f t="shared" si="105"/>
        <v>#DIV/0!</v>
      </c>
      <c r="BI389" s="5"/>
      <c r="BJ389" s="23" t="e">
        <f>AVERAGE(BF389,BG389,BH389)</f>
        <v>#DIV/0!</v>
      </c>
    </row>
    <row r="390" spans="1:62" s="5" customFormat="1" ht="30" x14ac:dyDescent="0.25">
      <c r="A390" s="14"/>
      <c r="B390" s="2"/>
      <c r="C390" s="2" t="s">
        <v>43</v>
      </c>
      <c r="D390" s="4">
        <v>0</v>
      </c>
      <c r="E390" s="4">
        <v>0</v>
      </c>
      <c r="F390" s="4">
        <v>0</v>
      </c>
      <c r="G390" s="4">
        <v>0</v>
      </c>
      <c r="H390" s="4">
        <v>0</v>
      </c>
      <c r="I390" s="4">
        <v>0</v>
      </c>
      <c r="J390" s="4">
        <v>0</v>
      </c>
      <c r="K390" s="4">
        <v>0</v>
      </c>
      <c r="L390" s="4">
        <v>0</v>
      </c>
      <c r="M390" s="4">
        <v>0</v>
      </c>
      <c r="N390" s="4">
        <v>0</v>
      </c>
      <c r="O390" s="4">
        <v>0</v>
      </c>
      <c r="P390" s="4">
        <v>0</v>
      </c>
      <c r="Q390" s="4">
        <v>0</v>
      </c>
      <c r="R390" s="4">
        <v>0</v>
      </c>
      <c r="S390" s="4">
        <v>0</v>
      </c>
      <c r="T390" s="4">
        <v>0</v>
      </c>
      <c r="U390" s="4">
        <v>0</v>
      </c>
      <c r="V390" s="4">
        <v>0</v>
      </c>
      <c r="W390" s="4">
        <v>0</v>
      </c>
      <c r="X390" s="4">
        <v>0</v>
      </c>
      <c r="Y390" s="4">
        <v>0</v>
      </c>
      <c r="Z390" s="4">
        <v>0</v>
      </c>
      <c r="AA390" s="4">
        <v>0</v>
      </c>
      <c r="AB390" s="4">
        <v>0</v>
      </c>
      <c r="AC390" s="4">
        <v>0</v>
      </c>
      <c r="AD390" s="4">
        <v>0</v>
      </c>
      <c r="AE390" s="4">
        <v>0</v>
      </c>
      <c r="AF390" s="4">
        <v>0</v>
      </c>
      <c r="AG390" s="3">
        <v>7600</v>
      </c>
      <c r="AH390" s="3">
        <v>6350</v>
      </c>
      <c r="AI390" s="3">
        <v>5800</v>
      </c>
      <c r="AJ390" s="3">
        <v>5800</v>
      </c>
      <c r="AK390" s="3">
        <v>5400</v>
      </c>
      <c r="AL390" s="3">
        <v>4900</v>
      </c>
      <c r="AM390" s="3">
        <v>5000</v>
      </c>
      <c r="AN390" s="3">
        <v>5100</v>
      </c>
      <c r="AO390" s="3">
        <v>4960</v>
      </c>
      <c r="AP390" s="3">
        <v>4995</v>
      </c>
      <c r="AQ390" s="3">
        <v>6130</v>
      </c>
      <c r="AR390" s="3">
        <v>6840</v>
      </c>
      <c r="AS390" s="3">
        <v>7040</v>
      </c>
      <c r="AT390" s="3">
        <v>6400</v>
      </c>
      <c r="AU390" s="3">
        <v>6100</v>
      </c>
      <c r="AV390" s="3">
        <v>6300</v>
      </c>
      <c r="AW390" s="3">
        <v>5400</v>
      </c>
      <c r="AX390" s="3">
        <v>5950</v>
      </c>
      <c r="AY390" s="3">
        <v>5990</v>
      </c>
      <c r="AZ390" s="3">
        <v>5500</v>
      </c>
      <c r="BA390" s="3">
        <v>5694</v>
      </c>
      <c r="BB390" s="24">
        <v>5736</v>
      </c>
      <c r="BC390" s="20">
        <f t="shared" ref="BC390:BH390" si="106">AW390/AW$25</f>
        <v>3.2238805970149254</v>
      </c>
      <c r="BD390" s="20">
        <f t="shared" si="106"/>
        <v>3.4795321637426899</v>
      </c>
      <c r="BE390" s="20">
        <f t="shared" si="106"/>
        <v>3.3370473537604455</v>
      </c>
      <c r="BF390" s="20">
        <f t="shared" si="106"/>
        <v>3.1791907514450868</v>
      </c>
      <c r="BG390" s="20">
        <f t="shared" si="106"/>
        <v>3.2913294797687862</v>
      </c>
      <c r="BH390" s="20">
        <f t="shared" si="106"/>
        <v>3.2590909090909093</v>
      </c>
      <c r="BI390"/>
      <c r="BJ390" s="23">
        <f>AVERAGE(BF390,BG390,BH390)</f>
        <v>3.2432037134349279</v>
      </c>
    </row>
    <row r="391" spans="1:62" x14ac:dyDescent="0.25">
      <c r="A391" s="12"/>
      <c r="B391" s="2" t="s">
        <v>15</v>
      </c>
      <c r="C391" s="2" t="s">
        <v>6</v>
      </c>
      <c r="D391" s="4">
        <v>0</v>
      </c>
      <c r="E391" s="4">
        <v>0</v>
      </c>
      <c r="F391" s="4">
        <v>0</v>
      </c>
      <c r="G391" s="4">
        <v>0</v>
      </c>
      <c r="H391" s="4">
        <v>0</v>
      </c>
      <c r="I391" s="4">
        <v>0</v>
      </c>
      <c r="J391" s="4">
        <v>0</v>
      </c>
      <c r="K391" s="4">
        <v>0</v>
      </c>
      <c r="L391" s="4">
        <v>0</v>
      </c>
      <c r="M391" s="4">
        <v>0</v>
      </c>
      <c r="N391" s="4">
        <v>0</v>
      </c>
      <c r="O391" s="4">
        <v>0</v>
      </c>
      <c r="P391" s="4">
        <v>0</v>
      </c>
      <c r="Q391" s="4">
        <v>0</v>
      </c>
      <c r="R391" s="4">
        <v>0</v>
      </c>
      <c r="S391" s="4">
        <v>0</v>
      </c>
      <c r="T391" s="4">
        <v>0</v>
      </c>
      <c r="U391" s="4">
        <v>0</v>
      </c>
      <c r="V391" s="4">
        <v>0</v>
      </c>
      <c r="W391" s="4">
        <v>0</v>
      </c>
      <c r="X391" s="4">
        <v>0</v>
      </c>
      <c r="Y391" s="4">
        <v>0</v>
      </c>
      <c r="Z391" s="4">
        <v>0</v>
      </c>
      <c r="AA391" s="4">
        <v>0</v>
      </c>
      <c r="AB391" s="4">
        <v>0</v>
      </c>
      <c r="AC391" s="4">
        <v>0</v>
      </c>
      <c r="AD391" s="4">
        <v>0</v>
      </c>
      <c r="AE391" s="3">
        <v>36868</v>
      </c>
      <c r="AF391" s="3">
        <v>39864</v>
      </c>
      <c r="AG391" s="3">
        <v>44004</v>
      </c>
      <c r="AH391" s="3">
        <v>49596</v>
      </c>
      <c r="AI391" s="3">
        <v>38900</v>
      </c>
      <c r="AJ391" s="3">
        <v>46170</v>
      </c>
      <c r="AK391" s="3">
        <v>43500</v>
      </c>
      <c r="AL391" s="3">
        <v>32100</v>
      </c>
      <c r="AM391" s="3">
        <v>30100</v>
      </c>
      <c r="AN391" s="3">
        <v>34900</v>
      </c>
      <c r="AO391" s="3">
        <v>44250</v>
      </c>
      <c r="AP391" s="3">
        <v>27012</v>
      </c>
      <c r="AQ391" s="3">
        <v>30995</v>
      </c>
      <c r="AR391" s="3">
        <v>34455</v>
      </c>
      <c r="AS391" s="3">
        <v>46982</v>
      </c>
      <c r="AT391" s="3">
        <v>50609</v>
      </c>
      <c r="AU391" s="3">
        <v>34070</v>
      </c>
      <c r="AV391" s="3">
        <v>45434</v>
      </c>
      <c r="AW391" s="3">
        <v>47615</v>
      </c>
      <c r="AX391" s="3">
        <v>44927</v>
      </c>
      <c r="AY391" s="3">
        <v>49368</v>
      </c>
      <c r="AZ391" s="3">
        <v>63765</v>
      </c>
      <c r="BA391" s="3">
        <v>61770</v>
      </c>
      <c r="BB391" s="3">
        <v>41508</v>
      </c>
      <c r="BC391" s="13">
        <v>0</v>
      </c>
      <c r="BD391" s="20">
        <f t="shared" ref="BD391:BI394" si="107">AW391/AW571</f>
        <v>7.6905558714078975E-2</v>
      </c>
      <c r="BE391" s="20">
        <f t="shared" si="107"/>
        <v>7.5348887133481923E-2</v>
      </c>
      <c r="BF391" s="20">
        <f t="shared" si="107"/>
        <v>8.0654146823613979E-2</v>
      </c>
      <c r="BG391" s="20">
        <f t="shared" si="107"/>
        <v>9.3471027133203363E-2</v>
      </c>
      <c r="BH391" s="20">
        <f t="shared" si="107"/>
        <v>9.0332506101867924E-2</v>
      </c>
      <c r="BI391" s="20">
        <f t="shared" si="107"/>
        <v>6.4136617113295977E-2</v>
      </c>
      <c r="BJ391" s="23">
        <f t="shared" si="92"/>
        <v>8.2646716782789079E-2</v>
      </c>
    </row>
    <row r="392" spans="1:62" s="5" customFormat="1" x14ac:dyDescent="0.25">
      <c r="A392" s="14"/>
      <c r="B392" s="6"/>
      <c r="C392" s="6" t="s">
        <v>7</v>
      </c>
      <c r="D392" s="7">
        <v>0</v>
      </c>
      <c r="E392" s="7">
        <v>0</v>
      </c>
      <c r="F392" s="7">
        <v>0</v>
      </c>
      <c r="G392" s="7">
        <v>0</v>
      </c>
      <c r="H392" s="7">
        <v>0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0</v>
      </c>
      <c r="Q392" s="7">
        <v>0</v>
      </c>
      <c r="R392" s="7">
        <v>0</v>
      </c>
      <c r="S392" s="7">
        <v>0</v>
      </c>
      <c r="T392" s="7">
        <v>0</v>
      </c>
      <c r="U392" s="7">
        <v>0</v>
      </c>
      <c r="V392" s="7">
        <v>0</v>
      </c>
      <c r="W392" s="7">
        <v>0</v>
      </c>
      <c r="X392" s="7">
        <v>0</v>
      </c>
      <c r="Y392" s="7">
        <v>0</v>
      </c>
      <c r="Z392" s="7">
        <v>0</v>
      </c>
      <c r="AA392" s="7">
        <v>0</v>
      </c>
      <c r="AB392" s="7">
        <v>0</v>
      </c>
      <c r="AC392" s="7">
        <v>0</v>
      </c>
      <c r="AD392" s="7">
        <v>0</v>
      </c>
      <c r="AE392" s="8">
        <v>14900</v>
      </c>
      <c r="AF392" s="8">
        <v>9860</v>
      </c>
      <c r="AG392" s="8">
        <v>9100</v>
      </c>
      <c r="AH392" s="8">
        <v>10849</v>
      </c>
      <c r="AI392" s="8">
        <v>13645</v>
      </c>
      <c r="AJ392" s="8">
        <v>14470</v>
      </c>
      <c r="AK392" s="8">
        <v>5000</v>
      </c>
      <c r="AL392" s="8">
        <v>2167</v>
      </c>
      <c r="AM392" s="8">
        <v>5316</v>
      </c>
      <c r="AN392" s="8">
        <v>2631</v>
      </c>
      <c r="AO392" s="8">
        <v>3120</v>
      </c>
      <c r="AP392" s="8">
        <v>2490</v>
      </c>
      <c r="AQ392" s="8">
        <v>5083</v>
      </c>
      <c r="AR392" s="8">
        <v>1604</v>
      </c>
      <c r="AS392" s="7">
        <v>629</v>
      </c>
      <c r="AT392" s="8">
        <v>1045</v>
      </c>
      <c r="AU392" s="8">
        <v>1026</v>
      </c>
      <c r="AV392" s="8">
        <v>1197</v>
      </c>
      <c r="AW392" s="8">
        <v>1321</v>
      </c>
      <c r="AX392" s="7">
        <v>928</v>
      </c>
      <c r="AY392" s="7">
        <v>440</v>
      </c>
      <c r="AZ392" s="7">
        <v>203</v>
      </c>
      <c r="BA392" s="7">
        <v>164</v>
      </c>
      <c r="BB392" s="7">
        <v>500</v>
      </c>
      <c r="BC392" s="15">
        <v>0</v>
      </c>
      <c r="BD392" s="21">
        <f t="shared" si="107"/>
        <v>1.1839357573693502E-2</v>
      </c>
      <c r="BE392" s="21">
        <f t="shared" si="107"/>
        <v>8.1397796645849407E-3</v>
      </c>
      <c r="BF392" s="21">
        <f t="shared" si="107"/>
        <v>3.8662624664997144E-3</v>
      </c>
      <c r="BG392" s="21">
        <f t="shared" si="107"/>
        <v>1.4824768317352281E-3</v>
      </c>
      <c r="BH392" s="21">
        <f t="shared" si="107"/>
        <v>1.2288786482334869E-3</v>
      </c>
      <c r="BI392" s="21">
        <f t="shared" si="107"/>
        <v>4.07584329197711E-3</v>
      </c>
      <c r="BJ392" s="23">
        <f t="shared" si="92"/>
        <v>2.2623995906486086E-3</v>
      </c>
    </row>
    <row r="393" spans="1:62" x14ac:dyDescent="0.25">
      <c r="A393" s="12"/>
      <c r="B393" s="2"/>
      <c r="C393" s="2" t="s">
        <v>8</v>
      </c>
      <c r="D393" s="4">
        <v>0</v>
      </c>
      <c r="E393" s="4">
        <v>0</v>
      </c>
      <c r="F393" s="4">
        <v>0</v>
      </c>
      <c r="G393" s="4">
        <v>0</v>
      </c>
      <c r="H393" s="4">
        <v>0</v>
      </c>
      <c r="I393" s="4">
        <v>0</v>
      </c>
      <c r="J393" s="4">
        <v>0</v>
      </c>
      <c r="K393" s="4">
        <v>0</v>
      </c>
      <c r="L393" s="4">
        <v>0</v>
      </c>
      <c r="M393" s="4">
        <v>0</v>
      </c>
      <c r="N393" s="4">
        <v>0</v>
      </c>
      <c r="O393" s="4">
        <v>0</v>
      </c>
      <c r="P393" s="4">
        <v>0</v>
      </c>
      <c r="Q393" s="4">
        <v>0</v>
      </c>
      <c r="R393" s="4">
        <v>0</v>
      </c>
      <c r="S393" s="4">
        <v>0</v>
      </c>
      <c r="T393" s="4">
        <v>0</v>
      </c>
      <c r="U393" s="4">
        <v>0</v>
      </c>
      <c r="V393" s="4">
        <v>0</v>
      </c>
      <c r="W393" s="4">
        <v>0</v>
      </c>
      <c r="X393" s="4">
        <v>0</v>
      </c>
      <c r="Y393" s="4">
        <v>0</v>
      </c>
      <c r="Z393" s="4">
        <v>0</v>
      </c>
      <c r="AA393" s="4">
        <v>0</v>
      </c>
      <c r="AB393" s="4">
        <v>0</v>
      </c>
      <c r="AC393" s="4">
        <v>0</v>
      </c>
      <c r="AD393" s="4">
        <v>0</v>
      </c>
      <c r="AE393" s="4">
        <v>800</v>
      </c>
      <c r="AF393" s="4">
        <v>970</v>
      </c>
      <c r="AG393" s="3">
        <v>1150</v>
      </c>
      <c r="AH393" s="3">
        <v>1200</v>
      </c>
      <c r="AI393" s="4">
        <v>555</v>
      </c>
      <c r="AJ393" s="4">
        <v>900</v>
      </c>
      <c r="AK393" s="4">
        <v>500</v>
      </c>
      <c r="AL393" s="4">
        <v>619</v>
      </c>
      <c r="AM393" s="4">
        <v>206</v>
      </c>
      <c r="AN393" s="4">
        <v>697</v>
      </c>
      <c r="AO393" s="3">
        <v>1111</v>
      </c>
      <c r="AP393" s="3">
        <v>1652</v>
      </c>
      <c r="AQ393" s="4">
        <v>518</v>
      </c>
      <c r="AR393" s="4">
        <v>696</v>
      </c>
      <c r="AS393" s="3">
        <v>4372</v>
      </c>
      <c r="AT393" s="3">
        <v>12621</v>
      </c>
      <c r="AU393" s="3">
        <v>3114</v>
      </c>
      <c r="AV393" s="3">
        <v>8456</v>
      </c>
      <c r="AW393" s="3">
        <v>10664</v>
      </c>
      <c r="AX393" s="3">
        <v>10790</v>
      </c>
      <c r="AY393" s="3">
        <v>12220</v>
      </c>
      <c r="AZ393" s="3">
        <v>18393</v>
      </c>
      <c r="BA393" s="3">
        <v>18556</v>
      </c>
      <c r="BB393" s="3">
        <v>4000</v>
      </c>
      <c r="BC393" s="13">
        <v>0</v>
      </c>
      <c r="BD393" s="20">
        <f t="shared" si="107"/>
        <v>9.1156985938368171E-2</v>
      </c>
      <c r="BE393" s="20">
        <f t="shared" si="107"/>
        <v>9.6490051419628881E-2</v>
      </c>
      <c r="BF393" s="20">
        <f t="shared" si="107"/>
        <v>0.10419331184666018</v>
      </c>
      <c r="BG393" s="20">
        <f t="shared" si="107"/>
        <v>0.12803146317694555</v>
      </c>
      <c r="BH393" s="20">
        <f t="shared" si="107"/>
        <v>0.13664111457205763</v>
      </c>
      <c r="BI393" s="20">
        <f t="shared" si="107"/>
        <v>3.2217273291075009E-2</v>
      </c>
      <c r="BJ393" s="23">
        <f t="shared" si="92"/>
        <v>9.8963283680026062E-2</v>
      </c>
    </row>
    <row r="394" spans="1:62" s="5" customFormat="1" x14ac:dyDescent="0.25">
      <c r="A394" s="14"/>
      <c r="B394" s="6"/>
      <c r="C394" s="6" t="s">
        <v>9</v>
      </c>
      <c r="D394" s="7">
        <v>0</v>
      </c>
      <c r="E394" s="7">
        <v>0</v>
      </c>
      <c r="F394" s="7">
        <v>0</v>
      </c>
      <c r="G394" s="7">
        <v>0</v>
      </c>
      <c r="H394" s="7">
        <v>0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0</v>
      </c>
      <c r="Q394" s="7">
        <v>0</v>
      </c>
      <c r="R394" s="7">
        <v>0</v>
      </c>
      <c r="S394" s="7">
        <v>0</v>
      </c>
      <c r="T394" s="7">
        <v>0</v>
      </c>
      <c r="U394" s="7">
        <v>0</v>
      </c>
      <c r="V394" s="7">
        <v>0</v>
      </c>
      <c r="W394" s="7">
        <v>0</v>
      </c>
      <c r="X394" s="7">
        <v>0</v>
      </c>
      <c r="Y394" s="7">
        <v>0</v>
      </c>
      <c r="Z394" s="7">
        <v>0</v>
      </c>
      <c r="AA394" s="7">
        <v>0</v>
      </c>
      <c r="AB394" s="7">
        <v>0</v>
      </c>
      <c r="AC394" s="7">
        <v>0</v>
      </c>
      <c r="AD394" s="7">
        <v>0</v>
      </c>
      <c r="AE394" s="8">
        <v>50981</v>
      </c>
      <c r="AF394" s="8">
        <v>48840</v>
      </c>
      <c r="AG394" s="8">
        <v>51960</v>
      </c>
      <c r="AH394" s="8">
        <v>57260</v>
      </c>
      <c r="AI394" s="8">
        <v>53823</v>
      </c>
      <c r="AJ394" s="8">
        <v>56617</v>
      </c>
      <c r="AK394" s="8">
        <v>48945</v>
      </c>
      <c r="AL394" s="8">
        <v>42873</v>
      </c>
      <c r="AM394" s="8">
        <v>39810</v>
      </c>
      <c r="AN394" s="8">
        <v>38134</v>
      </c>
      <c r="AO394" s="8">
        <v>39809</v>
      </c>
      <c r="AP394" s="8">
        <v>34838</v>
      </c>
      <c r="AQ394" s="8">
        <v>35365</v>
      </c>
      <c r="AR394" s="8">
        <v>35158</v>
      </c>
      <c r="AS394" s="8">
        <v>37078</v>
      </c>
      <c r="AT394" s="8">
        <v>38320</v>
      </c>
      <c r="AU394" s="8">
        <v>35500</v>
      </c>
      <c r="AV394" s="8">
        <v>37400</v>
      </c>
      <c r="AW394" s="8">
        <v>38400</v>
      </c>
      <c r="AX394" s="8">
        <v>36400</v>
      </c>
      <c r="AY394" s="8">
        <v>37650</v>
      </c>
      <c r="AZ394" s="8">
        <v>38900</v>
      </c>
      <c r="BA394" s="8">
        <v>42000</v>
      </c>
      <c r="BB394" s="8">
        <v>45800</v>
      </c>
      <c r="BC394" s="15">
        <v>0</v>
      </c>
      <c r="BD394" s="21">
        <f t="shared" si="107"/>
        <v>6.2267611274977985E-2</v>
      </c>
      <c r="BE394" s="21">
        <f t="shared" si="107"/>
        <v>5.8871859897912313E-2</v>
      </c>
      <c r="BF394" s="21">
        <f t="shared" si="107"/>
        <v>6.1391207931124445E-2</v>
      </c>
      <c r="BG394" s="21">
        <f t="shared" si="107"/>
        <v>6.128348732975715E-2</v>
      </c>
      <c r="BH394" s="21">
        <f t="shared" si="107"/>
        <v>6.4594614962265984E-2</v>
      </c>
      <c r="BI394" s="21">
        <f t="shared" si="107"/>
        <v>6.9312654553599265E-2</v>
      </c>
      <c r="BJ394" s="23">
        <f t="shared" si="92"/>
        <v>6.5063585615207462E-2</v>
      </c>
    </row>
    <row r="395" spans="1:62" x14ac:dyDescent="0.25">
      <c r="A395" s="12" t="s">
        <v>30</v>
      </c>
      <c r="B395" s="2" t="s">
        <v>5</v>
      </c>
      <c r="C395" s="2" t="s">
        <v>6</v>
      </c>
      <c r="D395" s="3">
        <v>5275</v>
      </c>
      <c r="E395" s="3">
        <v>6002</v>
      </c>
      <c r="F395" s="3">
        <v>6100</v>
      </c>
      <c r="G395" s="3">
        <v>4279</v>
      </c>
      <c r="H395" s="3">
        <v>4583</v>
      </c>
      <c r="I395" s="3">
        <v>5118</v>
      </c>
      <c r="J395" s="3">
        <v>9762</v>
      </c>
      <c r="K395" s="3">
        <v>5316</v>
      </c>
      <c r="L395" s="3">
        <v>5340</v>
      </c>
      <c r="M395" s="3">
        <v>6132</v>
      </c>
      <c r="N395" s="3">
        <v>8600</v>
      </c>
      <c r="O395" s="3">
        <v>9483</v>
      </c>
      <c r="P395" s="3">
        <v>4160</v>
      </c>
      <c r="Q395" s="3">
        <v>11105</v>
      </c>
      <c r="R395" s="3">
        <v>9140</v>
      </c>
      <c r="S395" s="3">
        <v>7314</v>
      </c>
      <c r="T395" s="3">
        <v>9727</v>
      </c>
      <c r="U395" s="3">
        <v>10056</v>
      </c>
      <c r="V395" s="3">
        <v>8332</v>
      </c>
      <c r="W395" s="3">
        <v>11040</v>
      </c>
      <c r="X395" s="3">
        <v>14872</v>
      </c>
      <c r="Y395" s="3">
        <v>8781</v>
      </c>
      <c r="Z395" s="3">
        <v>4399</v>
      </c>
      <c r="AA395" s="3">
        <v>4797</v>
      </c>
      <c r="AB395" s="3">
        <v>8444</v>
      </c>
      <c r="AC395" s="3">
        <v>8600</v>
      </c>
      <c r="AD395" s="3">
        <v>7890</v>
      </c>
      <c r="AE395" s="3">
        <v>7670</v>
      </c>
      <c r="AF395" s="3">
        <v>12481</v>
      </c>
      <c r="AG395" s="3">
        <v>9180</v>
      </c>
      <c r="AH395" s="3">
        <v>8614</v>
      </c>
      <c r="AI395" s="3">
        <v>3277</v>
      </c>
      <c r="AJ395" s="3">
        <v>9997</v>
      </c>
      <c r="AK395" s="3">
        <v>13275</v>
      </c>
      <c r="AL395" s="3">
        <v>4866</v>
      </c>
      <c r="AM395" s="3">
        <v>10171</v>
      </c>
      <c r="AN395" s="3">
        <v>10136</v>
      </c>
      <c r="AO395" s="3">
        <v>7693</v>
      </c>
      <c r="AP395" s="3">
        <v>7946</v>
      </c>
      <c r="AQ395" s="3">
        <v>11455</v>
      </c>
      <c r="AR395" s="3">
        <v>8040</v>
      </c>
      <c r="AS395" s="3">
        <v>10050</v>
      </c>
      <c r="AT395" s="3">
        <v>9675</v>
      </c>
      <c r="AU395" s="3">
        <v>9700</v>
      </c>
      <c r="AV395" s="3">
        <v>11716</v>
      </c>
      <c r="AW395" s="3">
        <v>6935</v>
      </c>
      <c r="AX395" s="3">
        <v>7300</v>
      </c>
      <c r="AY395" s="3">
        <v>13164</v>
      </c>
      <c r="AZ395" s="3">
        <v>12567</v>
      </c>
      <c r="BA395" s="3">
        <v>13420</v>
      </c>
      <c r="BB395" s="3">
        <v>12000</v>
      </c>
      <c r="BC395" s="13">
        <v>0</v>
      </c>
      <c r="BD395" s="20">
        <f t="shared" ref="BD395:BI406" si="108">AW395/AW547</f>
        <v>9.9148197604430853E-3</v>
      </c>
      <c r="BE395" s="20">
        <f t="shared" si="108"/>
        <v>1.0230236374516342E-2</v>
      </c>
      <c r="BF395" s="20">
        <f t="shared" si="108"/>
        <v>1.6569495211914326E-2</v>
      </c>
      <c r="BG395" s="20">
        <f t="shared" si="108"/>
        <v>1.5731875857510541E-2</v>
      </c>
      <c r="BH395" s="20">
        <f t="shared" si="108"/>
        <v>1.6518407192276967E-2</v>
      </c>
      <c r="BI395" s="20">
        <f t="shared" si="108"/>
        <v>1.4724992361410212E-2</v>
      </c>
      <c r="BJ395" s="23">
        <f t="shared" si="92"/>
        <v>1.5658425137065907E-2</v>
      </c>
    </row>
    <row r="396" spans="1:62" s="5" customFormat="1" x14ac:dyDescent="0.25">
      <c r="A396" s="14"/>
      <c r="B396" s="6"/>
      <c r="C396" s="6" t="s">
        <v>7</v>
      </c>
      <c r="D396" s="7">
        <v>0</v>
      </c>
      <c r="E396" s="7">
        <v>2</v>
      </c>
      <c r="F396" s="7">
        <v>1</v>
      </c>
      <c r="G396" s="7">
        <v>0</v>
      </c>
      <c r="H396" s="7">
        <v>160</v>
      </c>
      <c r="I396" s="7">
        <v>136</v>
      </c>
      <c r="J396" s="7">
        <v>3</v>
      </c>
      <c r="K396" s="7">
        <v>0</v>
      </c>
      <c r="L396" s="7">
        <v>503</v>
      </c>
      <c r="M396" s="7">
        <v>9</v>
      </c>
      <c r="N396" s="7">
        <v>2</v>
      </c>
      <c r="O396" s="7">
        <v>0</v>
      </c>
      <c r="P396" s="7">
        <v>0</v>
      </c>
      <c r="Q396" s="7">
        <v>0</v>
      </c>
      <c r="R396" s="7">
        <v>0</v>
      </c>
      <c r="S396" s="7">
        <v>0</v>
      </c>
      <c r="T396" s="7">
        <v>0</v>
      </c>
      <c r="U396" s="7">
        <v>0</v>
      </c>
      <c r="V396" s="7">
        <v>0</v>
      </c>
      <c r="W396" s="7">
        <v>0</v>
      </c>
      <c r="X396" s="7">
        <v>0</v>
      </c>
      <c r="Y396" s="7">
        <v>0</v>
      </c>
      <c r="Z396" s="8">
        <v>2314</v>
      </c>
      <c r="AA396" s="8">
        <v>2008</v>
      </c>
      <c r="AB396" s="7">
        <v>193</v>
      </c>
      <c r="AC396" s="7">
        <v>9</v>
      </c>
      <c r="AD396" s="7">
        <v>0</v>
      </c>
      <c r="AE396" s="7">
        <v>0</v>
      </c>
      <c r="AF396" s="7">
        <v>0</v>
      </c>
      <c r="AG396" s="7">
        <v>205</v>
      </c>
      <c r="AH396" s="7">
        <v>375</v>
      </c>
      <c r="AI396" s="8">
        <v>4000</v>
      </c>
      <c r="AJ396" s="7">
        <v>0</v>
      </c>
      <c r="AK396" s="7">
        <v>225</v>
      </c>
      <c r="AL396" s="7">
        <v>825</v>
      </c>
      <c r="AM396" s="7">
        <v>410</v>
      </c>
      <c r="AN396" s="7">
        <v>157</v>
      </c>
      <c r="AO396" s="7">
        <v>124</v>
      </c>
      <c r="AP396" s="7">
        <v>569</v>
      </c>
      <c r="AQ396" s="7">
        <v>0</v>
      </c>
      <c r="AR396" s="7">
        <v>395</v>
      </c>
      <c r="AS396" s="7">
        <v>923</v>
      </c>
      <c r="AT396" s="7">
        <v>441</v>
      </c>
      <c r="AU396" s="7">
        <v>219</v>
      </c>
      <c r="AV396" s="7">
        <v>361</v>
      </c>
      <c r="AW396" s="7">
        <v>931</v>
      </c>
      <c r="AX396" s="8">
        <v>1121</v>
      </c>
      <c r="AY396" s="7">
        <v>27</v>
      </c>
      <c r="AZ396" s="7">
        <v>27</v>
      </c>
      <c r="BA396" s="7">
        <v>25</v>
      </c>
      <c r="BB396" s="7">
        <v>25</v>
      </c>
      <c r="BC396" s="15">
        <v>0</v>
      </c>
      <c r="BD396" s="21">
        <f t="shared" si="108"/>
        <v>1.154599796611851E-2</v>
      </c>
      <c r="BE396" s="21">
        <f t="shared" si="108"/>
        <v>1.2376620222138804E-2</v>
      </c>
      <c r="BF396" s="21">
        <f t="shared" si="108"/>
        <v>2.7406437467645178E-4</v>
      </c>
      <c r="BG396" s="21">
        <f t="shared" si="108"/>
        <v>3.2692796687129936E-4</v>
      </c>
      <c r="BH396" s="21">
        <f t="shared" si="108"/>
        <v>2.7826628970859955E-4</v>
      </c>
      <c r="BI396" s="21">
        <f t="shared" si="108"/>
        <v>2.7261921638332444E-4</v>
      </c>
      <c r="BJ396" s="23">
        <f t="shared" si="92"/>
        <v>2.926044909877411E-4</v>
      </c>
    </row>
    <row r="397" spans="1:62" x14ac:dyDescent="0.25">
      <c r="A397" s="12"/>
      <c r="B397" s="2"/>
      <c r="C397" s="2" t="s">
        <v>8</v>
      </c>
      <c r="D397" s="3">
        <v>1617</v>
      </c>
      <c r="E397" s="3">
        <v>2586</v>
      </c>
      <c r="F397" s="3">
        <v>2765</v>
      </c>
      <c r="G397" s="3">
        <v>1101</v>
      </c>
      <c r="H397" s="4">
        <v>480</v>
      </c>
      <c r="I397" s="4">
        <v>482</v>
      </c>
      <c r="J397" s="3">
        <v>2899</v>
      </c>
      <c r="K397" s="3">
        <v>2671</v>
      </c>
      <c r="L397" s="4">
        <v>796</v>
      </c>
      <c r="M397" s="3">
        <v>1104</v>
      </c>
      <c r="N397" s="3">
        <v>2555</v>
      </c>
      <c r="O397" s="3">
        <v>3562</v>
      </c>
      <c r="P397" s="4">
        <v>157</v>
      </c>
      <c r="Q397" s="3">
        <v>3227</v>
      </c>
      <c r="R397" s="3">
        <v>3206</v>
      </c>
      <c r="S397" s="3">
        <v>1465</v>
      </c>
      <c r="T397" s="3">
        <v>2525</v>
      </c>
      <c r="U397" s="3">
        <v>3012</v>
      </c>
      <c r="V397" s="3">
        <v>2325</v>
      </c>
      <c r="W397" s="3">
        <v>3444</v>
      </c>
      <c r="X397" s="3">
        <v>4955</v>
      </c>
      <c r="Y397" s="3">
        <v>3787</v>
      </c>
      <c r="Z397" s="4">
        <v>238</v>
      </c>
      <c r="AA397" s="4">
        <v>9</v>
      </c>
      <c r="AB397" s="4">
        <v>517</v>
      </c>
      <c r="AC397" s="3">
        <v>2899</v>
      </c>
      <c r="AD397" s="3">
        <v>1437</v>
      </c>
      <c r="AE397" s="4">
        <v>600</v>
      </c>
      <c r="AF397" s="3">
        <v>4000</v>
      </c>
      <c r="AG397" s="3">
        <v>1000</v>
      </c>
      <c r="AH397" s="4">
        <v>900</v>
      </c>
      <c r="AI397" s="4">
        <v>0</v>
      </c>
      <c r="AJ397" s="3">
        <v>1200</v>
      </c>
      <c r="AK397" s="3">
        <v>4200</v>
      </c>
      <c r="AL397" s="4">
        <v>250</v>
      </c>
      <c r="AM397" s="3">
        <v>2650</v>
      </c>
      <c r="AN397" s="3">
        <v>1418</v>
      </c>
      <c r="AO397" s="3">
        <v>1249</v>
      </c>
      <c r="AP397" s="4">
        <v>533</v>
      </c>
      <c r="AQ397" s="3">
        <v>1423</v>
      </c>
      <c r="AR397" s="3">
        <v>1281</v>
      </c>
      <c r="AS397" s="3">
        <v>1074</v>
      </c>
      <c r="AT397" s="3">
        <v>1096</v>
      </c>
      <c r="AU397" s="4">
        <v>729</v>
      </c>
      <c r="AV397" s="3">
        <v>2143</v>
      </c>
      <c r="AW397" s="4">
        <v>548</v>
      </c>
      <c r="AX397" s="4">
        <v>468</v>
      </c>
      <c r="AY397" s="3">
        <v>2162</v>
      </c>
      <c r="AZ397" s="3">
        <v>1671</v>
      </c>
      <c r="BA397" s="3">
        <v>2000</v>
      </c>
      <c r="BB397" s="3">
        <v>2000</v>
      </c>
      <c r="BC397" s="13">
        <v>0</v>
      </c>
      <c r="BD397" s="20">
        <f t="shared" si="108"/>
        <v>6.7594237221235446E-3</v>
      </c>
      <c r="BE397" s="20">
        <f t="shared" si="108"/>
        <v>4.9757062206959614E-3</v>
      </c>
      <c r="BF397" s="20">
        <f t="shared" si="108"/>
        <v>2.1919863735907211E-2</v>
      </c>
      <c r="BG397" s="20">
        <f t="shared" si="108"/>
        <v>1.9782873785028472E-2</v>
      </c>
      <c r="BH397" s="20">
        <f t="shared" si="108"/>
        <v>2.0622170895930214E-2</v>
      </c>
      <c r="BI397" s="20">
        <f t="shared" si="108"/>
        <v>2.202715948764827E-2</v>
      </c>
      <c r="BJ397" s="23">
        <f t="shared" si="92"/>
        <v>2.0810734722868988E-2</v>
      </c>
    </row>
    <row r="398" spans="1:62" s="5" customFormat="1" x14ac:dyDescent="0.25">
      <c r="A398" s="14"/>
      <c r="B398" s="6"/>
      <c r="C398" s="6" t="s">
        <v>9</v>
      </c>
      <c r="D398" s="8">
        <v>3220</v>
      </c>
      <c r="E398" s="8">
        <v>3439</v>
      </c>
      <c r="F398" s="8">
        <v>3566</v>
      </c>
      <c r="G398" s="8">
        <v>3457</v>
      </c>
      <c r="H398" s="8">
        <v>4576</v>
      </c>
      <c r="I398" s="8">
        <v>4363</v>
      </c>
      <c r="J398" s="8">
        <v>4471</v>
      </c>
      <c r="K398" s="8">
        <v>4885</v>
      </c>
      <c r="L398" s="8">
        <v>5008</v>
      </c>
      <c r="M398" s="8">
        <v>5159</v>
      </c>
      <c r="N398" s="8">
        <v>5173</v>
      </c>
      <c r="O398" s="8">
        <v>5540</v>
      </c>
      <c r="P398" s="8">
        <v>5544</v>
      </c>
      <c r="Q398" s="8">
        <v>6325</v>
      </c>
      <c r="R398" s="8">
        <v>6376</v>
      </c>
      <c r="S398" s="8">
        <v>6438</v>
      </c>
      <c r="T398" s="8">
        <v>6553</v>
      </c>
      <c r="U398" s="8">
        <v>6565</v>
      </c>
      <c r="V398" s="8">
        <v>6763</v>
      </c>
      <c r="W398" s="8">
        <v>6677</v>
      </c>
      <c r="X398" s="8">
        <v>7617</v>
      </c>
      <c r="Y398" s="8">
        <v>8072</v>
      </c>
      <c r="Z398" s="8">
        <v>7775</v>
      </c>
      <c r="AA398" s="8">
        <v>6696</v>
      </c>
      <c r="AB398" s="8">
        <v>6520</v>
      </c>
      <c r="AC398" s="8">
        <v>6310</v>
      </c>
      <c r="AD398" s="8">
        <v>6853</v>
      </c>
      <c r="AE398" s="8">
        <v>7470</v>
      </c>
      <c r="AF398" s="8">
        <v>7881</v>
      </c>
      <c r="AG398" s="8">
        <v>8285</v>
      </c>
      <c r="AH398" s="8">
        <v>8289</v>
      </c>
      <c r="AI398" s="8">
        <v>7527</v>
      </c>
      <c r="AJ398" s="8">
        <v>7747</v>
      </c>
      <c r="AK398" s="8">
        <v>8100</v>
      </c>
      <c r="AL398" s="8">
        <v>7691</v>
      </c>
      <c r="AM398" s="8">
        <v>7681</v>
      </c>
      <c r="AN398" s="8">
        <v>7636</v>
      </c>
      <c r="AO398" s="8">
        <v>7990</v>
      </c>
      <c r="AP398" s="8">
        <v>7936</v>
      </c>
      <c r="AQ398" s="8">
        <v>8854</v>
      </c>
      <c r="AR398" s="8">
        <v>8705</v>
      </c>
      <c r="AS398" s="8">
        <v>8446</v>
      </c>
      <c r="AT398" s="8">
        <v>8520</v>
      </c>
      <c r="AU398" s="8">
        <v>8677</v>
      </c>
      <c r="AV398" s="8">
        <v>9700</v>
      </c>
      <c r="AW398" s="8">
        <v>8200</v>
      </c>
      <c r="AX398" s="8">
        <v>8600</v>
      </c>
      <c r="AY398" s="8">
        <v>9600</v>
      </c>
      <c r="AZ398" s="8">
        <v>9900</v>
      </c>
      <c r="BA398" s="8">
        <v>10400</v>
      </c>
      <c r="BB398" s="8">
        <v>10600</v>
      </c>
      <c r="BC398" s="15">
        <v>0</v>
      </c>
      <c r="BD398" s="21">
        <f t="shared" si="108"/>
        <v>1.1615175084599553E-2</v>
      </c>
      <c r="BE398" s="21">
        <f t="shared" si="108"/>
        <v>1.1866782942741393E-2</v>
      </c>
      <c r="BF398" s="21">
        <f t="shared" si="108"/>
        <v>1.2431287997979915E-2</v>
      </c>
      <c r="BG398" s="21">
        <f t="shared" si="108"/>
        <v>1.2689948663389497E-2</v>
      </c>
      <c r="BH398" s="21">
        <f t="shared" si="108"/>
        <v>1.2862483968274189E-2</v>
      </c>
      <c r="BI398" s="21">
        <f t="shared" si="108"/>
        <v>1.2630731045264489E-2</v>
      </c>
      <c r="BJ398" s="23">
        <f t="shared" si="92"/>
        <v>1.2727721225642724E-2</v>
      </c>
    </row>
    <row r="399" spans="1:62" x14ac:dyDescent="0.25">
      <c r="A399" s="12"/>
      <c r="B399" s="2" t="s">
        <v>10</v>
      </c>
      <c r="C399" s="2" t="s">
        <v>6</v>
      </c>
      <c r="D399" s="4">
        <v>23</v>
      </c>
      <c r="E399" s="4">
        <v>32</v>
      </c>
      <c r="F399" s="4">
        <v>55</v>
      </c>
      <c r="G399" s="4">
        <v>47</v>
      </c>
      <c r="H399" s="4">
        <v>85</v>
      </c>
      <c r="I399" s="4">
        <v>70</v>
      </c>
      <c r="J399" s="4">
        <v>70</v>
      </c>
      <c r="K399" s="4">
        <v>70</v>
      </c>
      <c r="L399" s="4">
        <v>100</v>
      </c>
      <c r="M399" s="4">
        <v>75</v>
      </c>
      <c r="N399" s="4">
        <v>70</v>
      </c>
      <c r="O399" s="4">
        <v>70</v>
      </c>
      <c r="P399" s="4">
        <v>80</v>
      </c>
      <c r="Q399" s="4">
        <v>185</v>
      </c>
      <c r="R399" s="4">
        <v>188</v>
      </c>
      <c r="S399" s="4">
        <v>83</v>
      </c>
      <c r="T399" s="4">
        <v>159</v>
      </c>
      <c r="U399" s="4">
        <v>235</v>
      </c>
      <c r="V399" s="4">
        <v>251</v>
      </c>
      <c r="W399" s="4">
        <v>299</v>
      </c>
      <c r="X399" s="4">
        <v>265</v>
      </c>
      <c r="Y399" s="4">
        <v>173</v>
      </c>
      <c r="Z399" s="4">
        <v>124</v>
      </c>
      <c r="AA399" s="4">
        <v>165</v>
      </c>
      <c r="AB399" s="4">
        <v>211</v>
      </c>
      <c r="AC399" s="4">
        <v>216</v>
      </c>
      <c r="AD399" s="4">
        <v>280</v>
      </c>
      <c r="AE399" s="4">
        <v>358</v>
      </c>
      <c r="AF399" s="4">
        <v>357</v>
      </c>
      <c r="AG399" s="4">
        <v>279</v>
      </c>
      <c r="AH399" s="4">
        <v>227</v>
      </c>
      <c r="AI399" s="4">
        <v>94</v>
      </c>
      <c r="AJ399" s="4">
        <v>69</v>
      </c>
      <c r="AK399" s="4">
        <v>124</v>
      </c>
      <c r="AL399" s="4">
        <v>105</v>
      </c>
      <c r="AM399" s="4">
        <v>205</v>
      </c>
      <c r="AN399" s="4">
        <v>142</v>
      </c>
      <c r="AO399" s="4">
        <v>195</v>
      </c>
      <c r="AP399" s="4">
        <v>228</v>
      </c>
      <c r="AQ399" s="4">
        <v>121</v>
      </c>
      <c r="AR399" s="4">
        <v>155</v>
      </c>
      <c r="AS399" s="4">
        <v>83</v>
      </c>
      <c r="AT399" s="4">
        <v>70</v>
      </c>
      <c r="AU399" s="4">
        <v>125</v>
      </c>
      <c r="AV399" s="4">
        <v>95</v>
      </c>
      <c r="AW399" s="4">
        <v>68</v>
      </c>
      <c r="AX399" s="4">
        <v>52</v>
      </c>
      <c r="AY399" s="4">
        <v>46</v>
      </c>
      <c r="AZ399" s="4">
        <v>38</v>
      </c>
      <c r="BA399" s="4">
        <v>39</v>
      </c>
      <c r="BB399" s="4">
        <v>100</v>
      </c>
      <c r="BC399" s="13">
        <v>0</v>
      </c>
      <c r="BD399" s="20">
        <f t="shared" si="108"/>
        <v>5.8402686523580083E-4</v>
      </c>
      <c r="BE399" s="20">
        <f t="shared" si="108"/>
        <v>4.2688733458115784E-4</v>
      </c>
      <c r="BF399" s="20">
        <f t="shared" si="108"/>
        <v>3.8434865436193943E-4</v>
      </c>
      <c r="BG399" s="20">
        <f t="shared" si="108"/>
        <v>3.54801964482456E-4</v>
      </c>
      <c r="BH399" s="20">
        <f t="shared" si="108"/>
        <v>3.848279128512788E-4</v>
      </c>
      <c r="BI399" s="20">
        <f t="shared" si="108"/>
        <v>8.73110806492452E-4</v>
      </c>
      <c r="BJ399" s="23">
        <f t="shared" si="92"/>
        <v>5.3758022794206221E-4</v>
      </c>
    </row>
    <row r="400" spans="1:62" s="5" customFormat="1" x14ac:dyDescent="0.25">
      <c r="A400" s="14"/>
      <c r="B400" s="6"/>
      <c r="C400" s="6" t="s">
        <v>7</v>
      </c>
      <c r="D400" s="7">
        <v>92</v>
      </c>
      <c r="E400" s="7">
        <v>122</v>
      </c>
      <c r="F400" s="7">
        <v>108</v>
      </c>
      <c r="G400" s="7">
        <v>95</v>
      </c>
      <c r="H400" s="7">
        <v>132</v>
      </c>
      <c r="I400" s="7">
        <v>127</v>
      </c>
      <c r="J400" s="7">
        <v>177</v>
      </c>
      <c r="K400" s="7">
        <v>126</v>
      </c>
      <c r="L400" s="7">
        <v>132</v>
      </c>
      <c r="M400" s="7">
        <v>106</v>
      </c>
      <c r="N400" s="7">
        <v>156</v>
      </c>
      <c r="O400" s="7">
        <v>185</v>
      </c>
      <c r="P400" s="7">
        <v>255</v>
      </c>
      <c r="Q400" s="7">
        <v>195</v>
      </c>
      <c r="R400" s="7">
        <v>102</v>
      </c>
      <c r="S400" s="7">
        <v>124</v>
      </c>
      <c r="T400" s="7">
        <v>66</v>
      </c>
      <c r="U400" s="7">
        <v>70</v>
      </c>
      <c r="V400" s="7">
        <v>30</v>
      </c>
      <c r="W400" s="7">
        <v>56</v>
      </c>
      <c r="X400" s="7">
        <v>28</v>
      </c>
      <c r="Y400" s="7">
        <v>73</v>
      </c>
      <c r="Z400" s="7">
        <v>80</v>
      </c>
      <c r="AA400" s="7">
        <v>180</v>
      </c>
      <c r="AB400" s="7">
        <v>115</v>
      </c>
      <c r="AC400" s="7">
        <v>106</v>
      </c>
      <c r="AD400" s="7">
        <v>102</v>
      </c>
      <c r="AE400" s="7">
        <v>80</v>
      </c>
      <c r="AF400" s="7">
        <v>45</v>
      </c>
      <c r="AG400" s="7">
        <v>37</v>
      </c>
      <c r="AH400" s="7">
        <v>65</v>
      </c>
      <c r="AI400" s="7">
        <v>140</v>
      </c>
      <c r="AJ400" s="7">
        <v>228</v>
      </c>
      <c r="AK400" s="7">
        <v>194</v>
      </c>
      <c r="AL400" s="7">
        <v>235</v>
      </c>
      <c r="AM400" s="7">
        <v>200</v>
      </c>
      <c r="AN400" s="7">
        <v>200</v>
      </c>
      <c r="AO400" s="7">
        <v>200</v>
      </c>
      <c r="AP400" s="7">
        <v>175</v>
      </c>
      <c r="AQ400" s="7">
        <v>235</v>
      </c>
      <c r="AR400" s="7">
        <v>175</v>
      </c>
      <c r="AS400" s="7">
        <v>250</v>
      </c>
      <c r="AT400" s="7">
        <v>264</v>
      </c>
      <c r="AU400" s="7">
        <v>195</v>
      </c>
      <c r="AV400" s="7">
        <v>124</v>
      </c>
      <c r="AW400" s="7">
        <v>145</v>
      </c>
      <c r="AX400" s="7">
        <v>251</v>
      </c>
      <c r="AY400" s="7">
        <v>175</v>
      </c>
      <c r="AZ400" s="7">
        <v>156</v>
      </c>
      <c r="BA400" s="7">
        <v>132</v>
      </c>
      <c r="BB400" s="7">
        <v>110</v>
      </c>
      <c r="BC400" s="15">
        <v>0</v>
      </c>
      <c r="BD400" s="21">
        <f t="shared" si="108"/>
        <v>3.2387036251144714E-3</v>
      </c>
      <c r="BE400" s="21">
        <f t="shared" si="108"/>
        <v>6.6002261432065003E-3</v>
      </c>
      <c r="BF400" s="21">
        <f t="shared" si="108"/>
        <v>4.4919017428578763E-3</v>
      </c>
      <c r="BG400" s="21">
        <f t="shared" si="108"/>
        <v>5.1753309226022625E-3</v>
      </c>
      <c r="BH400" s="21">
        <f t="shared" si="108"/>
        <v>3.6500387125317996E-3</v>
      </c>
      <c r="BI400" s="21">
        <f t="shared" si="108"/>
        <v>2.8850188837599663E-3</v>
      </c>
      <c r="BJ400" s="23">
        <f t="shared" si="92"/>
        <v>3.9034628396313431E-3</v>
      </c>
    </row>
    <row r="401" spans="1:62" x14ac:dyDescent="0.25">
      <c r="A401" s="12"/>
      <c r="B401" s="2"/>
      <c r="C401" s="2" t="s">
        <v>8</v>
      </c>
      <c r="D401" s="4">
        <v>1</v>
      </c>
      <c r="E401" s="4">
        <v>4</v>
      </c>
      <c r="F401" s="4">
        <v>7</v>
      </c>
      <c r="G401" s="4">
        <v>2</v>
      </c>
      <c r="H401" s="4">
        <v>10</v>
      </c>
      <c r="I401" s="4">
        <v>2</v>
      </c>
      <c r="J401" s="4">
        <v>5</v>
      </c>
      <c r="K401" s="4">
        <v>4</v>
      </c>
      <c r="L401" s="4">
        <v>6</v>
      </c>
      <c r="M401" s="4">
        <v>21</v>
      </c>
      <c r="N401" s="4">
        <v>10</v>
      </c>
      <c r="O401" s="4">
        <v>8</v>
      </c>
      <c r="P401" s="4">
        <v>11</v>
      </c>
      <c r="Q401" s="4">
        <v>9</v>
      </c>
      <c r="R401" s="4">
        <v>6</v>
      </c>
      <c r="S401" s="4">
        <v>6</v>
      </c>
      <c r="T401" s="4">
        <v>0</v>
      </c>
      <c r="U401" s="4">
        <v>10</v>
      </c>
      <c r="V401" s="4">
        <v>11</v>
      </c>
      <c r="W401" s="4">
        <v>3</v>
      </c>
      <c r="X401" s="4">
        <v>0</v>
      </c>
      <c r="Y401" s="4">
        <v>0</v>
      </c>
      <c r="Z401" s="4">
        <v>0</v>
      </c>
      <c r="AA401" s="4">
        <v>0</v>
      </c>
      <c r="AB401" s="4">
        <v>0</v>
      </c>
      <c r="AC401" s="4">
        <v>0</v>
      </c>
      <c r="AD401" s="4">
        <v>0</v>
      </c>
      <c r="AE401" s="4">
        <v>0</v>
      </c>
      <c r="AF401" s="4">
        <v>23</v>
      </c>
      <c r="AG401" s="4">
        <v>15</v>
      </c>
      <c r="AH401" s="4">
        <v>24</v>
      </c>
      <c r="AI401" s="4">
        <v>20</v>
      </c>
      <c r="AJ401" s="4">
        <v>0</v>
      </c>
      <c r="AK401" s="4">
        <v>0</v>
      </c>
      <c r="AL401" s="4">
        <v>0</v>
      </c>
      <c r="AM401" s="4">
        <v>0</v>
      </c>
      <c r="AN401" s="4">
        <v>10</v>
      </c>
      <c r="AO401" s="4">
        <v>0</v>
      </c>
      <c r="AP401" s="4">
        <v>40</v>
      </c>
      <c r="AQ401" s="4">
        <v>30</v>
      </c>
      <c r="AR401" s="4">
        <v>20</v>
      </c>
      <c r="AS401" s="4">
        <v>5</v>
      </c>
      <c r="AT401" s="4">
        <v>5</v>
      </c>
      <c r="AU401" s="4">
        <v>0</v>
      </c>
      <c r="AV401" s="4">
        <v>0</v>
      </c>
      <c r="AW401" s="4">
        <v>0</v>
      </c>
      <c r="AX401" s="4">
        <v>0</v>
      </c>
      <c r="AY401" s="4">
        <v>0</v>
      </c>
      <c r="AZ401" s="4">
        <v>0</v>
      </c>
      <c r="BA401" s="4">
        <v>0</v>
      </c>
      <c r="BB401" s="4">
        <v>0</v>
      </c>
      <c r="BC401" s="13">
        <v>0</v>
      </c>
      <c r="BD401" s="20">
        <f t="shared" si="108"/>
        <v>0</v>
      </c>
      <c r="BE401" s="20">
        <f t="shared" si="108"/>
        <v>0</v>
      </c>
      <c r="BF401" s="20">
        <f t="shared" si="108"/>
        <v>0</v>
      </c>
      <c r="BG401" s="20">
        <f t="shared" si="108"/>
        <v>0</v>
      </c>
      <c r="BH401" s="20">
        <f t="shared" si="108"/>
        <v>0</v>
      </c>
      <c r="BI401" s="20">
        <f t="shared" si="108"/>
        <v>0</v>
      </c>
      <c r="BJ401" s="23">
        <f t="shared" si="92"/>
        <v>0</v>
      </c>
    </row>
    <row r="402" spans="1:62" s="5" customFormat="1" x14ac:dyDescent="0.25">
      <c r="A402" s="14"/>
      <c r="B402" s="6"/>
      <c r="C402" s="6" t="s">
        <v>9</v>
      </c>
      <c r="D402" s="7">
        <v>110</v>
      </c>
      <c r="E402" s="7">
        <v>120</v>
      </c>
      <c r="F402" s="7">
        <v>130</v>
      </c>
      <c r="G402" s="7">
        <v>138</v>
      </c>
      <c r="H402" s="7">
        <v>164</v>
      </c>
      <c r="I402" s="7">
        <v>200</v>
      </c>
      <c r="J402" s="7">
        <v>215</v>
      </c>
      <c r="K402" s="7">
        <v>220</v>
      </c>
      <c r="L402" s="7">
        <v>235</v>
      </c>
      <c r="M402" s="7">
        <v>235</v>
      </c>
      <c r="N402" s="7">
        <v>230</v>
      </c>
      <c r="O402" s="7">
        <v>265</v>
      </c>
      <c r="P402" s="7">
        <v>295</v>
      </c>
      <c r="Q402" s="7">
        <v>280</v>
      </c>
      <c r="R402" s="7">
        <v>274</v>
      </c>
      <c r="S402" s="7">
        <v>261</v>
      </c>
      <c r="T402" s="7">
        <v>219</v>
      </c>
      <c r="U402" s="7">
        <v>221</v>
      </c>
      <c r="V402" s="7">
        <v>246</v>
      </c>
      <c r="W402" s="7">
        <v>285</v>
      </c>
      <c r="X402" s="7">
        <v>319</v>
      </c>
      <c r="Y402" s="7">
        <v>308</v>
      </c>
      <c r="Z402" s="7">
        <v>284</v>
      </c>
      <c r="AA402" s="7">
        <v>301</v>
      </c>
      <c r="AB402" s="7">
        <v>294</v>
      </c>
      <c r="AC402" s="7">
        <v>338</v>
      </c>
      <c r="AD402" s="7">
        <v>359</v>
      </c>
      <c r="AE402" s="7">
        <v>358</v>
      </c>
      <c r="AF402" s="7">
        <v>344</v>
      </c>
      <c r="AG402" s="7">
        <v>367</v>
      </c>
      <c r="AH402" s="7">
        <v>339</v>
      </c>
      <c r="AI402" s="7">
        <v>310</v>
      </c>
      <c r="AJ402" s="7">
        <v>298</v>
      </c>
      <c r="AK402" s="7">
        <v>328</v>
      </c>
      <c r="AL402" s="7">
        <v>350</v>
      </c>
      <c r="AM402" s="7">
        <v>350</v>
      </c>
      <c r="AN402" s="7">
        <v>350</v>
      </c>
      <c r="AO402" s="7">
        <v>380</v>
      </c>
      <c r="AP402" s="7">
        <v>350</v>
      </c>
      <c r="AQ402" s="7">
        <v>340</v>
      </c>
      <c r="AR402" s="7">
        <v>325</v>
      </c>
      <c r="AS402" s="7">
        <v>325</v>
      </c>
      <c r="AT402" s="7">
        <v>330</v>
      </c>
      <c r="AU402" s="7">
        <v>290</v>
      </c>
      <c r="AV402" s="7">
        <v>249</v>
      </c>
      <c r="AW402" s="7">
        <v>225</v>
      </c>
      <c r="AX402" s="7">
        <v>250</v>
      </c>
      <c r="AY402" s="7">
        <v>235</v>
      </c>
      <c r="AZ402" s="7">
        <v>210</v>
      </c>
      <c r="BA402" s="7">
        <v>185</v>
      </c>
      <c r="BB402" s="7">
        <v>190</v>
      </c>
      <c r="BC402" s="15">
        <v>0</v>
      </c>
      <c r="BD402" s="21">
        <f t="shared" si="108"/>
        <v>1.9558754498513534E-3</v>
      </c>
      <c r="BE402" s="21">
        <f t="shared" si="108"/>
        <v>2.0494155066974897E-3</v>
      </c>
      <c r="BF402" s="21">
        <f t="shared" si="108"/>
        <v>1.9393439240767486E-3</v>
      </c>
      <c r="BG402" s="21">
        <f t="shared" si="108"/>
        <v>1.9554711288655474E-3</v>
      </c>
      <c r="BH402" s="21">
        <f t="shared" si="108"/>
        <v>1.5618272534634575E-3</v>
      </c>
      <c r="BI402" s="21">
        <f t="shared" si="108"/>
        <v>1.6243064638848282E-3</v>
      </c>
      <c r="BJ402" s="23">
        <f t="shared" ref="BJ402:BJ466" si="109">AVERAGE(BH402,BI402,BG402)</f>
        <v>1.7138682820712775E-3</v>
      </c>
    </row>
    <row r="403" spans="1:62" x14ac:dyDescent="0.25">
      <c r="A403" s="12"/>
      <c r="B403" s="2" t="s">
        <v>11</v>
      </c>
      <c r="C403" s="2" t="s">
        <v>6</v>
      </c>
      <c r="D403" s="4">
        <v>0</v>
      </c>
      <c r="E403" s="4">
        <v>0</v>
      </c>
      <c r="F403" s="4">
        <v>0</v>
      </c>
      <c r="G403" s="4">
        <v>0</v>
      </c>
      <c r="H403" s="4">
        <v>2</v>
      </c>
      <c r="I403" s="4">
        <v>3</v>
      </c>
      <c r="J403" s="4">
        <v>4</v>
      </c>
      <c r="K403" s="4">
        <v>5</v>
      </c>
      <c r="L403" s="4">
        <v>7</v>
      </c>
      <c r="M403" s="4">
        <v>4</v>
      </c>
      <c r="N403" s="4">
        <v>2</v>
      </c>
      <c r="O403" s="4">
        <v>5</v>
      </c>
      <c r="P403" s="4">
        <v>5</v>
      </c>
      <c r="Q403" s="4">
        <v>21</v>
      </c>
      <c r="R403" s="4">
        <v>20</v>
      </c>
      <c r="S403" s="4">
        <v>18</v>
      </c>
      <c r="T403" s="4">
        <v>28</v>
      </c>
      <c r="U403" s="4">
        <v>37</v>
      </c>
      <c r="V403" s="4">
        <v>26</v>
      </c>
      <c r="W403" s="4">
        <v>40</v>
      </c>
      <c r="X403" s="4">
        <v>26</v>
      </c>
      <c r="Y403" s="4">
        <v>21</v>
      </c>
      <c r="Z403" s="4">
        <v>26</v>
      </c>
      <c r="AA403" s="4">
        <v>32</v>
      </c>
      <c r="AB403" s="4">
        <v>35</v>
      </c>
      <c r="AC403" s="4">
        <v>35</v>
      </c>
      <c r="AD403" s="4">
        <v>63</v>
      </c>
      <c r="AE403" s="4">
        <v>84</v>
      </c>
      <c r="AF403" s="4">
        <v>70</v>
      </c>
      <c r="AG403" s="4">
        <v>108</v>
      </c>
      <c r="AH403" s="4">
        <v>126</v>
      </c>
      <c r="AI403" s="4">
        <v>68</v>
      </c>
      <c r="AJ403" s="4">
        <v>61</v>
      </c>
      <c r="AK403" s="4">
        <v>72</v>
      </c>
      <c r="AL403" s="4">
        <v>58</v>
      </c>
      <c r="AM403" s="4">
        <v>80</v>
      </c>
      <c r="AN403" s="4">
        <v>120</v>
      </c>
      <c r="AO403" s="4">
        <v>197</v>
      </c>
      <c r="AP403" s="4">
        <v>175</v>
      </c>
      <c r="AQ403" s="4">
        <v>149</v>
      </c>
      <c r="AR403" s="4">
        <v>226</v>
      </c>
      <c r="AS403" s="4">
        <v>224</v>
      </c>
      <c r="AT403" s="4">
        <v>137</v>
      </c>
      <c r="AU403" s="4">
        <v>220</v>
      </c>
      <c r="AV403" s="4">
        <v>273</v>
      </c>
      <c r="AW403" s="4">
        <v>424</v>
      </c>
      <c r="AX403" s="4">
        <v>206</v>
      </c>
      <c r="AY403" s="4">
        <v>282</v>
      </c>
      <c r="AZ403" s="4">
        <v>516</v>
      </c>
      <c r="BA403" s="4">
        <v>561</v>
      </c>
      <c r="BB403" s="4">
        <v>715</v>
      </c>
      <c r="BC403" s="13">
        <v>0</v>
      </c>
      <c r="BD403" s="20">
        <f t="shared" si="108"/>
        <v>1.9214646636303899E-3</v>
      </c>
      <c r="BE403" s="20">
        <f t="shared" si="108"/>
        <v>8.7202042051703194E-4</v>
      </c>
      <c r="BF403" s="20">
        <f t="shared" si="108"/>
        <v>1.2794918330308531E-3</v>
      </c>
      <c r="BG403" s="20">
        <f t="shared" si="108"/>
        <v>2.4345134747489998E-3</v>
      </c>
      <c r="BH403" s="20">
        <f t="shared" si="108"/>
        <v>2.1558515421447842E-3</v>
      </c>
      <c r="BI403" s="20">
        <f t="shared" si="108"/>
        <v>2.7397575218797419E-3</v>
      </c>
      <c r="BJ403" s="23">
        <f t="shared" si="109"/>
        <v>2.4433741795911752E-3</v>
      </c>
    </row>
    <row r="404" spans="1:62" s="5" customFormat="1" x14ac:dyDescent="0.25">
      <c r="A404" s="14"/>
      <c r="B404" s="6"/>
      <c r="C404" s="6" t="s">
        <v>7</v>
      </c>
      <c r="D404" s="7">
        <v>0</v>
      </c>
      <c r="E404" s="7">
        <v>0</v>
      </c>
      <c r="F404" s="7">
        <v>0</v>
      </c>
      <c r="G404" s="7">
        <v>0</v>
      </c>
      <c r="H404" s="7">
        <v>0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0</v>
      </c>
      <c r="O404" s="7">
        <v>3</v>
      </c>
      <c r="P404" s="7">
        <v>1</v>
      </c>
      <c r="Q404" s="7">
        <v>2</v>
      </c>
      <c r="R404" s="7">
        <v>1</v>
      </c>
      <c r="S404" s="7">
        <v>2</v>
      </c>
      <c r="T404" s="7">
        <v>0</v>
      </c>
      <c r="U404" s="7">
        <v>4</v>
      </c>
      <c r="V404" s="7">
        <v>0</v>
      </c>
      <c r="W404" s="7">
        <v>0</v>
      </c>
      <c r="X404" s="7">
        <v>0</v>
      </c>
      <c r="Y404" s="7">
        <v>5</v>
      </c>
      <c r="Z404" s="7">
        <v>7</v>
      </c>
      <c r="AA404" s="7">
        <v>5</v>
      </c>
      <c r="AB404" s="7">
        <v>0</v>
      </c>
      <c r="AC404" s="7">
        <v>0</v>
      </c>
      <c r="AD404" s="7">
        <v>0</v>
      </c>
      <c r="AE404" s="7">
        <v>0</v>
      </c>
      <c r="AF404" s="7">
        <v>0</v>
      </c>
      <c r="AG404" s="7">
        <v>0</v>
      </c>
      <c r="AH404" s="7">
        <v>0</v>
      </c>
      <c r="AI404" s="7">
        <v>200</v>
      </c>
      <c r="AJ404" s="7">
        <v>184</v>
      </c>
      <c r="AK404" s="7">
        <v>120</v>
      </c>
      <c r="AL404" s="7">
        <v>150</v>
      </c>
      <c r="AM404" s="7">
        <v>100</v>
      </c>
      <c r="AN404" s="7">
        <v>48</v>
      </c>
      <c r="AO404" s="7">
        <v>22</v>
      </c>
      <c r="AP404" s="7">
        <v>20</v>
      </c>
      <c r="AQ404" s="7">
        <v>71</v>
      </c>
      <c r="AR404" s="7">
        <v>26</v>
      </c>
      <c r="AS404" s="7">
        <v>27</v>
      </c>
      <c r="AT404" s="7">
        <v>19</v>
      </c>
      <c r="AU404" s="7">
        <v>28</v>
      </c>
      <c r="AV404" s="7">
        <v>6</v>
      </c>
      <c r="AW404" s="7">
        <v>24</v>
      </c>
      <c r="AX404" s="7">
        <v>114</v>
      </c>
      <c r="AY404" s="7">
        <v>2</v>
      </c>
      <c r="AZ404" s="7">
        <v>4</v>
      </c>
      <c r="BA404" s="7">
        <v>2</v>
      </c>
      <c r="BB404" s="7">
        <v>2</v>
      </c>
      <c r="BC404" s="15">
        <v>0</v>
      </c>
      <c r="BD404" s="21">
        <f t="shared" si="108"/>
        <v>3.7424566108936673E-4</v>
      </c>
      <c r="BE404" s="21">
        <f t="shared" si="108"/>
        <v>1.6506667825029321E-3</v>
      </c>
      <c r="BF404" s="21">
        <f t="shared" si="108"/>
        <v>2.5604588342230929E-5</v>
      </c>
      <c r="BG404" s="21">
        <f t="shared" si="108"/>
        <v>5.1695616211745244E-5</v>
      </c>
      <c r="BH404" s="21">
        <f t="shared" si="108"/>
        <v>2.3064060427838323E-5</v>
      </c>
      <c r="BI404" s="21">
        <f t="shared" si="108"/>
        <v>2.097095522701059E-5</v>
      </c>
      <c r="BJ404" s="23">
        <f t="shared" si="109"/>
        <v>3.1910210622198052E-5</v>
      </c>
    </row>
    <row r="405" spans="1:62" x14ac:dyDescent="0.25">
      <c r="A405" s="12"/>
      <c r="B405" s="2"/>
      <c r="C405" s="2" t="s">
        <v>8</v>
      </c>
      <c r="D405" s="4">
        <v>0</v>
      </c>
      <c r="E405" s="4">
        <v>0</v>
      </c>
      <c r="F405" s="4">
        <v>0</v>
      </c>
      <c r="G405" s="4">
        <v>0</v>
      </c>
      <c r="H405" s="4">
        <v>0</v>
      </c>
      <c r="I405" s="4">
        <v>0</v>
      </c>
      <c r="J405" s="4">
        <v>0</v>
      </c>
      <c r="K405" s="4">
        <v>0</v>
      </c>
      <c r="L405" s="4">
        <v>0</v>
      </c>
      <c r="M405" s="4">
        <v>1</v>
      </c>
      <c r="N405" s="4">
        <v>0</v>
      </c>
      <c r="O405" s="4">
        <v>0</v>
      </c>
      <c r="P405" s="4">
        <v>1</v>
      </c>
      <c r="Q405" s="4">
        <v>4</v>
      </c>
      <c r="R405" s="4">
        <v>4</v>
      </c>
      <c r="S405" s="4">
        <v>1</v>
      </c>
      <c r="T405" s="4">
        <v>7</v>
      </c>
      <c r="U405" s="4">
        <v>1</v>
      </c>
      <c r="V405" s="4">
        <v>1</v>
      </c>
      <c r="W405" s="4">
        <v>1</v>
      </c>
      <c r="X405" s="4">
        <v>0</v>
      </c>
      <c r="Y405" s="4">
        <v>0</v>
      </c>
      <c r="Z405" s="4">
        <v>0</v>
      </c>
      <c r="AA405" s="4">
        <v>0</v>
      </c>
      <c r="AB405" s="4">
        <v>0</v>
      </c>
      <c r="AC405" s="4">
        <v>0</v>
      </c>
      <c r="AD405" s="4">
        <v>0</v>
      </c>
      <c r="AE405" s="4">
        <v>0</v>
      </c>
      <c r="AF405" s="4">
        <v>0</v>
      </c>
      <c r="AG405" s="4">
        <v>0</v>
      </c>
      <c r="AH405" s="4">
        <v>0</v>
      </c>
      <c r="AI405" s="4">
        <v>0</v>
      </c>
      <c r="AJ405" s="4">
        <v>0</v>
      </c>
      <c r="AK405" s="4">
        <v>0</v>
      </c>
      <c r="AL405" s="4">
        <v>0</v>
      </c>
      <c r="AM405" s="4">
        <v>0</v>
      </c>
      <c r="AN405" s="4">
        <v>0</v>
      </c>
      <c r="AO405" s="4">
        <v>25</v>
      </c>
      <c r="AP405" s="4">
        <v>3</v>
      </c>
      <c r="AQ405" s="4">
        <v>2</v>
      </c>
      <c r="AR405" s="4">
        <v>0</v>
      </c>
      <c r="AS405" s="4">
        <v>5</v>
      </c>
      <c r="AT405" s="4">
        <v>4</v>
      </c>
      <c r="AU405" s="4">
        <v>67</v>
      </c>
      <c r="AV405" s="4">
        <v>53</v>
      </c>
      <c r="AW405" s="4">
        <v>0</v>
      </c>
      <c r="AX405" s="4">
        <v>0</v>
      </c>
      <c r="AY405" s="4">
        <v>71</v>
      </c>
      <c r="AZ405" s="4">
        <v>131</v>
      </c>
      <c r="BA405" s="4">
        <v>140</v>
      </c>
      <c r="BB405" s="4">
        <v>150</v>
      </c>
      <c r="BC405" s="13">
        <v>0</v>
      </c>
      <c r="BD405" s="20">
        <f t="shared" si="108"/>
        <v>0</v>
      </c>
      <c r="BE405" s="20">
        <f t="shared" si="108"/>
        <v>0</v>
      </c>
      <c r="BF405" s="20">
        <f t="shared" si="108"/>
        <v>9.0130117423040308E-4</v>
      </c>
      <c r="BG405" s="20">
        <f t="shared" si="108"/>
        <v>1.7047968558861039E-3</v>
      </c>
      <c r="BH405" s="20">
        <f t="shared" si="108"/>
        <v>1.5108511487864629E-3</v>
      </c>
      <c r="BI405" s="20">
        <f t="shared" si="108"/>
        <v>1.5226880519744188E-3</v>
      </c>
      <c r="BJ405" s="23">
        <f t="shared" si="109"/>
        <v>1.5794453522156619E-3</v>
      </c>
    </row>
    <row r="406" spans="1:62" s="5" customFormat="1" x14ac:dyDescent="0.25">
      <c r="A406" s="14"/>
      <c r="B406" s="6"/>
      <c r="C406" s="6" t="s">
        <v>9</v>
      </c>
      <c r="D406" s="7">
        <v>0</v>
      </c>
      <c r="E406" s="7">
        <v>0</v>
      </c>
      <c r="F406" s="7">
        <v>0</v>
      </c>
      <c r="G406" s="7">
        <v>0</v>
      </c>
      <c r="H406" s="7">
        <v>2</v>
      </c>
      <c r="I406" s="7">
        <v>3</v>
      </c>
      <c r="J406" s="7">
        <v>4</v>
      </c>
      <c r="K406" s="7">
        <v>5</v>
      </c>
      <c r="L406" s="7">
        <v>7</v>
      </c>
      <c r="M406" s="7">
        <v>3</v>
      </c>
      <c r="N406" s="7">
        <v>2</v>
      </c>
      <c r="O406" s="7">
        <v>8</v>
      </c>
      <c r="P406" s="7">
        <v>5</v>
      </c>
      <c r="Q406" s="7">
        <v>19</v>
      </c>
      <c r="R406" s="7">
        <v>17</v>
      </c>
      <c r="S406" s="7">
        <v>19</v>
      </c>
      <c r="T406" s="7">
        <v>21</v>
      </c>
      <c r="U406" s="7">
        <v>33</v>
      </c>
      <c r="V406" s="7">
        <v>22</v>
      </c>
      <c r="W406" s="7">
        <v>49</v>
      </c>
      <c r="X406" s="7">
        <v>26</v>
      </c>
      <c r="Y406" s="7">
        <v>26</v>
      </c>
      <c r="Z406" s="7">
        <v>33</v>
      </c>
      <c r="AA406" s="7">
        <v>37</v>
      </c>
      <c r="AB406" s="7">
        <v>35</v>
      </c>
      <c r="AC406" s="7">
        <v>35</v>
      </c>
      <c r="AD406" s="7">
        <v>63</v>
      </c>
      <c r="AE406" s="7">
        <v>84</v>
      </c>
      <c r="AF406" s="7">
        <v>70</v>
      </c>
      <c r="AG406" s="7">
        <v>88</v>
      </c>
      <c r="AH406" s="7">
        <v>136</v>
      </c>
      <c r="AI406" s="7">
        <v>278</v>
      </c>
      <c r="AJ406" s="7">
        <v>245</v>
      </c>
      <c r="AK406" s="7">
        <v>192</v>
      </c>
      <c r="AL406" s="7">
        <v>208</v>
      </c>
      <c r="AM406" s="7">
        <v>180</v>
      </c>
      <c r="AN406" s="7">
        <v>168</v>
      </c>
      <c r="AO406" s="7">
        <v>194</v>
      </c>
      <c r="AP406" s="7">
        <v>192</v>
      </c>
      <c r="AQ406" s="7">
        <v>218</v>
      </c>
      <c r="AR406" s="7">
        <v>252</v>
      </c>
      <c r="AS406" s="7">
        <v>226</v>
      </c>
      <c r="AT406" s="7">
        <v>172</v>
      </c>
      <c r="AU406" s="7">
        <v>172</v>
      </c>
      <c r="AV406" s="7">
        <v>234</v>
      </c>
      <c r="AW406" s="7">
        <v>336</v>
      </c>
      <c r="AX406" s="7">
        <v>351</v>
      </c>
      <c r="AY406" s="7">
        <v>286</v>
      </c>
      <c r="AZ406" s="7">
        <v>367</v>
      </c>
      <c r="BA406" s="7">
        <v>432</v>
      </c>
      <c r="BB406" s="7">
        <v>545</v>
      </c>
      <c r="BC406" s="15">
        <v>0</v>
      </c>
      <c r="BD406" s="21">
        <f t="shared" si="108"/>
        <v>1.5545767479734982E-3</v>
      </c>
      <c r="BE406" s="21">
        <f t="shared" si="108"/>
        <v>1.5560165975103733E-3</v>
      </c>
      <c r="BF406" s="21">
        <f t="shared" si="108"/>
        <v>1.2405225809809671E-3</v>
      </c>
      <c r="BG406" s="21">
        <f t="shared" si="108"/>
        <v>1.6581050615125351E-3</v>
      </c>
      <c r="BH406" s="21">
        <f t="shared" si="108"/>
        <v>1.8154006488376392E-3</v>
      </c>
      <c r="BI406" s="21">
        <f t="shared" si="108"/>
        <v>2.1308039973101044E-3</v>
      </c>
      <c r="BJ406" s="23">
        <f t="shared" si="109"/>
        <v>1.8681032358867599E-3</v>
      </c>
    </row>
    <row r="407" spans="1:62" x14ac:dyDescent="0.25">
      <c r="A407" s="12"/>
      <c r="B407" s="2" t="s">
        <v>12</v>
      </c>
      <c r="C407" s="2" t="s">
        <v>7</v>
      </c>
      <c r="D407" s="4">
        <v>51</v>
      </c>
      <c r="E407" s="4">
        <v>52</v>
      </c>
      <c r="F407" s="4">
        <v>44</v>
      </c>
      <c r="G407" s="4">
        <v>60</v>
      </c>
      <c r="H407" s="4">
        <v>59</v>
      </c>
      <c r="I407" s="4">
        <v>67</v>
      </c>
      <c r="J407" s="4">
        <v>74</v>
      </c>
      <c r="K407" s="4">
        <v>78</v>
      </c>
      <c r="L407" s="4">
        <v>79</v>
      </c>
      <c r="M407" s="4">
        <v>81</v>
      </c>
      <c r="N407" s="4">
        <v>68</v>
      </c>
      <c r="O407" s="4">
        <v>82</v>
      </c>
      <c r="P407" s="4">
        <v>75</v>
      </c>
      <c r="Q407" s="4">
        <v>92</v>
      </c>
      <c r="R407" s="4">
        <v>65</v>
      </c>
      <c r="S407" s="4">
        <v>79</v>
      </c>
      <c r="T407" s="4">
        <v>81</v>
      </c>
      <c r="U407" s="4">
        <v>99</v>
      </c>
      <c r="V407" s="4">
        <v>92</v>
      </c>
      <c r="W407" s="4">
        <v>121</v>
      </c>
      <c r="X407" s="4">
        <v>126</v>
      </c>
      <c r="Y407" s="4">
        <v>134</v>
      </c>
      <c r="Z407" s="4">
        <v>146</v>
      </c>
      <c r="AA407" s="4">
        <v>158</v>
      </c>
      <c r="AB407" s="4">
        <v>186</v>
      </c>
      <c r="AC407" s="4">
        <v>178</v>
      </c>
      <c r="AD407" s="4">
        <v>190</v>
      </c>
      <c r="AE407" s="4">
        <v>268</v>
      </c>
      <c r="AF407" s="4">
        <v>242</v>
      </c>
      <c r="AG407" s="4">
        <v>292</v>
      </c>
      <c r="AH407" s="4">
        <v>293</v>
      </c>
      <c r="AI407" s="4">
        <v>384</v>
      </c>
      <c r="AJ407" s="4">
        <v>420</v>
      </c>
      <c r="AK407" s="4">
        <v>478</v>
      </c>
      <c r="AL407" s="4">
        <v>425</v>
      </c>
      <c r="AM407" s="4">
        <v>448</v>
      </c>
      <c r="AN407" s="4">
        <v>486</v>
      </c>
      <c r="AO407" s="4">
        <v>561</v>
      </c>
      <c r="AP407" s="4">
        <v>529</v>
      </c>
      <c r="AQ407" s="4">
        <v>514</v>
      </c>
      <c r="AR407" s="4">
        <v>523</v>
      </c>
      <c r="AS407" s="4">
        <v>572</v>
      </c>
      <c r="AT407" s="4">
        <v>800</v>
      </c>
      <c r="AU407" s="4">
        <v>725</v>
      </c>
      <c r="AV407" s="4">
        <v>818</v>
      </c>
      <c r="AW407" s="4">
        <v>723</v>
      </c>
      <c r="AX407" s="4">
        <v>797</v>
      </c>
      <c r="AY407" s="3">
        <v>1026</v>
      </c>
      <c r="AZ407" s="4">
        <v>578</v>
      </c>
      <c r="BA407" s="4">
        <v>786</v>
      </c>
      <c r="BB407" s="4">
        <v>760</v>
      </c>
      <c r="BC407" s="13">
        <v>0</v>
      </c>
      <c r="BD407" s="20">
        <f t="shared" ref="BD407:BI413" si="110">AW407/AW560</f>
        <v>2.728301886792453E-2</v>
      </c>
      <c r="BE407" s="20">
        <f t="shared" si="110"/>
        <v>2.8236377807695032E-2</v>
      </c>
      <c r="BF407" s="20">
        <f t="shared" si="110"/>
        <v>3.4854095186330127E-2</v>
      </c>
      <c r="BG407" s="20">
        <f t="shared" si="110"/>
        <v>2.1289918597370068E-2</v>
      </c>
      <c r="BH407" s="20">
        <f t="shared" si="110"/>
        <v>2.7996438112199467E-2</v>
      </c>
      <c r="BI407" s="20">
        <f t="shared" si="110"/>
        <v>2.5998905309250135E-2</v>
      </c>
      <c r="BJ407" s="23">
        <f t="shared" si="109"/>
        <v>2.5095087339606553E-2</v>
      </c>
    </row>
    <row r="408" spans="1:62" s="5" customFormat="1" x14ac:dyDescent="0.25">
      <c r="A408" s="14"/>
      <c r="B408" s="6"/>
      <c r="C408" s="6" t="s">
        <v>8</v>
      </c>
      <c r="D408" s="7">
        <v>0</v>
      </c>
      <c r="E408" s="7">
        <v>7</v>
      </c>
      <c r="F408" s="7">
        <v>7</v>
      </c>
      <c r="G408" s="7">
        <v>9</v>
      </c>
      <c r="H408" s="7">
        <v>9</v>
      </c>
      <c r="I408" s="7">
        <v>10</v>
      </c>
      <c r="J408" s="7">
        <v>12</v>
      </c>
      <c r="K408" s="7">
        <v>13</v>
      </c>
      <c r="L408" s="7">
        <v>16</v>
      </c>
      <c r="M408" s="7">
        <v>15</v>
      </c>
      <c r="N408" s="7">
        <v>14</v>
      </c>
      <c r="O408" s="7">
        <v>16</v>
      </c>
      <c r="P408" s="7">
        <v>2</v>
      </c>
      <c r="Q408" s="7">
        <v>0</v>
      </c>
      <c r="R408" s="7">
        <v>0</v>
      </c>
      <c r="S408" s="7">
        <v>0</v>
      </c>
      <c r="T408" s="7">
        <v>0</v>
      </c>
      <c r="U408" s="7">
        <v>0</v>
      </c>
      <c r="V408" s="7">
        <v>0</v>
      </c>
      <c r="W408" s="7">
        <v>0</v>
      </c>
      <c r="X408" s="7">
        <v>0</v>
      </c>
      <c r="Y408" s="7">
        <v>0</v>
      </c>
      <c r="Z408" s="7">
        <v>0</v>
      </c>
      <c r="AA408" s="7">
        <v>0</v>
      </c>
      <c r="AB408" s="7">
        <v>0</v>
      </c>
      <c r="AC408" s="7">
        <v>0</v>
      </c>
      <c r="AD408" s="7">
        <v>0</v>
      </c>
      <c r="AE408" s="7">
        <v>0</v>
      </c>
      <c r="AF408" s="7">
        <v>0</v>
      </c>
      <c r="AG408" s="7">
        <v>0</v>
      </c>
      <c r="AH408" s="7">
        <v>0</v>
      </c>
      <c r="AI408" s="7">
        <v>0</v>
      </c>
      <c r="AJ408" s="7">
        <v>0</v>
      </c>
      <c r="AK408" s="7">
        <v>0</v>
      </c>
      <c r="AL408" s="7">
        <v>0</v>
      </c>
      <c r="AM408" s="7">
        <v>0</v>
      </c>
      <c r="AN408" s="7">
        <v>2</v>
      </c>
      <c r="AO408" s="7">
        <v>8</v>
      </c>
      <c r="AP408" s="7">
        <v>11</v>
      </c>
      <c r="AQ408" s="7">
        <v>8</v>
      </c>
      <c r="AR408" s="7">
        <v>10</v>
      </c>
      <c r="AS408" s="7">
        <v>11</v>
      </c>
      <c r="AT408" s="7">
        <v>11</v>
      </c>
      <c r="AU408" s="7">
        <v>10</v>
      </c>
      <c r="AV408" s="7">
        <v>14</v>
      </c>
      <c r="AW408" s="7">
        <v>30</v>
      </c>
      <c r="AX408" s="7">
        <v>15</v>
      </c>
      <c r="AY408" s="7">
        <v>9</v>
      </c>
      <c r="AZ408" s="7">
        <v>27</v>
      </c>
      <c r="BA408" s="7">
        <v>23</v>
      </c>
      <c r="BB408" s="7">
        <v>25</v>
      </c>
      <c r="BC408" s="15">
        <v>0</v>
      </c>
      <c r="BD408" s="21">
        <f t="shared" si="110"/>
        <v>1.0106454655706778E-3</v>
      </c>
      <c r="BE408" s="21">
        <f t="shared" si="110"/>
        <v>4.7778308647873863E-4</v>
      </c>
      <c r="BF408" s="21">
        <f t="shared" si="110"/>
        <v>2.8811985786087011E-4</v>
      </c>
      <c r="BG408" s="21">
        <f t="shared" si="110"/>
        <v>9.3386828998339789E-4</v>
      </c>
      <c r="BH408" s="21">
        <f t="shared" si="110"/>
        <v>7.4638974525393482E-4</v>
      </c>
      <c r="BI408" s="21">
        <f t="shared" si="110"/>
        <v>8.2239547353531368E-4</v>
      </c>
      <c r="BJ408" s="23">
        <f t="shared" si="109"/>
        <v>8.3421783625754883E-4</v>
      </c>
    </row>
    <row r="409" spans="1:62" x14ac:dyDescent="0.25">
      <c r="A409" s="12"/>
      <c r="B409" s="2"/>
      <c r="C409" s="2" t="s">
        <v>9</v>
      </c>
      <c r="D409" s="4">
        <v>51</v>
      </c>
      <c r="E409" s="4">
        <v>45</v>
      </c>
      <c r="F409" s="4">
        <v>37</v>
      </c>
      <c r="G409" s="4">
        <v>51</v>
      </c>
      <c r="H409" s="4">
        <v>50</v>
      </c>
      <c r="I409" s="4">
        <v>57</v>
      </c>
      <c r="J409" s="4">
        <v>62</v>
      </c>
      <c r="K409" s="4">
        <v>65</v>
      </c>
      <c r="L409" s="4">
        <v>63</v>
      </c>
      <c r="M409" s="4">
        <v>66</v>
      </c>
      <c r="N409" s="4">
        <v>54</v>
      </c>
      <c r="O409" s="4">
        <v>66</v>
      </c>
      <c r="P409" s="4">
        <v>73</v>
      </c>
      <c r="Q409" s="4">
        <v>92</v>
      </c>
      <c r="R409" s="4">
        <v>65</v>
      </c>
      <c r="S409" s="4">
        <v>79</v>
      </c>
      <c r="T409" s="4">
        <v>81</v>
      </c>
      <c r="U409" s="4">
        <v>99</v>
      </c>
      <c r="V409" s="4">
        <v>92</v>
      </c>
      <c r="W409" s="4">
        <v>121</v>
      </c>
      <c r="X409" s="4">
        <v>126</v>
      </c>
      <c r="Y409" s="4">
        <v>134</v>
      </c>
      <c r="Z409" s="4">
        <v>146</v>
      </c>
      <c r="AA409" s="4">
        <v>158</v>
      </c>
      <c r="AB409" s="4">
        <v>186</v>
      </c>
      <c r="AC409" s="4">
        <v>178</v>
      </c>
      <c r="AD409" s="4">
        <v>190</v>
      </c>
      <c r="AE409" s="4">
        <v>268</v>
      </c>
      <c r="AF409" s="4">
        <v>235</v>
      </c>
      <c r="AG409" s="4">
        <v>292</v>
      </c>
      <c r="AH409" s="4">
        <v>290</v>
      </c>
      <c r="AI409" s="4">
        <v>384</v>
      </c>
      <c r="AJ409" s="4">
        <v>420</v>
      </c>
      <c r="AK409" s="4">
        <v>443</v>
      </c>
      <c r="AL409" s="4">
        <v>423</v>
      </c>
      <c r="AM409" s="4">
        <v>425</v>
      </c>
      <c r="AN409" s="4">
        <v>454</v>
      </c>
      <c r="AO409" s="4">
        <v>500</v>
      </c>
      <c r="AP409" s="4">
        <v>525</v>
      </c>
      <c r="AQ409" s="4">
        <v>535</v>
      </c>
      <c r="AR409" s="4">
        <v>550</v>
      </c>
      <c r="AS409" s="4">
        <v>600</v>
      </c>
      <c r="AT409" s="4">
        <v>650</v>
      </c>
      <c r="AU409" s="4">
        <v>700</v>
      </c>
      <c r="AV409" s="4">
        <v>750</v>
      </c>
      <c r="AW409" s="4">
        <v>782</v>
      </c>
      <c r="AX409" s="4">
        <v>842</v>
      </c>
      <c r="AY409" s="4">
        <v>927</v>
      </c>
      <c r="AZ409" s="4">
        <v>703</v>
      </c>
      <c r="BA409" s="4">
        <v>759</v>
      </c>
      <c r="BB409" s="4">
        <v>740</v>
      </c>
      <c r="BC409" s="13">
        <v>0</v>
      </c>
      <c r="BD409" s="20">
        <f t="shared" si="110"/>
        <v>1.8937696914511555E-3</v>
      </c>
      <c r="BE409" s="20">
        <f t="shared" si="110"/>
        <v>2.0115773203018801E-3</v>
      </c>
      <c r="BF409" s="20">
        <f t="shared" si="110"/>
        <v>2.1746423100472228E-3</v>
      </c>
      <c r="BG409" s="20">
        <f t="shared" si="110"/>
        <v>1.6156833904070235E-3</v>
      </c>
      <c r="BH409" s="20">
        <f t="shared" si="110"/>
        <v>1.7436771601265371E-3</v>
      </c>
      <c r="BI409" s="20">
        <f t="shared" si="110"/>
        <v>1.6583301959518816E-3</v>
      </c>
      <c r="BJ409" s="23">
        <f t="shared" si="109"/>
        <v>1.6725635821618139E-3</v>
      </c>
    </row>
    <row r="410" spans="1:62" s="5" customFormat="1" x14ac:dyDescent="0.25">
      <c r="A410" s="14"/>
      <c r="B410" s="6" t="s">
        <v>13</v>
      </c>
      <c r="C410" s="6" t="s">
        <v>6</v>
      </c>
      <c r="D410" s="7">
        <v>335</v>
      </c>
      <c r="E410" s="7">
        <v>181</v>
      </c>
      <c r="F410" s="7">
        <v>272</v>
      </c>
      <c r="G410" s="7">
        <v>257</v>
      </c>
      <c r="H410" s="7">
        <v>414</v>
      </c>
      <c r="I410" s="7">
        <v>314</v>
      </c>
      <c r="J410" s="7">
        <v>727</v>
      </c>
      <c r="K410" s="7">
        <v>199</v>
      </c>
      <c r="L410" s="7">
        <v>199</v>
      </c>
      <c r="M410" s="7">
        <v>379</v>
      </c>
      <c r="N410" s="7">
        <v>551</v>
      </c>
      <c r="O410" s="7">
        <v>510</v>
      </c>
      <c r="P410" s="7">
        <v>222</v>
      </c>
      <c r="Q410" s="7">
        <v>682</v>
      </c>
      <c r="R410" s="7">
        <v>360</v>
      </c>
      <c r="S410" s="7">
        <v>280</v>
      </c>
      <c r="T410" s="7">
        <v>394</v>
      </c>
      <c r="U410" s="7">
        <v>592</v>
      </c>
      <c r="V410" s="7">
        <v>354</v>
      </c>
      <c r="W410" s="7">
        <v>711</v>
      </c>
      <c r="X410" s="7">
        <v>553</v>
      </c>
      <c r="Y410" s="7">
        <v>302</v>
      </c>
      <c r="Z410" s="7">
        <v>221</v>
      </c>
      <c r="AA410" s="7">
        <v>498</v>
      </c>
      <c r="AB410" s="7">
        <v>628</v>
      </c>
      <c r="AC410" s="7">
        <v>487</v>
      </c>
      <c r="AD410" s="7">
        <v>677</v>
      </c>
      <c r="AE410" s="7">
        <v>651</v>
      </c>
      <c r="AF410" s="7">
        <v>511</v>
      </c>
      <c r="AG410" s="7">
        <v>341</v>
      </c>
      <c r="AH410" s="7">
        <v>302</v>
      </c>
      <c r="AI410" s="7">
        <v>118</v>
      </c>
      <c r="AJ410" s="7">
        <v>515</v>
      </c>
      <c r="AK410" s="7">
        <v>520</v>
      </c>
      <c r="AL410" s="7">
        <v>291</v>
      </c>
      <c r="AM410" s="7">
        <v>536</v>
      </c>
      <c r="AN410" s="7">
        <v>433</v>
      </c>
      <c r="AO410" s="7">
        <v>358</v>
      </c>
      <c r="AP410" s="7">
        <v>156</v>
      </c>
      <c r="AQ410" s="7">
        <v>352</v>
      </c>
      <c r="AR410" s="7">
        <v>175</v>
      </c>
      <c r="AS410" s="7">
        <v>197</v>
      </c>
      <c r="AT410" s="7">
        <v>220</v>
      </c>
      <c r="AU410" s="7">
        <v>375</v>
      </c>
      <c r="AV410" s="7">
        <v>260</v>
      </c>
      <c r="AW410" s="7">
        <v>96</v>
      </c>
      <c r="AX410" s="7">
        <v>176</v>
      </c>
      <c r="AY410" s="7">
        <v>255</v>
      </c>
      <c r="AZ410" s="7">
        <v>277</v>
      </c>
      <c r="BA410" s="7">
        <v>197</v>
      </c>
      <c r="BB410" s="7">
        <v>200</v>
      </c>
      <c r="BC410" s="15">
        <v>0</v>
      </c>
      <c r="BD410" s="21">
        <f t="shared" si="110"/>
        <v>1.6098199013985311E-3</v>
      </c>
      <c r="BE410" s="21">
        <f t="shared" si="110"/>
        <v>3.0529054640069386E-3</v>
      </c>
      <c r="BF410" s="21">
        <f t="shared" si="110"/>
        <v>3.8689708537529019E-3</v>
      </c>
      <c r="BG410" s="21">
        <f t="shared" si="110"/>
        <v>4.2716590074946799E-3</v>
      </c>
      <c r="BH410" s="21">
        <f t="shared" si="110"/>
        <v>3.3245017466290903E-3</v>
      </c>
      <c r="BI410" s="21">
        <f t="shared" si="110"/>
        <v>3.0661679033543877E-3</v>
      </c>
      <c r="BJ410" s="23">
        <f t="shared" si="109"/>
        <v>3.5541095524927193E-3</v>
      </c>
    </row>
    <row r="411" spans="1:62" x14ac:dyDescent="0.25">
      <c r="A411" s="12"/>
      <c r="B411" s="2"/>
      <c r="C411" s="2" t="s">
        <v>7</v>
      </c>
      <c r="D411" s="4">
        <v>1</v>
      </c>
      <c r="E411" s="4">
        <v>2</v>
      </c>
      <c r="F411" s="4">
        <v>2</v>
      </c>
      <c r="G411" s="4">
        <v>2</v>
      </c>
      <c r="H411" s="4">
        <v>2</v>
      </c>
      <c r="I411" s="4">
        <v>2</v>
      </c>
      <c r="J411" s="4">
        <v>2</v>
      </c>
      <c r="K411" s="4">
        <v>1</v>
      </c>
      <c r="L411" s="4">
        <v>2</v>
      </c>
      <c r="M411" s="4">
        <v>2</v>
      </c>
      <c r="N411" s="4">
        <v>1</v>
      </c>
      <c r="O411" s="4">
        <v>2</v>
      </c>
      <c r="P411" s="4">
        <v>0</v>
      </c>
      <c r="Q411" s="4">
        <v>0</v>
      </c>
      <c r="R411" s="4">
        <v>5</v>
      </c>
      <c r="S411" s="4">
        <v>0</v>
      </c>
      <c r="T411" s="4">
        <v>0</v>
      </c>
      <c r="U411" s="4">
        <v>0</v>
      </c>
      <c r="V411" s="4">
        <v>3</v>
      </c>
      <c r="W411" s="4">
        <v>0</v>
      </c>
      <c r="X411" s="4">
        <v>0</v>
      </c>
      <c r="Y411" s="4">
        <v>0</v>
      </c>
      <c r="Z411" s="4">
        <v>0</v>
      </c>
      <c r="AA411" s="4">
        <v>15</v>
      </c>
      <c r="AB411" s="4">
        <v>0</v>
      </c>
      <c r="AC411" s="4">
        <v>0</v>
      </c>
      <c r="AD411" s="4">
        <v>2</v>
      </c>
      <c r="AE411" s="4">
        <v>2</v>
      </c>
      <c r="AF411" s="4">
        <v>0</v>
      </c>
      <c r="AG411" s="4">
        <v>0</v>
      </c>
      <c r="AH411" s="4">
        <v>50</v>
      </c>
      <c r="AI411" s="4">
        <v>190</v>
      </c>
      <c r="AJ411" s="4">
        <v>6</v>
      </c>
      <c r="AK411" s="4">
        <v>0</v>
      </c>
      <c r="AL411" s="4">
        <v>13</v>
      </c>
      <c r="AM411" s="4">
        <v>2</v>
      </c>
      <c r="AN411" s="4">
        <v>0</v>
      </c>
      <c r="AO411" s="4">
        <v>0</v>
      </c>
      <c r="AP411" s="4">
        <v>53</v>
      </c>
      <c r="AQ411" s="4">
        <v>0</v>
      </c>
      <c r="AR411" s="4">
        <v>11</v>
      </c>
      <c r="AS411" s="4">
        <v>64</v>
      </c>
      <c r="AT411" s="4">
        <v>34</v>
      </c>
      <c r="AU411" s="4">
        <v>2</v>
      </c>
      <c r="AV411" s="4">
        <v>4</v>
      </c>
      <c r="AW411" s="4">
        <v>9</v>
      </c>
      <c r="AX411" s="4">
        <v>32</v>
      </c>
      <c r="AY411" s="4">
        <v>1</v>
      </c>
      <c r="AZ411" s="4">
        <v>3</v>
      </c>
      <c r="BA411" s="4">
        <v>0</v>
      </c>
      <c r="BB411" s="4">
        <v>5</v>
      </c>
      <c r="BC411" s="13">
        <v>0</v>
      </c>
      <c r="BD411" s="20">
        <f t="shared" si="110"/>
        <v>1.6869728209934396E-3</v>
      </c>
      <c r="BE411" s="20">
        <f t="shared" si="110"/>
        <v>6.6129365571399052E-3</v>
      </c>
      <c r="BF411" s="20">
        <f t="shared" si="110"/>
        <v>1.0331645831180907E-4</v>
      </c>
      <c r="BG411" s="20">
        <f t="shared" si="110"/>
        <v>4.9083769633507851E-4</v>
      </c>
      <c r="BH411" s="20">
        <f t="shared" si="110"/>
        <v>0</v>
      </c>
      <c r="BI411" s="20">
        <f t="shared" si="110"/>
        <v>7.6616610481152316E-4</v>
      </c>
      <c r="BJ411" s="23">
        <f t="shared" si="109"/>
        <v>4.1900126704886724E-4</v>
      </c>
    </row>
    <row r="412" spans="1:62" s="5" customFormat="1" x14ac:dyDescent="0.25">
      <c r="A412" s="14"/>
      <c r="B412" s="6"/>
      <c r="C412" s="6" t="s">
        <v>8</v>
      </c>
      <c r="D412" s="7">
        <v>120</v>
      </c>
      <c r="E412" s="7">
        <v>16</v>
      </c>
      <c r="F412" s="7">
        <v>57</v>
      </c>
      <c r="G412" s="7">
        <v>102</v>
      </c>
      <c r="H412" s="7">
        <v>192</v>
      </c>
      <c r="I412" s="7">
        <v>66</v>
      </c>
      <c r="J412" s="7">
        <v>122</v>
      </c>
      <c r="K412" s="7">
        <v>290</v>
      </c>
      <c r="L412" s="7">
        <v>59</v>
      </c>
      <c r="M412" s="7">
        <v>144</v>
      </c>
      <c r="N412" s="7">
        <v>322</v>
      </c>
      <c r="O412" s="7">
        <v>179</v>
      </c>
      <c r="P412" s="7">
        <v>0</v>
      </c>
      <c r="Q412" s="7">
        <v>209</v>
      </c>
      <c r="R412" s="7">
        <v>189</v>
      </c>
      <c r="S412" s="7">
        <v>0</v>
      </c>
      <c r="T412" s="7">
        <v>59</v>
      </c>
      <c r="U412" s="7">
        <v>299</v>
      </c>
      <c r="V412" s="7">
        <v>155</v>
      </c>
      <c r="W412" s="7">
        <v>230</v>
      </c>
      <c r="X412" s="7">
        <v>0</v>
      </c>
      <c r="Y412" s="7">
        <v>0</v>
      </c>
      <c r="Z412" s="7">
        <v>0</v>
      </c>
      <c r="AA412" s="7">
        <v>0</v>
      </c>
      <c r="AB412" s="7">
        <v>130</v>
      </c>
      <c r="AC412" s="7">
        <v>0</v>
      </c>
      <c r="AD412" s="7">
        <v>41</v>
      </c>
      <c r="AE412" s="7">
        <v>8</v>
      </c>
      <c r="AF412" s="7">
        <v>0</v>
      </c>
      <c r="AG412" s="7">
        <v>0</v>
      </c>
      <c r="AH412" s="7">
        <v>0</v>
      </c>
      <c r="AI412" s="7">
        <v>0</v>
      </c>
      <c r="AJ412" s="7">
        <v>0</v>
      </c>
      <c r="AK412" s="7">
        <v>0</v>
      </c>
      <c r="AL412" s="7">
        <v>2</v>
      </c>
      <c r="AM412" s="7">
        <v>126</v>
      </c>
      <c r="AN412" s="7">
        <v>1</v>
      </c>
      <c r="AO412" s="7">
        <v>1</v>
      </c>
      <c r="AP412" s="7">
        <v>23</v>
      </c>
      <c r="AQ412" s="7">
        <v>41</v>
      </c>
      <c r="AR412" s="7">
        <v>50</v>
      </c>
      <c r="AS412" s="7">
        <v>61</v>
      </c>
      <c r="AT412" s="7">
        <v>44</v>
      </c>
      <c r="AU412" s="7">
        <v>34</v>
      </c>
      <c r="AV412" s="7">
        <v>32</v>
      </c>
      <c r="AW412" s="7">
        <v>24</v>
      </c>
      <c r="AX412" s="7">
        <v>23</v>
      </c>
      <c r="AY412" s="7">
        <v>38</v>
      </c>
      <c r="AZ412" s="7">
        <v>46</v>
      </c>
      <c r="BA412" s="7">
        <v>25</v>
      </c>
      <c r="BB412" s="7">
        <v>40</v>
      </c>
      <c r="BC412" s="15">
        <v>0</v>
      </c>
      <c r="BD412" s="21">
        <f t="shared" si="110"/>
        <v>4.4626255113425061E-3</v>
      </c>
      <c r="BE412" s="21">
        <f t="shared" si="110"/>
        <v>4.2101409481969613E-3</v>
      </c>
      <c r="BF412" s="21">
        <f t="shared" si="110"/>
        <v>3.9054470709146967E-3</v>
      </c>
      <c r="BG412" s="21">
        <f t="shared" si="110"/>
        <v>7.6871657754010699E-3</v>
      </c>
      <c r="BH412" s="21">
        <f t="shared" si="110"/>
        <v>3.760529482551143E-3</v>
      </c>
      <c r="BI412" s="21">
        <f t="shared" si="110"/>
        <v>6.1359104157079304E-3</v>
      </c>
      <c r="BJ412" s="23">
        <f t="shared" si="109"/>
        <v>5.8612018912200482E-3</v>
      </c>
    </row>
    <row r="413" spans="1:62" x14ac:dyDescent="0.25">
      <c r="A413" s="12"/>
      <c r="B413" s="2"/>
      <c r="C413" s="2" t="s">
        <v>9</v>
      </c>
      <c r="D413" s="4">
        <v>216</v>
      </c>
      <c r="E413" s="4">
        <v>167</v>
      </c>
      <c r="F413" s="4">
        <v>179</v>
      </c>
      <c r="G413" s="4">
        <v>182</v>
      </c>
      <c r="H413" s="4">
        <v>179</v>
      </c>
      <c r="I413" s="4">
        <v>255</v>
      </c>
      <c r="J413" s="4">
        <v>446</v>
      </c>
      <c r="K413" s="4">
        <v>84</v>
      </c>
      <c r="L413" s="4">
        <v>160</v>
      </c>
      <c r="M413" s="4">
        <v>200</v>
      </c>
      <c r="N413" s="4">
        <v>226</v>
      </c>
      <c r="O413" s="4">
        <v>343</v>
      </c>
      <c r="P413" s="4">
        <v>238</v>
      </c>
      <c r="Q413" s="4">
        <v>296</v>
      </c>
      <c r="R413" s="4">
        <v>309</v>
      </c>
      <c r="S413" s="4">
        <v>282</v>
      </c>
      <c r="T413" s="4">
        <v>305</v>
      </c>
      <c r="U413" s="4">
        <v>262</v>
      </c>
      <c r="V413" s="4">
        <v>258</v>
      </c>
      <c r="W413" s="4">
        <v>402</v>
      </c>
      <c r="X413" s="4">
        <v>498</v>
      </c>
      <c r="Y413" s="4">
        <v>412</v>
      </c>
      <c r="Z413" s="4">
        <v>297</v>
      </c>
      <c r="AA413" s="4">
        <v>465</v>
      </c>
      <c r="AB413" s="4">
        <v>500</v>
      </c>
      <c r="AC413" s="4">
        <v>510</v>
      </c>
      <c r="AD413" s="4">
        <v>540</v>
      </c>
      <c r="AE413" s="4">
        <v>600</v>
      </c>
      <c r="AF413" s="4">
        <v>620</v>
      </c>
      <c r="AG413" s="4">
        <v>430</v>
      </c>
      <c r="AH413" s="4">
        <v>352</v>
      </c>
      <c r="AI413" s="4">
        <v>308</v>
      </c>
      <c r="AJ413" s="4">
        <v>521</v>
      </c>
      <c r="AK413" s="4">
        <v>520</v>
      </c>
      <c r="AL413" s="4">
        <v>302</v>
      </c>
      <c r="AM413" s="4">
        <v>412</v>
      </c>
      <c r="AN413" s="4">
        <v>432</v>
      </c>
      <c r="AO413" s="4">
        <v>300</v>
      </c>
      <c r="AP413" s="4">
        <v>225</v>
      </c>
      <c r="AQ413" s="4">
        <v>225</v>
      </c>
      <c r="AR413" s="4">
        <v>225</v>
      </c>
      <c r="AS413" s="4">
        <v>205</v>
      </c>
      <c r="AT413" s="4">
        <v>190</v>
      </c>
      <c r="AU413" s="4">
        <v>210</v>
      </c>
      <c r="AV413" s="4">
        <v>215</v>
      </c>
      <c r="AW413" s="4">
        <v>205</v>
      </c>
      <c r="AX413" s="4">
        <v>200</v>
      </c>
      <c r="AY413" s="4">
        <v>200</v>
      </c>
      <c r="AZ413" s="4">
        <v>205</v>
      </c>
      <c r="BA413" s="4">
        <v>190</v>
      </c>
      <c r="BB413" s="4">
        <v>200</v>
      </c>
      <c r="BC413" s="13">
        <v>0</v>
      </c>
      <c r="BD413" s="20">
        <f t="shared" si="110"/>
        <v>3.4574064392086756E-3</v>
      </c>
      <c r="BE413" s="20">
        <f t="shared" si="110"/>
        <v>3.4606866002214838E-3</v>
      </c>
      <c r="BF413" s="20">
        <f t="shared" si="110"/>
        <v>3.1021218513463209E-3</v>
      </c>
      <c r="BG413" s="20">
        <f t="shared" si="110"/>
        <v>3.1787874089006045E-3</v>
      </c>
      <c r="BH413" s="20">
        <f t="shared" si="110"/>
        <v>3.1109801224743754E-3</v>
      </c>
      <c r="BI413" s="20">
        <f t="shared" si="110"/>
        <v>3.089137049565204E-3</v>
      </c>
      <c r="BJ413" s="23">
        <f t="shared" si="109"/>
        <v>3.1263015269800613E-3</v>
      </c>
    </row>
    <row r="414" spans="1:62" x14ac:dyDescent="0.25">
      <c r="A414" s="14"/>
      <c r="B414" s="6" t="s">
        <v>14</v>
      </c>
      <c r="C414" s="6" t="s">
        <v>42</v>
      </c>
      <c r="D414" s="7">
        <v>954</v>
      </c>
      <c r="E414" s="8">
        <v>1065</v>
      </c>
      <c r="F414" s="8">
        <v>1200</v>
      </c>
      <c r="G414" s="8">
        <v>1162</v>
      </c>
      <c r="H414" s="8">
        <v>1265</v>
      </c>
      <c r="I414" s="7">
        <v>909</v>
      </c>
      <c r="J414" s="8">
        <v>1627</v>
      </c>
      <c r="K414" s="8">
        <v>1822</v>
      </c>
      <c r="L414" s="8">
        <v>1505</v>
      </c>
      <c r="M414" s="8">
        <v>1622</v>
      </c>
      <c r="N414" s="8">
        <v>1425</v>
      </c>
      <c r="O414" s="8">
        <v>1865</v>
      </c>
      <c r="P414" s="8">
        <v>1915</v>
      </c>
      <c r="Q414" s="8">
        <v>1731</v>
      </c>
      <c r="R414" s="8">
        <v>1995</v>
      </c>
      <c r="S414" s="8">
        <v>1934</v>
      </c>
      <c r="T414" s="8">
        <v>2198</v>
      </c>
      <c r="U414" s="8">
        <v>2254</v>
      </c>
      <c r="V414" s="8">
        <v>2199</v>
      </c>
      <c r="W414" s="8">
        <v>2125</v>
      </c>
      <c r="X414" s="8">
        <v>1737</v>
      </c>
      <c r="Y414" s="8">
        <v>2233</v>
      </c>
      <c r="Z414" s="8">
        <v>2289</v>
      </c>
      <c r="AA414" s="8">
        <v>1480</v>
      </c>
      <c r="AB414" s="8">
        <v>2551</v>
      </c>
      <c r="AC414" s="8">
        <v>2287</v>
      </c>
      <c r="AD414" s="8">
        <v>2200</v>
      </c>
      <c r="AE414" s="8">
        <v>2235</v>
      </c>
      <c r="AF414" s="8">
        <v>2240</v>
      </c>
      <c r="AG414" s="8">
        <v>2289</v>
      </c>
      <c r="AH414" s="8">
        <v>2152</v>
      </c>
      <c r="AI414" s="8">
        <v>2429</v>
      </c>
      <c r="AJ414" s="8">
        <v>1600</v>
      </c>
      <c r="AK414" s="8">
        <v>1243</v>
      </c>
      <c r="AL414" s="8">
        <v>1770</v>
      </c>
      <c r="AM414" s="8">
        <v>1769</v>
      </c>
      <c r="AN414" s="8">
        <v>2408</v>
      </c>
      <c r="AO414" s="8">
        <v>2560</v>
      </c>
      <c r="AP414" s="8">
        <v>2646</v>
      </c>
      <c r="AQ414" s="8">
        <v>2685</v>
      </c>
      <c r="AR414" s="8">
        <v>2895</v>
      </c>
      <c r="AS414" s="8">
        <v>2542</v>
      </c>
      <c r="AT414" s="8">
        <v>2931</v>
      </c>
      <c r="AU414" s="8">
        <v>2560</v>
      </c>
      <c r="AV414" s="8">
        <v>2315</v>
      </c>
      <c r="AW414" s="8">
        <v>2595</v>
      </c>
      <c r="AX414" s="8">
        <v>2313</v>
      </c>
      <c r="AY414" s="8">
        <v>2360</v>
      </c>
      <c r="AZ414" s="8">
        <v>2350</v>
      </c>
      <c r="BA414" s="8">
        <v>2265</v>
      </c>
      <c r="BB414" s="25">
        <v>2140</v>
      </c>
      <c r="BC414" s="21">
        <f t="shared" ref="BC414:BH414" si="111">AW414/AX$83</f>
        <v>0.32449668625734651</v>
      </c>
      <c r="BD414" s="21">
        <f t="shared" si="111"/>
        <v>0.34155345540460719</v>
      </c>
      <c r="BE414" s="21">
        <f t="shared" si="111"/>
        <v>0.36857722942370763</v>
      </c>
      <c r="BF414" s="21">
        <f t="shared" si="111"/>
        <v>0.32977827673309007</v>
      </c>
      <c r="BG414" s="21">
        <f t="shared" si="111"/>
        <v>0.34846153846153849</v>
      </c>
      <c r="BH414" s="21" t="e">
        <f t="shared" si="111"/>
        <v>#DIV/0!</v>
      </c>
      <c r="BJ414" s="23" t="e">
        <f>AVERAGE(BF414,BG414,BH414)</f>
        <v>#DIV/0!</v>
      </c>
    </row>
    <row r="415" spans="1:62" s="5" customFormat="1" x14ac:dyDescent="0.25">
      <c r="A415" s="14"/>
      <c r="B415" s="2"/>
      <c r="C415" s="2" t="s">
        <v>45</v>
      </c>
      <c r="D415" s="4">
        <v>11</v>
      </c>
      <c r="E415" s="4">
        <v>0</v>
      </c>
      <c r="F415" s="4">
        <v>0</v>
      </c>
      <c r="G415" s="4">
        <v>0</v>
      </c>
      <c r="H415" s="4">
        <v>98</v>
      </c>
      <c r="I415" s="4">
        <v>25</v>
      </c>
      <c r="J415" s="4">
        <v>15</v>
      </c>
      <c r="K415" s="4">
        <v>0</v>
      </c>
      <c r="L415" s="4">
        <v>1</v>
      </c>
      <c r="M415" s="4">
        <v>1</v>
      </c>
      <c r="N415" s="4">
        <v>14</v>
      </c>
      <c r="O415" s="4">
        <v>15</v>
      </c>
      <c r="P415" s="4">
        <v>15</v>
      </c>
      <c r="Q415" s="4">
        <v>20</v>
      </c>
      <c r="R415" s="4">
        <v>1</v>
      </c>
      <c r="S415" s="4">
        <v>0</v>
      </c>
      <c r="T415" s="4">
        <v>65</v>
      </c>
      <c r="U415" s="4">
        <v>45</v>
      </c>
      <c r="V415" s="4">
        <v>0</v>
      </c>
      <c r="W415" s="4">
        <v>0</v>
      </c>
      <c r="X415" s="4">
        <v>21</v>
      </c>
      <c r="Y415" s="4">
        <v>0</v>
      </c>
      <c r="Z415" s="4">
        <v>0</v>
      </c>
      <c r="AA415" s="4">
        <v>199</v>
      </c>
      <c r="AB415" s="4">
        <v>0</v>
      </c>
      <c r="AC415" s="4">
        <v>29</v>
      </c>
      <c r="AD415" s="4">
        <v>0</v>
      </c>
      <c r="AE415" s="4">
        <v>0</v>
      </c>
      <c r="AF415" s="4">
        <v>0</v>
      </c>
      <c r="AG415" s="4">
        <v>0</v>
      </c>
      <c r="AH415" s="4">
        <v>0</v>
      </c>
      <c r="AI415" s="4">
        <v>0</v>
      </c>
      <c r="AJ415" s="4">
        <v>0</v>
      </c>
      <c r="AK415" s="4">
        <v>114</v>
      </c>
      <c r="AL415" s="4">
        <v>0</v>
      </c>
      <c r="AM415" s="4">
        <v>23</v>
      </c>
      <c r="AN415" s="4">
        <v>53</v>
      </c>
      <c r="AO415" s="4">
        <v>46</v>
      </c>
      <c r="AP415" s="4">
        <v>62</v>
      </c>
      <c r="AQ415" s="4">
        <v>155</v>
      </c>
      <c r="AR415" s="4">
        <v>260</v>
      </c>
      <c r="AS415" s="4">
        <v>263</v>
      </c>
      <c r="AT415" s="4">
        <v>269</v>
      </c>
      <c r="AU415" s="4">
        <v>284</v>
      </c>
      <c r="AV415" s="4">
        <v>245</v>
      </c>
      <c r="AW415" s="4">
        <v>180</v>
      </c>
      <c r="AX415" s="4">
        <v>125</v>
      </c>
      <c r="AY415" s="4">
        <v>165</v>
      </c>
      <c r="AZ415" s="4">
        <v>168</v>
      </c>
      <c r="BA415" s="4">
        <v>200</v>
      </c>
      <c r="BB415" s="13">
        <v>250</v>
      </c>
      <c r="BC415" s="21">
        <f t="shared" ref="BC415:BH415" si="112">AW415/AX$63</f>
        <v>0.34951456310679613</v>
      </c>
      <c r="BD415" s="21">
        <f t="shared" si="112"/>
        <v>0.76219512195121952</v>
      </c>
      <c r="BE415" s="21">
        <f t="shared" si="112"/>
        <v>3.3</v>
      </c>
      <c r="BF415" s="21">
        <f t="shared" si="112"/>
        <v>1.1125827814569536</v>
      </c>
      <c r="BG415" s="21">
        <f t="shared" si="112"/>
        <v>0.30769230769230771</v>
      </c>
      <c r="BH415" s="21" t="e">
        <f t="shared" si="112"/>
        <v>#DIV/0!</v>
      </c>
      <c r="BI415"/>
      <c r="BJ415" s="23" t="e">
        <f>AVERAGE(BF415,BG415,BH415)</f>
        <v>#DIV/0!</v>
      </c>
    </row>
    <row r="416" spans="1:62" x14ac:dyDescent="0.25">
      <c r="A416" s="14"/>
      <c r="B416" s="6"/>
      <c r="C416" s="6" t="s">
        <v>44</v>
      </c>
      <c r="D416" s="7">
        <v>296</v>
      </c>
      <c r="E416" s="7">
        <v>431</v>
      </c>
      <c r="F416" s="7">
        <v>642</v>
      </c>
      <c r="G416" s="7">
        <v>400</v>
      </c>
      <c r="H416" s="7">
        <v>375</v>
      </c>
      <c r="I416" s="7">
        <v>350</v>
      </c>
      <c r="J416" s="7">
        <v>882</v>
      </c>
      <c r="K416" s="7">
        <v>960</v>
      </c>
      <c r="L416" s="7">
        <v>713</v>
      </c>
      <c r="M416" s="7">
        <v>790</v>
      </c>
      <c r="N416" s="7">
        <v>795</v>
      </c>
      <c r="O416" s="7">
        <v>813</v>
      </c>
      <c r="P416" s="7">
        <v>892</v>
      </c>
      <c r="Q416" s="7">
        <v>889</v>
      </c>
      <c r="R416" s="7">
        <v>814</v>
      </c>
      <c r="S416" s="7">
        <v>785</v>
      </c>
      <c r="T416" s="7">
        <v>956</v>
      </c>
      <c r="U416" s="8">
        <v>1149</v>
      </c>
      <c r="V416" s="7">
        <v>811</v>
      </c>
      <c r="W416" s="7">
        <v>966</v>
      </c>
      <c r="X416" s="7">
        <v>628</v>
      </c>
      <c r="Y416" s="7">
        <v>839</v>
      </c>
      <c r="Z416" s="7">
        <v>978</v>
      </c>
      <c r="AA416" s="7">
        <v>360</v>
      </c>
      <c r="AB416" s="7">
        <v>776</v>
      </c>
      <c r="AC416" s="8">
        <v>1128</v>
      </c>
      <c r="AD416" s="7">
        <v>875</v>
      </c>
      <c r="AE416" s="7">
        <v>925</v>
      </c>
      <c r="AF416" s="7">
        <v>870</v>
      </c>
      <c r="AG416" s="7">
        <v>927</v>
      </c>
      <c r="AH416" s="7">
        <v>757</v>
      </c>
      <c r="AI416" s="7">
        <v>969</v>
      </c>
      <c r="AJ416" s="7">
        <v>123</v>
      </c>
      <c r="AK416" s="7">
        <v>27</v>
      </c>
      <c r="AL416" s="7">
        <v>369</v>
      </c>
      <c r="AM416" s="7">
        <v>399</v>
      </c>
      <c r="AN416" s="8">
        <v>1056</v>
      </c>
      <c r="AO416" s="8">
        <v>1160</v>
      </c>
      <c r="AP416" s="8">
        <v>1355</v>
      </c>
      <c r="AQ416" s="8">
        <v>1410</v>
      </c>
      <c r="AR416" s="8">
        <v>1580</v>
      </c>
      <c r="AS416" s="8">
        <v>1235</v>
      </c>
      <c r="AT416" s="8">
        <v>1296</v>
      </c>
      <c r="AU416" s="8">
        <v>1025</v>
      </c>
      <c r="AV416" s="8">
        <v>1010</v>
      </c>
      <c r="AW416" s="8">
        <v>1230</v>
      </c>
      <c r="AX416" s="8">
        <v>1267</v>
      </c>
      <c r="AY416" s="8">
        <v>1154</v>
      </c>
      <c r="AZ416" s="8">
        <v>1185</v>
      </c>
      <c r="BA416" s="7">
        <v>830</v>
      </c>
      <c r="BB416" s="15">
        <v>800</v>
      </c>
      <c r="BC416" s="21">
        <f t="shared" ref="BC416:BH416" si="113">AW416/AX$42</f>
        <v>10.512820512820513</v>
      </c>
      <c r="BD416" s="21">
        <f t="shared" si="113"/>
        <v>97.461538461538467</v>
      </c>
      <c r="BE416" s="21">
        <f t="shared" si="113"/>
        <v>26.227272727272727</v>
      </c>
      <c r="BF416" s="21">
        <f t="shared" si="113"/>
        <v>8.3450704225352119</v>
      </c>
      <c r="BG416" s="21">
        <f t="shared" si="113"/>
        <v>1.3651315789473684</v>
      </c>
      <c r="BH416" s="21" t="e">
        <f t="shared" si="113"/>
        <v>#DIV/0!</v>
      </c>
      <c r="BJ416" s="23" t="e">
        <f>AVERAGE(BF416,BG416,BH416)</f>
        <v>#DIV/0!</v>
      </c>
    </row>
    <row r="417" spans="1:62" s="5" customFormat="1" ht="30" x14ac:dyDescent="0.25">
      <c r="A417" s="14"/>
      <c r="B417" s="2"/>
      <c r="C417" s="2" t="s">
        <v>43</v>
      </c>
      <c r="D417" s="4">
        <v>683</v>
      </c>
      <c r="E417" s="4">
        <v>674</v>
      </c>
      <c r="F417" s="4">
        <v>575</v>
      </c>
      <c r="G417" s="4">
        <v>765</v>
      </c>
      <c r="H417" s="4">
        <v>833</v>
      </c>
      <c r="I417" s="4">
        <v>810</v>
      </c>
      <c r="J417" s="4">
        <v>816</v>
      </c>
      <c r="K417" s="4">
        <v>746</v>
      </c>
      <c r="L417" s="4">
        <v>784</v>
      </c>
      <c r="M417" s="4">
        <v>789</v>
      </c>
      <c r="N417" s="4">
        <v>797</v>
      </c>
      <c r="O417" s="4">
        <v>974</v>
      </c>
      <c r="P417" s="4">
        <v>911</v>
      </c>
      <c r="Q417" s="4">
        <v>955</v>
      </c>
      <c r="R417" s="3">
        <v>1193</v>
      </c>
      <c r="S417" s="3">
        <v>1164</v>
      </c>
      <c r="T417" s="3">
        <v>1268</v>
      </c>
      <c r="U417" s="3">
        <v>1177</v>
      </c>
      <c r="V417" s="3">
        <v>1197</v>
      </c>
      <c r="W417" s="3">
        <v>1200</v>
      </c>
      <c r="X417" s="3">
        <v>1280</v>
      </c>
      <c r="Y417" s="3">
        <v>1284</v>
      </c>
      <c r="Z417" s="3">
        <v>1330</v>
      </c>
      <c r="AA417" s="3">
        <v>1334</v>
      </c>
      <c r="AB417" s="3">
        <v>1397</v>
      </c>
      <c r="AC417" s="3">
        <v>1326</v>
      </c>
      <c r="AD417" s="3">
        <v>1300</v>
      </c>
      <c r="AE417" s="3">
        <v>1433</v>
      </c>
      <c r="AF417" s="3">
        <v>1360</v>
      </c>
      <c r="AG417" s="3">
        <v>1320</v>
      </c>
      <c r="AH417" s="3">
        <v>1382</v>
      </c>
      <c r="AI417" s="3">
        <v>1366</v>
      </c>
      <c r="AJ417" s="3">
        <v>1408</v>
      </c>
      <c r="AK417" s="3">
        <v>1420</v>
      </c>
      <c r="AL417" s="3">
        <v>1311</v>
      </c>
      <c r="AM417" s="3">
        <v>1389</v>
      </c>
      <c r="AN417" s="3">
        <v>1399</v>
      </c>
      <c r="AO417" s="3">
        <v>1391</v>
      </c>
      <c r="AP417" s="3">
        <v>1198</v>
      </c>
      <c r="AQ417" s="3">
        <v>1450</v>
      </c>
      <c r="AR417" s="3">
        <v>1640</v>
      </c>
      <c r="AS417" s="3">
        <v>1570</v>
      </c>
      <c r="AT417" s="3">
        <v>1760</v>
      </c>
      <c r="AU417" s="3">
        <v>1452</v>
      </c>
      <c r="AV417" s="3">
        <v>1635</v>
      </c>
      <c r="AW417" s="3">
        <v>1550</v>
      </c>
      <c r="AX417" s="3">
        <v>1570</v>
      </c>
      <c r="AY417" s="3">
        <v>1585</v>
      </c>
      <c r="AZ417" s="3">
        <v>1525</v>
      </c>
      <c r="BA417" s="3">
        <v>1590</v>
      </c>
      <c r="BB417" s="24">
        <v>1620</v>
      </c>
      <c r="BC417" s="20">
        <f t="shared" ref="BC417:BH417" si="114">AW417/AW$25</f>
        <v>0.92537313432835822</v>
      </c>
      <c r="BD417" s="20">
        <f t="shared" si="114"/>
        <v>0.91812865497076024</v>
      </c>
      <c r="BE417" s="20">
        <f t="shared" si="114"/>
        <v>0.88300835654596099</v>
      </c>
      <c r="BF417" s="20">
        <f t="shared" si="114"/>
        <v>0.88150289017341044</v>
      </c>
      <c r="BG417" s="20">
        <f t="shared" si="114"/>
        <v>0.91907514450867056</v>
      </c>
      <c r="BH417" s="20">
        <f t="shared" si="114"/>
        <v>0.92045454545454541</v>
      </c>
      <c r="BJ417" s="23">
        <f>AVERAGE(BF417,BG417,BH417)</f>
        <v>0.9070108600455421</v>
      </c>
    </row>
    <row r="418" spans="1:62" x14ac:dyDescent="0.25">
      <c r="A418" s="12"/>
      <c r="B418" s="2" t="s">
        <v>15</v>
      </c>
      <c r="C418" s="2" t="s">
        <v>6</v>
      </c>
      <c r="D418" s="4">
        <v>769</v>
      </c>
      <c r="E418" s="4">
        <v>871</v>
      </c>
      <c r="F418" s="4">
        <v>705</v>
      </c>
      <c r="G418" s="4">
        <v>880</v>
      </c>
      <c r="H418" s="3">
        <v>1060</v>
      </c>
      <c r="I418" s="4">
        <v>656</v>
      </c>
      <c r="J418" s="4">
        <v>548</v>
      </c>
      <c r="K418" s="3">
        <v>1077</v>
      </c>
      <c r="L418" s="3">
        <v>1247</v>
      </c>
      <c r="M418" s="3">
        <v>1316</v>
      </c>
      <c r="N418" s="3">
        <v>1396</v>
      </c>
      <c r="O418" s="3">
        <v>1670</v>
      </c>
      <c r="P418" s="3">
        <v>1746</v>
      </c>
      <c r="Q418" s="3">
        <v>1871</v>
      </c>
      <c r="R418" s="3">
        <v>1596</v>
      </c>
      <c r="S418" s="3">
        <v>1792</v>
      </c>
      <c r="T418" s="3">
        <v>2239</v>
      </c>
      <c r="U418" s="3">
        <v>1860</v>
      </c>
      <c r="V418" s="3">
        <v>1690</v>
      </c>
      <c r="W418" s="3">
        <v>2086</v>
      </c>
      <c r="X418" s="3">
        <v>1470</v>
      </c>
      <c r="Y418" s="3">
        <v>2339</v>
      </c>
      <c r="Z418" s="3">
        <v>2420</v>
      </c>
      <c r="AA418" s="3">
        <v>1809</v>
      </c>
      <c r="AB418" s="3">
        <v>2224</v>
      </c>
      <c r="AC418" s="3">
        <v>1680</v>
      </c>
      <c r="AD418" s="3">
        <v>2321</v>
      </c>
      <c r="AE418" s="3">
        <v>3135</v>
      </c>
      <c r="AF418" s="3">
        <v>3535</v>
      </c>
      <c r="AG418" s="3">
        <v>2026</v>
      </c>
      <c r="AH418" s="3">
        <v>1702</v>
      </c>
      <c r="AI418" s="3">
        <v>2132</v>
      </c>
      <c r="AJ418" s="3">
        <v>1318</v>
      </c>
      <c r="AK418" s="3">
        <v>1975</v>
      </c>
      <c r="AL418" s="3">
        <v>1832</v>
      </c>
      <c r="AM418" s="3">
        <v>1950</v>
      </c>
      <c r="AN418" s="3">
        <v>2712</v>
      </c>
      <c r="AO418" s="3">
        <v>2283</v>
      </c>
      <c r="AP418" s="3">
        <v>1884</v>
      </c>
      <c r="AQ418" s="3">
        <v>1725</v>
      </c>
      <c r="AR418" s="3">
        <v>2349</v>
      </c>
      <c r="AS418" s="3">
        <v>2490</v>
      </c>
      <c r="AT418" s="3">
        <v>2320</v>
      </c>
      <c r="AU418" s="3">
        <v>1540</v>
      </c>
      <c r="AV418" s="3">
        <v>1680</v>
      </c>
      <c r="AW418" s="3">
        <v>1886</v>
      </c>
      <c r="AX418" s="3">
        <v>2105</v>
      </c>
      <c r="AY418" s="3">
        <v>1905</v>
      </c>
      <c r="AZ418" s="3">
        <v>2130</v>
      </c>
      <c r="BA418" s="3">
        <v>1960</v>
      </c>
      <c r="BB418" s="3">
        <v>1465</v>
      </c>
      <c r="BC418" s="13">
        <v>0</v>
      </c>
      <c r="BD418" s="20">
        <f t="shared" ref="BD418:BI421" si="115">AW418/AW571</f>
        <v>3.0461804837709325E-3</v>
      </c>
      <c r="BE418" s="20">
        <f t="shared" si="115"/>
        <v>3.5303805599300967E-3</v>
      </c>
      <c r="BF418" s="20">
        <f t="shared" si="115"/>
        <v>3.1122619854761107E-3</v>
      </c>
      <c r="BG418" s="20">
        <f t="shared" si="115"/>
        <v>3.1222973072018061E-3</v>
      </c>
      <c r="BH418" s="20">
        <f t="shared" si="115"/>
        <v>2.8663058436079187E-3</v>
      </c>
      <c r="BI418" s="20">
        <f t="shared" si="115"/>
        <v>2.2636634882668063E-3</v>
      </c>
      <c r="BJ418" s="23">
        <f t="shared" si="109"/>
        <v>2.7507555463588441E-3</v>
      </c>
    </row>
    <row r="419" spans="1:62" s="5" customFormat="1" x14ac:dyDescent="0.25">
      <c r="A419" s="14"/>
      <c r="B419" s="6"/>
      <c r="C419" s="6" t="s">
        <v>7</v>
      </c>
      <c r="D419" s="7">
        <v>73</v>
      </c>
      <c r="E419" s="7">
        <v>84</v>
      </c>
      <c r="F419" s="7">
        <v>241</v>
      </c>
      <c r="G419" s="7">
        <v>152</v>
      </c>
      <c r="H419" s="7">
        <v>139</v>
      </c>
      <c r="I419" s="7">
        <v>162</v>
      </c>
      <c r="J419" s="7">
        <v>807</v>
      </c>
      <c r="K419" s="7">
        <v>229</v>
      </c>
      <c r="L419" s="7">
        <v>2</v>
      </c>
      <c r="M419" s="7">
        <v>14</v>
      </c>
      <c r="N419" s="7">
        <v>161</v>
      </c>
      <c r="O419" s="7">
        <v>13</v>
      </c>
      <c r="P419" s="7">
        <v>9</v>
      </c>
      <c r="Q419" s="7">
        <v>0</v>
      </c>
      <c r="R419" s="7">
        <v>0</v>
      </c>
      <c r="S419" s="7">
        <v>0</v>
      </c>
      <c r="T419" s="7">
        <v>0</v>
      </c>
      <c r="U419" s="7">
        <v>0</v>
      </c>
      <c r="V419" s="7">
        <v>0</v>
      </c>
      <c r="W419" s="7">
        <v>0</v>
      </c>
      <c r="X419" s="7">
        <v>255</v>
      </c>
      <c r="Y419" s="7">
        <v>131</v>
      </c>
      <c r="Z419" s="7">
        <v>59</v>
      </c>
      <c r="AA419" s="7">
        <v>282</v>
      </c>
      <c r="AB419" s="7">
        <v>118</v>
      </c>
      <c r="AC419" s="7">
        <v>306</v>
      </c>
      <c r="AD419" s="7">
        <v>32</v>
      </c>
      <c r="AE419" s="7">
        <v>0</v>
      </c>
      <c r="AF419" s="7">
        <v>0</v>
      </c>
      <c r="AG419" s="7">
        <v>500</v>
      </c>
      <c r="AH419" s="7">
        <v>642</v>
      </c>
      <c r="AI419" s="7">
        <v>250</v>
      </c>
      <c r="AJ419" s="8">
        <v>1050</v>
      </c>
      <c r="AK419" s="7">
        <v>333</v>
      </c>
      <c r="AL419" s="7">
        <v>914</v>
      </c>
      <c r="AM419" s="7">
        <v>881</v>
      </c>
      <c r="AN419" s="7">
        <v>797</v>
      </c>
      <c r="AO419" s="7">
        <v>584</v>
      </c>
      <c r="AP419" s="7">
        <v>585</v>
      </c>
      <c r="AQ419" s="7">
        <v>909</v>
      </c>
      <c r="AR419" s="7">
        <v>438</v>
      </c>
      <c r="AS419" s="7">
        <v>561</v>
      </c>
      <c r="AT419" s="7">
        <v>871</v>
      </c>
      <c r="AU419" s="8">
        <v>1278</v>
      </c>
      <c r="AV419" s="8">
        <v>1396</v>
      </c>
      <c r="AW419" s="8">
        <v>1211</v>
      </c>
      <c r="AX419" s="7">
        <v>866</v>
      </c>
      <c r="AY419" s="8">
        <v>1484</v>
      </c>
      <c r="AZ419" s="8">
        <v>1402</v>
      </c>
      <c r="BA419" s="8">
        <v>1396</v>
      </c>
      <c r="BB419" s="8">
        <v>1600</v>
      </c>
      <c r="BC419" s="15">
        <v>0</v>
      </c>
      <c r="BD419" s="21">
        <f t="shared" si="115"/>
        <v>1.0853491310933256E-2</v>
      </c>
      <c r="BE419" s="21">
        <f t="shared" si="115"/>
        <v>7.5959581783734478E-3</v>
      </c>
      <c r="BF419" s="21">
        <f t="shared" si="115"/>
        <v>1.30398488642854E-2</v>
      </c>
      <c r="BG419" s="21">
        <f t="shared" si="115"/>
        <v>1.0238583832969408E-2</v>
      </c>
      <c r="BH419" s="21">
        <f t="shared" si="115"/>
        <v>1.0460454834963096E-2</v>
      </c>
      <c r="BI419" s="21">
        <f t="shared" si="115"/>
        <v>1.3042698534326751E-2</v>
      </c>
      <c r="BJ419" s="23">
        <f t="shared" si="109"/>
        <v>1.124724573408642E-2</v>
      </c>
    </row>
    <row r="420" spans="1:62" x14ac:dyDescent="0.25">
      <c r="A420" s="12"/>
      <c r="B420" s="2"/>
      <c r="C420" s="2" t="s">
        <v>8</v>
      </c>
      <c r="D420" s="4">
        <v>0</v>
      </c>
      <c r="E420" s="4">
        <v>0</v>
      </c>
      <c r="F420" s="4">
        <v>0</v>
      </c>
      <c r="G420" s="4">
        <v>0</v>
      </c>
      <c r="H420" s="4">
        <v>0</v>
      </c>
      <c r="I420" s="4">
        <v>0</v>
      </c>
      <c r="J420" s="4">
        <v>0</v>
      </c>
      <c r="K420" s="4">
        <v>0</v>
      </c>
      <c r="L420" s="4">
        <v>0</v>
      </c>
      <c r="M420" s="4">
        <v>6</v>
      </c>
      <c r="N420" s="4">
        <v>4</v>
      </c>
      <c r="O420" s="4">
        <v>2</v>
      </c>
      <c r="P420" s="4">
        <v>365</v>
      </c>
      <c r="Q420" s="4">
        <v>422</v>
      </c>
      <c r="R420" s="4">
        <v>43</v>
      </c>
      <c r="S420" s="4">
        <v>31</v>
      </c>
      <c r="T420" s="4">
        <v>242</v>
      </c>
      <c r="U420" s="4">
        <v>142</v>
      </c>
      <c r="V420" s="4">
        <v>126</v>
      </c>
      <c r="W420" s="4">
        <v>141</v>
      </c>
      <c r="X420" s="4">
        <v>13</v>
      </c>
      <c r="Y420" s="4">
        <v>6</v>
      </c>
      <c r="Z420" s="4">
        <v>157</v>
      </c>
      <c r="AA420" s="4">
        <v>104</v>
      </c>
      <c r="AB420" s="4">
        <v>110</v>
      </c>
      <c r="AC420" s="4">
        <v>78</v>
      </c>
      <c r="AD420" s="4">
        <v>54</v>
      </c>
      <c r="AE420" s="4">
        <v>270</v>
      </c>
      <c r="AF420" s="3">
        <v>1157</v>
      </c>
      <c r="AG420" s="4">
        <v>300</v>
      </c>
      <c r="AH420" s="4">
        <v>114</v>
      </c>
      <c r="AI420" s="4">
        <v>125</v>
      </c>
      <c r="AJ420" s="4">
        <v>0</v>
      </c>
      <c r="AK420" s="4">
        <v>110</v>
      </c>
      <c r="AL420" s="4">
        <v>140</v>
      </c>
      <c r="AM420" s="4">
        <v>160</v>
      </c>
      <c r="AN420" s="4">
        <v>125</v>
      </c>
      <c r="AO420" s="4">
        <v>200</v>
      </c>
      <c r="AP420" s="4">
        <v>160</v>
      </c>
      <c r="AQ420" s="4">
        <v>232</v>
      </c>
      <c r="AR420" s="4">
        <v>200</v>
      </c>
      <c r="AS420" s="4">
        <v>379</v>
      </c>
      <c r="AT420" s="4">
        <v>310</v>
      </c>
      <c r="AU420" s="4">
        <v>379</v>
      </c>
      <c r="AV420" s="4">
        <v>324</v>
      </c>
      <c r="AW420" s="4">
        <v>278</v>
      </c>
      <c r="AX420" s="4">
        <v>317</v>
      </c>
      <c r="AY420" s="4">
        <v>343</v>
      </c>
      <c r="AZ420" s="4">
        <v>376</v>
      </c>
      <c r="BA420" s="4">
        <v>373</v>
      </c>
      <c r="BB420" s="4">
        <v>350</v>
      </c>
      <c r="BC420" s="13">
        <v>0</v>
      </c>
      <c r="BD420" s="20">
        <f t="shared" si="115"/>
        <v>2.3763730392785398E-3</v>
      </c>
      <c r="BE420" s="20">
        <f t="shared" si="115"/>
        <v>2.8347864967583278E-3</v>
      </c>
      <c r="BF420" s="20">
        <f t="shared" si="115"/>
        <v>2.9245749560887434E-3</v>
      </c>
      <c r="BG420" s="20">
        <f t="shared" si="115"/>
        <v>2.617290825560351E-3</v>
      </c>
      <c r="BH420" s="20">
        <f t="shared" si="115"/>
        <v>2.7466660775693845E-3</v>
      </c>
      <c r="BI420" s="20">
        <f t="shared" si="115"/>
        <v>2.8190114129690632E-3</v>
      </c>
      <c r="BJ420" s="23">
        <f t="shared" si="109"/>
        <v>2.7276561053662662E-3</v>
      </c>
    </row>
    <row r="421" spans="1:62" s="5" customFormat="1" x14ac:dyDescent="0.25">
      <c r="A421" s="14"/>
      <c r="B421" s="6"/>
      <c r="C421" s="6" t="s">
        <v>9</v>
      </c>
      <c r="D421" s="7">
        <v>842</v>
      </c>
      <c r="E421" s="7">
        <v>955</v>
      </c>
      <c r="F421" s="7">
        <v>946</v>
      </c>
      <c r="G421" s="7">
        <v>932</v>
      </c>
      <c r="H421" s="7">
        <v>982</v>
      </c>
      <c r="I421" s="7">
        <v>857</v>
      </c>
      <c r="J421" s="8">
        <v>1279</v>
      </c>
      <c r="K421" s="8">
        <v>1452</v>
      </c>
      <c r="L421" s="8">
        <v>1238</v>
      </c>
      <c r="M421" s="8">
        <v>1294</v>
      </c>
      <c r="N421" s="8">
        <v>1283</v>
      </c>
      <c r="O421" s="8">
        <v>1433</v>
      </c>
      <c r="P421" s="8">
        <v>1461</v>
      </c>
      <c r="Q421" s="8">
        <v>1559</v>
      </c>
      <c r="R421" s="8">
        <v>1638</v>
      </c>
      <c r="S421" s="8">
        <v>1744</v>
      </c>
      <c r="T421" s="8">
        <v>1698</v>
      </c>
      <c r="U421" s="8">
        <v>1702</v>
      </c>
      <c r="V421" s="8">
        <v>1934</v>
      </c>
      <c r="W421" s="8">
        <v>1807</v>
      </c>
      <c r="X421" s="8">
        <v>1993</v>
      </c>
      <c r="Y421" s="8">
        <v>1997</v>
      </c>
      <c r="Z421" s="8">
        <v>2045</v>
      </c>
      <c r="AA421" s="8">
        <v>2384</v>
      </c>
      <c r="AB421" s="8">
        <v>2179</v>
      </c>
      <c r="AC421" s="8">
        <v>2200</v>
      </c>
      <c r="AD421" s="8">
        <v>2254</v>
      </c>
      <c r="AE421" s="8">
        <v>2732</v>
      </c>
      <c r="AF421" s="8">
        <v>2486</v>
      </c>
      <c r="AG421" s="8">
        <v>2339</v>
      </c>
      <c r="AH421" s="8">
        <v>2295</v>
      </c>
      <c r="AI421" s="8">
        <v>2177</v>
      </c>
      <c r="AJ421" s="8">
        <v>2198</v>
      </c>
      <c r="AK421" s="8">
        <v>2468</v>
      </c>
      <c r="AL421" s="8">
        <v>2506</v>
      </c>
      <c r="AM421" s="8">
        <v>2521</v>
      </c>
      <c r="AN421" s="8">
        <v>2834</v>
      </c>
      <c r="AO421" s="8">
        <v>2667</v>
      </c>
      <c r="AP421" s="8">
        <v>2609</v>
      </c>
      <c r="AQ421" s="8">
        <v>2650</v>
      </c>
      <c r="AR421" s="8">
        <v>2650</v>
      </c>
      <c r="AS421" s="8">
        <v>2570</v>
      </c>
      <c r="AT421" s="8">
        <v>2570</v>
      </c>
      <c r="AU421" s="8">
        <v>2740</v>
      </c>
      <c r="AV421" s="8">
        <v>2770</v>
      </c>
      <c r="AW421" s="8">
        <v>2810</v>
      </c>
      <c r="AX421" s="8">
        <v>2810</v>
      </c>
      <c r="AY421" s="8">
        <v>2860</v>
      </c>
      <c r="AZ421" s="8">
        <v>3000</v>
      </c>
      <c r="BA421" s="8">
        <v>3000</v>
      </c>
      <c r="BB421" s="8">
        <v>3000</v>
      </c>
      <c r="BC421" s="15">
        <v>0</v>
      </c>
      <c r="BD421" s="21">
        <f t="shared" si="115"/>
        <v>4.5565621792366708E-3</v>
      </c>
      <c r="BE421" s="21">
        <f t="shared" si="115"/>
        <v>4.5447781954157584E-3</v>
      </c>
      <c r="BF421" s="21">
        <f t="shared" si="115"/>
        <v>4.6634489955648317E-3</v>
      </c>
      <c r="BG421" s="21">
        <f t="shared" si="115"/>
        <v>4.7262329560224022E-3</v>
      </c>
      <c r="BH421" s="21">
        <f t="shared" si="115"/>
        <v>4.6139010687332839E-3</v>
      </c>
      <c r="BI421" s="21">
        <f t="shared" si="115"/>
        <v>4.5401302109344495E-3</v>
      </c>
      <c r="BJ421" s="23">
        <f t="shared" si="109"/>
        <v>4.6267547452300455E-3</v>
      </c>
    </row>
    <row r="422" spans="1:62" x14ac:dyDescent="0.25">
      <c r="A422" s="12" t="s">
        <v>31</v>
      </c>
      <c r="B422" s="2" t="s">
        <v>5</v>
      </c>
      <c r="C422" s="2" t="s">
        <v>6</v>
      </c>
      <c r="D422" s="4">
        <v>544</v>
      </c>
      <c r="E422" s="4">
        <v>598</v>
      </c>
      <c r="F422" s="4">
        <v>665</v>
      </c>
      <c r="G422" s="4">
        <v>858</v>
      </c>
      <c r="H422" s="4">
        <v>935</v>
      </c>
      <c r="I422" s="3">
        <v>1021</v>
      </c>
      <c r="J422" s="3">
        <v>1122</v>
      </c>
      <c r="K422" s="3">
        <v>1315</v>
      </c>
      <c r="L422" s="3">
        <v>1507</v>
      </c>
      <c r="M422" s="3">
        <v>1700</v>
      </c>
      <c r="N422" s="3">
        <v>1938</v>
      </c>
      <c r="O422" s="3">
        <v>2300</v>
      </c>
      <c r="P422" s="3">
        <v>1315</v>
      </c>
      <c r="Q422" s="3">
        <v>2350</v>
      </c>
      <c r="R422" s="3">
        <v>2500</v>
      </c>
      <c r="S422" s="3">
        <v>2863</v>
      </c>
      <c r="T422" s="3">
        <v>2675</v>
      </c>
      <c r="U422" s="3">
        <v>1677</v>
      </c>
      <c r="V422" s="3">
        <v>2791</v>
      </c>
      <c r="W422" s="3">
        <v>3300</v>
      </c>
      <c r="X422" s="3">
        <v>3200</v>
      </c>
      <c r="Y422" s="3">
        <v>4350</v>
      </c>
      <c r="Z422" s="3">
        <v>3450</v>
      </c>
      <c r="AA422" s="3">
        <v>3950</v>
      </c>
      <c r="AB422" s="3">
        <v>4350</v>
      </c>
      <c r="AC422" s="3">
        <v>5350</v>
      </c>
      <c r="AD422" s="3">
        <v>4309</v>
      </c>
      <c r="AE422" s="3">
        <v>2736</v>
      </c>
      <c r="AF422" s="3">
        <v>4200</v>
      </c>
      <c r="AG422" s="3">
        <v>4100</v>
      </c>
      <c r="AH422" s="3">
        <v>3800</v>
      </c>
      <c r="AI422" s="3">
        <v>3600</v>
      </c>
      <c r="AJ422" s="3">
        <v>3400</v>
      </c>
      <c r="AK422" s="3">
        <v>2900</v>
      </c>
      <c r="AL422" s="3">
        <v>3800</v>
      </c>
      <c r="AM422" s="3">
        <v>3700</v>
      </c>
      <c r="AN422" s="3">
        <v>3900</v>
      </c>
      <c r="AO422" s="3">
        <v>3700</v>
      </c>
      <c r="AP422" s="3">
        <v>4300</v>
      </c>
      <c r="AQ422" s="3">
        <v>3900</v>
      </c>
      <c r="AR422" s="3">
        <v>4700</v>
      </c>
      <c r="AS422" s="3">
        <v>4500</v>
      </c>
      <c r="AT422" s="3">
        <v>4250</v>
      </c>
      <c r="AU422" s="3">
        <v>4100</v>
      </c>
      <c r="AV422" s="3">
        <v>4210</v>
      </c>
      <c r="AW422" s="3">
        <v>4000</v>
      </c>
      <c r="AX422" s="3">
        <v>3800</v>
      </c>
      <c r="AY422" s="3">
        <v>3850</v>
      </c>
      <c r="AZ422" s="3">
        <v>4500</v>
      </c>
      <c r="BA422" s="3">
        <v>4100</v>
      </c>
      <c r="BB422" s="3">
        <v>4000</v>
      </c>
      <c r="BC422" s="13">
        <v>0</v>
      </c>
      <c r="BD422" s="20">
        <f t="shared" ref="BD422:BI441" si="116">AW422/AW547</f>
        <v>5.7187136325554926E-3</v>
      </c>
      <c r="BE422" s="20">
        <f t="shared" si="116"/>
        <v>5.3253285237208348E-3</v>
      </c>
      <c r="BF422" s="20">
        <f t="shared" si="116"/>
        <v>4.8459857616127439E-3</v>
      </c>
      <c r="BG422" s="20">
        <f t="shared" si="116"/>
        <v>5.6332809229567467E-3</v>
      </c>
      <c r="BH422" s="20">
        <f t="shared" si="116"/>
        <v>5.0466072644065251E-3</v>
      </c>
      <c r="BI422" s="20">
        <f t="shared" si="116"/>
        <v>4.9083307871367375E-3</v>
      </c>
      <c r="BJ422" s="23">
        <f t="shared" si="109"/>
        <v>5.1960729915000031E-3</v>
      </c>
    </row>
    <row r="423" spans="1:62" s="5" customFormat="1" x14ac:dyDescent="0.25">
      <c r="A423" s="14"/>
      <c r="B423" s="6"/>
      <c r="C423" s="6" t="s">
        <v>7</v>
      </c>
      <c r="D423" s="7">
        <v>0</v>
      </c>
      <c r="E423" s="7">
        <v>0</v>
      </c>
      <c r="F423" s="7">
        <v>0</v>
      </c>
      <c r="G423" s="7">
        <v>0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0</v>
      </c>
      <c r="Q423" s="7">
        <v>0</v>
      </c>
      <c r="R423" s="7">
        <v>0</v>
      </c>
      <c r="S423" s="7">
        <v>0</v>
      </c>
      <c r="T423" s="7">
        <v>0</v>
      </c>
      <c r="U423" s="7">
        <v>0</v>
      </c>
      <c r="V423" s="7">
        <v>0</v>
      </c>
      <c r="W423" s="7">
        <v>0</v>
      </c>
      <c r="X423" s="7">
        <v>0</v>
      </c>
      <c r="Y423" s="7">
        <v>0</v>
      </c>
      <c r="Z423" s="7">
        <v>0</v>
      </c>
      <c r="AA423" s="7">
        <v>0</v>
      </c>
      <c r="AB423" s="7">
        <v>0</v>
      </c>
      <c r="AC423" s="7">
        <v>0</v>
      </c>
      <c r="AD423" s="7">
        <v>0</v>
      </c>
      <c r="AE423" s="7">
        <v>0</v>
      </c>
      <c r="AF423" s="7">
        <v>0</v>
      </c>
      <c r="AG423" s="7">
        <v>0</v>
      </c>
      <c r="AH423" s="7">
        <v>0</v>
      </c>
      <c r="AI423" s="7">
        <v>350</v>
      </c>
      <c r="AJ423" s="7">
        <v>80</v>
      </c>
      <c r="AK423" s="7">
        <v>8</v>
      </c>
      <c r="AL423" s="7">
        <v>220</v>
      </c>
      <c r="AM423" s="7">
        <v>260</v>
      </c>
      <c r="AN423" s="7">
        <v>230</v>
      </c>
      <c r="AO423" s="7">
        <v>250</v>
      </c>
      <c r="AP423" s="7">
        <v>150</v>
      </c>
      <c r="AQ423" s="7">
        <v>390</v>
      </c>
      <c r="AR423" s="7">
        <v>122</v>
      </c>
      <c r="AS423" s="7">
        <v>5</v>
      </c>
      <c r="AT423" s="7">
        <v>126</v>
      </c>
      <c r="AU423" s="7">
        <v>26</v>
      </c>
      <c r="AV423" s="7">
        <v>126</v>
      </c>
      <c r="AW423" s="7">
        <v>121</v>
      </c>
      <c r="AX423" s="7">
        <v>100</v>
      </c>
      <c r="AY423" s="7">
        <v>250</v>
      </c>
      <c r="AZ423" s="7">
        <v>900</v>
      </c>
      <c r="BA423" s="7">
        <v>500</v>
      </c>
      <c r="BB423" s="7">
        <v>700</v>
      </c>
      <c r="BC423" s="15">
        <v>0</v>
      </c>
      <c r="BD423" s="21">
        <f t="shared" si="116"/>
        <v>1.50060768410348E-3</v>
      </c>
      <c r="BE423" s="21">
        <f t="shared" si="116"/>
        <v>1.1040696005476184E-3</v>
      </c>
      <c r="BF423" s="21">
        <f t="shared" si="116"/>
        <v>2.537633098856035E-3</v>
      </c>
      <c r="BG423" s="21">
        <f t="shared" si="116"/>
        <v>1.0897598895709978E-2</v>
      </c>
      <c r="BH423" s="21">
        <f t="shared" si="116"/>
        <v>5.5653257941719906E-3</v>
      </c>
      <c r="BI423" s="21">
        <f t="shared" si="116"/>
        <v>7.6333380587330843E-3</v>
      </c>
      <c r="BJ423" s="23">
        <f t="shared" si="109"/>
        <v>8.0320875828716835E-3</v>
      </c>
    </row>
    <row r="424" spans="1:62" x14ac:dyDescent="0.25">
      <c r="A424" s="12"/>
      <c r="B424" s="2"/>
      <c r="C424" s="2" t="s">
        <v>8</v>
      </c>
      <c r="D424" s="4">
        <v>519</v>
      </c>
      <c r="E424" s="4">
        <v>589</v>
      </c>
      <c r="F424" s="4">
        <v>722</v>
      </c>
      <c r="G424" s="4">
        <v>923</v>
      </c>
      <c r="H424" s="4">
        <v>896</v>
      </c>
      <c r="I424" s="3">
        <v>1132</v>
      </c>
      <c r="J424" s="3">
        <v>1180</v>
      </c>
      <c r="K424" s="3">
        <v>1214</v>
      </c>
      <c r="L424" s="3">
        <v>1289</v>
      </c>
      <c r="M424" s="3">
        <v>1502</v>
      </c>
      <c r="N424" s="3">
        <v>1663</v>
      </c>
      <c r="O424" s="3">
        <v>2111</v>
      </c>
      <c r="P424" s="3">
        <v>1039</v>
      </c>
      <c r="Q424" s="3">
        <v>2131</v>
      </c>
      <c r="R424" s="3">
        <v>1979</v>
      </c>
      <c r="S424" s="3">
        <v>2386</v>
      </c>
      <c r="T424" s="3">
        <v>2116</v>
      </c>
      <c r="U424" s="3">
        <v>1217</v>
      </c>
      <c r="V424" s="3">
        <v>2078</v>
      </c>
      <c r="W424" s="3">
        <v>2150</v>
      </c>
      <c r="X424" s="3">
        <v>2142</v>
      </c>
      <c r="Y424" s="3">
        <v>3260</v>
      </c>
      <c r="Z424" s="3">
        <v>2136</v>
      </c>
      <c r="AA424" s="3">
        <v>2846</v>
      </c>
      <c r="AB424" s="3">
        <v>3180</v>
      </c>
      <c r="AC424" s="3">
        <v>3674</v>
      </c>
      <c r="AD424" s="3">
        <v>2916</v>
      </c>
      <c r="AE424" s="4">
        <v>802</v>
      </c>
      <c r="AF424" s="3">
        <v>1560</v>
      </c>
      <c r="AG424" s="3">
        <v>1179</v>
      </c>
      <c r="AH424" s="3">
        <v>1193</v>
      </c>
      <c r="AI424" s="4">
        <v>586</v>
      </c>
      <c r="AJ424" s="4">
        <v>147</v>
      </c>
      <c r="AK424" s="4">
        <v>95</v>
      </c>
      <c r="AL424" s="4">
        <v>160</v>
      </c>
      <c r="AM424" s="4">
        <v>85</v>
      </c>
      <c r="AN424" s="4">
        <v>20</v>
      </c>
      <c r="AO424" s="4">
        <v>80</v>
      </c>
      <c r="AP424" s="4">
        <v>100</v>
      </c>
      <c r="AQ424" s="4">
        <v>75</v>
      </c>
      <c r="AR424" s="4">
        <v>288</v>
      </c>
      <c r="AS424" s="4">
        <v>285</v>
      </c>
      <c r="AT424" s="4">
        <v>284</v>
      </c>
      <c r="AU424" s="4">
        <v>658</v>
      </c>
      <c r="AV424" s="4">
        <v>459</v>
      </c>
      <c r="AW424" s="4">
        <v>117</v>
      </c>
      <c r="AX424" s="4">
        <v>349</v>
      </c>
      <c r="AY424" s="4">
        <v>488</v>
      </c>
      <c r="AZ424" s="4">
        <v>647</v>
      </c>
      <c r="BA424" s="3">
        <v>1250</v>
      </c>
      <c r="BB424" s="4">
        <v>200</v>
      </c>
      <c r="BC424" s="13">
        <v>0</v>
      </c>
      <c r="BD424" s="20">
        <f t="shared" si="116"/>
        <v>1.4431616341030195E-3</v>
      </c>
      <c r="BE424" s="20">
        <f t="shared" si="116"/>
        <v>3.7105159637241245E-3</v>
      </c>
      <c r="BF424" s="20">
        <f t="shared" si="116"/>
        <v>4.9476843215183709E-3</v>
      </c>
      <c r="BG424" s="20">
        <f t="shared" si="116"/>
        <v>7.6597961334012102E-3</v>
      </c>
      <c r="BH424" s="20">
        <f t="shared" si="116"/>
        <v>1.2888856809956384E-2</v>
      </c>
      <c r="BI424" s="20">
        <f t="shared" si="116"/>
        <v>2.2027159487648272E-3</v>
      </c>
      <c r="BJ424" s="23">
        <f t="shared" si="109"/>
        <v>7.5837896307074737E-3</v>
      </c>
    </row>
    <row r="425" spans="1:62" s="5" customFormat="1" x14ac:dyDescent="0.25">
      <c r="A425" s="14"/>
      <c r="B425" s="6"/>
      <c r="C425" s="6" t="s">
        <v>9</v>
      </c>
      <c r="D425" s="7">
        <v>10</v>
      </c>
      <c r="E425" s="7">
        <v>15</v>
      </c>
      <c r="F425" s="7">
        <v>15</v>
      </c>
      <c r="G425" s="7">
        <v>20</v>
      </c>
      <c r="H425" s="7">
        <v>25</v>
      </c>
      <c r="I425" s="7">
        <v>29</v>
      </c>
      <c r="J425" s="7">
        <v>35</v>
      </c>
      <c r="K425" s="7">
        <v>55</v>
      </c>
      <c r="L425" s="7">
        <v>104</v>
      </c>
      <c r="M425" s="7">
        <v>176</v>
      </c>
      <c r="N425" s="7">
        <v>220</v>
      </c>
      <c r="O425" s="7">
        <v>280</v>
      </c>
      <c r="P425" s="7">
        <v>295</v>
      </c>
      <c r="Q425" s="7">
        <v>341</v>
      </c>
      <c r="R425" s="7">
        <v>500</v>
      </c>
      <c r="S425" s="7">
        <v>369</v>
      </c>
      <c r="T425" s="7">
        <v>653</v>
      </c>
      <c r="U425" s="7">
        <v>477</v>
      </c>
      <c r="V425" s="7">
        <v>691</v>
      </c>
      <c r="W425" s="8">
        <v>1050</v>
      </c>
      <c r="X425" s="8">
        <v>1108</v>
      </c>
      <c r="Y425" s="8">
        <v>1050</v>
      </c>
      <c r="Z425" s="8">
        <v>1160</v>
      </c>
      <c r="AA425" s="8">
        <v>1174</v>
      </c>
      <c r="AB425" s="8">
        <v>1290</v>
      </c>
      <c r="AC425" s="8">
        <v>1270</v>
      </c>
      <c r="AD425" s="8">
        <v>1630</v>
      </c>
      <c r="AE425" s="8">
        <v>2000</v>
      </c>
      <c r="AF425" s="8">
        <v>2650</v>
      </c>
      <c r="AG425" s="8">
        <v>2700</v>
      </c>
      <c r="AH425" s="8">
        <v>2740</v>
      </c>
      <c r="AI425" s="8">
        <v>3418</v>
      </c>
      <c r="AJ425" s="8">
        <v>3133</v>
      </c>
      <c r="AK425" s="8">
        <v>3023</v>
      </c>
      <c r="AL425" s="8">
        <v>3684</v>
      </c>
      <c r="AM425" s="8">
        <v>3975</v>
      </c>
      <c r="AN425" s="8">
        <v>4185</v>
      </c>
      <c r="AO425" s="8">
        <v>3970</v>
      </c>
      <c r="AP425" s="8">
        <v>4175</v>
      </c>
      <c r="AQ425" s="8">
        <v>4275</v>
      </c>
      <c r="AR425" s="8">
        <v>4375</v>
      </c>
      <c r="AS425" s="8">
        <v>4375</v>
      </c>
      <c r="AT425" s="8">
        <v>4100</v>
      </c>
      <c r="AU425" s="8">
        <v>3550</v>
      </c>
      <c r="AV425" s="8">
        <v>3700</v>
      </c>
      <c r="AW425" s="8">
        <v>4000</v>
      </c>
      <c r="AX425" s="8">
        <v>3600</v>
      </c>
      <c r="AY425" s="8">
        <v>3800</v>
      </c>
      <c r="AZ425" s="8">
        <v>3800</v>
      </c>
      <c r="BA425" s="8">
        <v>3900</v>
      </c>
      <c r="BB425" s="8">
        <v>4600</v>
      </c>
      <c r="BC425" s="15">
        <v>0</v>
      </c>
      <c r="BD425" s="21">
        <f t="shared" si="116"/>
        <v>5.6659390656583182E-3</v>
      </c>
      <c r="BE425" s="21">
        <f t="shared" si="116"/>
        <v>4.9674905341708158E-3</v>
      </c>
      <c r="BF425" s="21">
        <f t="shared" si="116"/>
        <v>4.9207181658670503E-3</v>
      </c>
      <c r="BG425" s="21">
        <f t="shared" si="116"/>
        <v>4.8708893859474838E-3</v>
      </c>
      <c r="BH425" s="21">
        <f t="shared" si="116"/>
        <v>4.8234314881028207E-3</v>
      </c>
      <c r="BI425" s="21">
        <f t="shared" si="116"/>
        <v>5.4812606422845892E-3</v>
      </c>
      <c r="BJ425" s="23">
        <f t="shared" si="109"/>
        <v>5.0585271721116315E-3</v>
      </c>
    </row>
    <row r="426" spans="1:62" x14ac:dyDescent="0.25">
      <c r="A426" s="12"/>
      <c r="B426" s="2" t="s">
        <v>10</v>
      </c>
      <c r="C426" s="2" t="s">
        <v>6</v>
      </c>
      <c r="D426" s="4">
        <v>65</v>
      </c>
      <c r="E426" s="4">
        <v>58</v>
      </c>
      <c r="F426" s="4">
        <v>61</v>
      </c>
      <c r="G426" s="4">
        <v>61</v>
      </c>
      <c r="H426" s="4">
        <v>74</v>
      </c>
      <c r="I426" s="4">
        <v>90</v>
      </c>
      <c r="J426" s="4">
        <v>135</v>
      </c>
      <c r="K426" s="4">
        <v>124</v>
      </c>
      <c r="L426" s="4">
        <v>200</v>
      </c>
      <c r="M426" s="4">
        <v>195</v>
      </c>
      <c r="N426" s="4">
        <v>85</v>
      </c>
      <c r="O426" s="4">
        <v>145</v>
      </c>
      <c r="P426" s="4">
        <v>95</v>
      </c>
      <c r="Q426" s="4">
        <v>43</v>
      </c>
      <c r="R426" s="4">
        <v>86</v>
      </c>
      <c r="S426" s="4">
        <v>44</v>
      </c>
      <c r="T426" s="4">
        <v>41</v>
      </c>
      <c r="U426" s="4">
        <v>139</v>
      </c>
      <c r="V426" s="4">
        <v>114</v>
      </c>
      <c r="W426" s="4">
        <v>219</v>
      </c>
      <c r="X426" s="4">
        <v>295</v>
      </c>
      <c r="Y426" s="4">
        <v>270</v>
      </c>
      <c r="Z426" s="4">
        <v>187</v>
      </c>
      <c r="AA426" s="4">
        <v>183</v>
      </c>
      <c r="AB426" s="4">
        <v>121</v>
      </c>
      <c r="AC426" s="4">
        <v>156</v>
      </c>
      <c r="AD426" s="4">
        <v>88</v>
      </c>
      <c r="AE426" s="4">
        <v>114</v>
      </c>
      <c r="AF426" s="4">
        <v>162</v>
      </c>
      <c r="AG426" s="4">
        <v>131</v>
      </c>
      <c r="AH426" s="4">
        <v>149</v>
      </c>
      <c r="AI426" s="4">
        <v>197</v>
      </c>
      <c r="AJ426" s="4">
        <v>142</v>
      </c>
      <c r="AK426" s="4">
        <v>102</v>
      </c>
      <c r="AL426" s="4">
        <v>119</v>
      </c>
      <c r="AM426" s="4">
        <v>124</v>
      </c>
      <c r="AN426" s="4">
        <v>115</v>
      </c>
      <c r="AO426" s="4">
        <v>79</v>
      </c>
      <c r="AP426" s="4">
        <v>62</v>
      </c>
      <c r="AQ426" s="4">
        <v>53</v>
      </c>
      <c r="AR426" s="4">
        <v>56</v>
      </c>
      <c r="AS426" s="4">
        <v>93</v>
      </c>
      <c r="AT426" s="4">
        <v>22</v>
      </c>
      <c r="AU426" s="4">
        <v>21</v>
      </c>
      <c r="AV426" s="4">
        <v>22</v>
      </c>
      <c r="AW426" s="4">
        <v>22</v>
      </c>
      <c r="AX426" s="4">
        <v>16</v>
      </c>
      <c r="AY426" s="4">
        <v>15</v>
      </c>
      <c r="AZ426" s="4">
        <v>3</v>
      </c>
      <c r="BA426" s="4">
        <v>4</v>
      </c>
      <c r="BB426" s="4">
        <v>4</v>
      </c>
      <c r="BC426" s="13">
        <v>0</v>
      </c>
      <c r="BD426" s="20">
        <f t="shared" si="116"/>
        <v>1.889498681645238E-4</v>
      </c>
      <c r="BE426" s="20">
        <f t="shared" si="116"/>
        <v>1.3134994910189471E-4</v>
      </c>
      <c r="BF426" s="20">
        <f t="shared" si="116"/>
        <v>1.2533108294411068E-4</v>
      </c>
      <c r="BG426" s="20">
        <f t="shared" si="116"/>
        <v>2.8010681406509682E-5</v>
      </c>
      <c r="BH426" s="20">
        <f t="shared" si="116"/>
        <v>3.9469529523208082E-5</v>
      </c>
      <c r="BI426" s="20">
        <f t="shared" si="116"/>
        <v>3.492443225969808E-5</v>
      </c>
      <c r="BJ426" s="23">
        <f t="shared" si="109"/>
        <v>3.4134881063138614E-5</v>
      </c>
    </row>
    <row r="427" spans="1:62" s="5" customFormat="1" x14ac:dyDescent="0.25">
      <c r="A427" s="14"/>
      <c r="B427" s="6"/>
      <c r="C427" s="6" t="s">
        <v>7</v>
      </c>
      <c r="D427" s="7">
        <v>28</v>
      </c>
      <c r="E427" s="7">
        <v>42</v>
      </c>
      <c r="F427" s="7">
        <v>42</v>
      </c>
      <c r="G427" s="7">
        <v>44</v>
      </c>
      <c r="H427" s="7">
        <v>84</v>
      </c>
      <c r="I427" s="7">
        <v>105</v>
      </c>
      <c r="J427" s="7">
        <v>105</v>
      </c>
      <c r="K427" s="7">
        <v>129</v>
      </c>
      <c r="L427" s="7">
        <v>78</v>
      </c>
      <c r="M427" s="7">
        <v>135</v>
      </c>
      <c r="N427" s="7">
        <v>212</v>
      </c>
      <c r="O427" s="7">
        <v>230</v>
      </c>
      <c r="P427" s="7">
        <v>299</v>
      </c>
      <c r="Q427" s="7">
        <v>389</v>
      </c>
      <c r="R427" s="7">
        <v>262</v>
      </c>
      <c r="S427" s="7">
        <v>389</v>
      </c>
      <c r="T427" s="7">
        <v>409</v>
      </c>
      <c r="U427" s="7">
        <v>329</v>
      </c>
      <c r="V427" s="7">
        <v>457</v>
      </c>
      <c r="W427" s="7">
        <v>376</v>
      </c>
      <c r="X427" s="7">
        <v>402</v>
      </c>
      <c r="Y427" s="7">
        <v>243</v>
      </c>
      <c r="Z427" s="7">
        <v>397</v>
      </c>
      <c r="AA427" s="7">
        <v>558</v>
      </c>
      <c r="AB427" s="7">
        <v>614</v>
      </c>
      <c r="AC427" s="7">
        <v>703</v>
      </c>
      <c r="AD427" s="8">
        <v>1290</v>
      </c>
      <c r="AE427" s="7">
        <v>872</v>
      </c>
      <c r="AF427" s="8">
        <v>1252</v>
      </c>
      <c r="AG427" s="8">
        <v>1207</v>
      </c>
      <c r="AH427" s="8">
        <v>1624</v>
      </c>
      <c r="AI427" s="8">
        <v>1641</v>
      </c>
      <c r="AJ427" s="8">
        <v>1522</v>
      </c>
      <c r="AK427" s="8">
        <v>1613</v>
      </c>
      <c r="AL427" s="8">
        <v>1440</v>
      </c>
      <c r="AM427" s="8">
        <v>1545</v>
      </c>
      <c r="AN427" s="8">
        <v>1414</v>
      </c>
      <c r="AO427" s="8">
        <v>1236</v>
      </c>
      <c r="AP427" s="8">
        <v>1207</v>
      </c>
      <c r="AQ427" s="8">
        <v>1696</v>
      </c>
      <c r="AR427" s="8">
        <v>1573</v>
      </c>
      <c r="AS427" s="8">
        <v>1882</v>
      </c>
      <c r="AT427" s="8">
        <v>1945</v>
      </c>
      <c r="AU427" s="8">
        <v>1678</v>
      </c>
      <c r="AV427" s="8">
        <v>2282</v>
      </c>
      <c r="AW427" s="8">
        <v>1892</v>
      </c>
      <c r="AX427" s="8">
        <v>1905</v>
      </c>
      <c r="AY427" s="8">
        <v>1928</v>
      </c>
      <c r="AZ427" s="8">
        <v>1602</v>
      </c>
      <c r="BA427" s="8">
        <v>1806</v>
      </c>
      <c r="BB427" s="8">
        <v>1675</v>
      </c>
      <c r="BC427" s="15">
        <v>0</v>
      </c>
      <c r="BD427" s="21">
        <f t="shared" si="116"/>
        <v>4.2259498335976413E-2</v>
      </c>
      <c r="BE427" s="21">
        <f t="shared" si="116"/>
        <v>5.0093349811985592E-2</v>
      </c>
      <c r="BF427" s="21">
        <f t="shared" si="116"/>
        <v>4.9487923201314205E-2</v>
      </c>
      <c r="BG427" s="21">
        <f t="shared" si="116"/>
        <v>5.3146667551338622E-2</v>
      </c>
      <c r="BH427" s="21">
        <f t="shared" si="116"/>
        <v>4.9939166021457801E-2</v>
      </c>
      <c r="BI427" s="21">
        <f t="shared" si="116"/>
        <v>4.3930969366344941E-2</v>
      </c>
      <c r="BJ427" s="23">
        <f t="shared" si="109"/>
        <v>4.9005600979713793E-2</v>
      </c>
    </row>
    <row r="428" spans="1:62" x14ac:dyDescent="0.25">
      <c r="A428" s="12"/>
      <c r="B428" s="2"/>
      <c r="C428" s="2" t="s">
        <v>8</v>
      </c>
      <c r="D428" s="4">
        <v>0</v>
      </c>
      <c r="E428" s="4">
        <v>0</v>
      </c>
      <c r="F428" s="4">
        <v>2</v>
      </c>
      <c r="G428" s="4">
        <v>0</v>
      </c>
      <c r="H428" s="4">
        <v>0</v>
      </c>
      <c r="I428" s="4">
        <v>0</v>
      </c>
      <c r="J428" s="4">
        <v>0</v>
      </c>
      <c r="K428" s="4">
        <v>8</v>
      </c>
      <c r="L428" s="4">
        <v>31</v>
      </c>
      <c r="M428" s="4">
        <v>4</v>
      </c>
      <c r="N428" s="4">
        <v>2</v>
      </c>
      <c r="O428" s="4">
        <v>1</v>
      </c>
      <c r="P428" s="4">
        <v>1</v>
      </c>
      <c r="Q428" s="4">
        <v>0</v>
      </c>
      <c r="R428" s="4">
        <v>0</v>
      </c>
      <c r="S428" s="4">
        <v>0</v>
      </c>
      <c r="T428" s="4">
        <v>0</v>
      </c>
      <c r="U428" s="4">
        <v>6</v>
      </c>
      <c r="V428" s="4">
        <v>5</v>
      </c>
      <c r="W428" s="4">
        <v>29</v>
      </c>
      <c r="X428" s="4">
        <v>47</v>
      </c>
      <c r="Y428" s="4">
        <v>83</v>
      </c>
      <c r="Z428" s="4">
        <v>62</v>
      </c>
      <c r="AA428" s="4">
        <v>57</v>
      </c>
      <c r="AB428" s="4">
        <v>54</v>
      </c>
      <c r="AC428" s="4">
        <v>32</v>
      </c>
      <c r="AD428" s="4">
        <v>35</v>
      </c>
      <c r="AE428" s="4">
        <v>62</v>
      </c>
      <c r="AF428" s="4">
        <v>38</v>
      </c>
      <c r="AG428" s="4">
        <v>20</v>
      </c>
      <c r="AH428" s="4">
        <v>25</v>
      </c>
      <c r="AI428" s="4">
        <v>29</v>
      </c>
      <c r="AJ428" s="4">
        <v>30</v>
      </c>
      <c r="AK428" s="4">
        <v>28</v>
      </c>
      <c r="AL428" s="4">
        <v>2</v>
      </c>
      <c r="AM428" s="4">
        <v>0</v>
      </c>
      <c r="AN428" s="4">
        <v>0</v>
      </c>
      <c r="AO428" s="4">
        <v>5</v>
      </c>
      <c r="AP428" s="4">
        <v>9</v>
      </c>
      <c r="AQ428" s="4">
        <v>0</v>
      </c>
      <c r="AR428" s="4">
        <v>0</v>
      </c>
      <c r="AS428" s="4">
        <v>1</v>
      </c>
      <c r="AT428" s="4">
        <v>1</v>
      </c>
      <c r="AU428" s="4">
        <v>2</v>
      </c>
      <c r="AV428" s="4">
        <v>2</v>
      </c>
      <c r="AW428" s="4">
        <v>5</v>
      </c>
      <c r="AX428" s="4">
        <v>2</v>
      </c>
      <c r="AY428" s="4">
        <v>4</v>
      </c>
      <c r="AZ428" s="4">
        <v>8</v>
      </c>
      <c r="BA428" s="4">
        <v>6</v>
      </c>
      <c r="BB428" s="4">
        <v>10</v>
      </c>
      <c r="BC428" s="13">
        <v>0</v>
      </c>
      <c r="BD428" s="20">
        <f t="shared" si="116"/>
        <v>1.1147277834752754E-4</v>
      </c>
      <c r="BE428" s="20">
        <f t="shared" si="116"/>
        <v>5.3367488525989965E-5</v>
      </c>
      <c r="BF428" s="20">
        <f t="shared" si="116"/>
        <v>1.0255095500576849E-4</v>
      </c>
      <c r="BG428" s="20">
        <f t="shared" si="116"/>
        <v>2.6609013803425912E-4</v>
      </c>
      <c r="BH428" s="20">
        <f t="shared" si="116"/>
        <v>1.6863406408094435E-4</v>
      </c>
      <c r="BI428" s="20">
        <f t="shared" si="116"/>
        <v>2.6226068712300026E-4</v>
      </c>
      <c r="BJ428" s="23">
        <f t="shared" si="109"/>
        <v>2.323282964127346E-4</v>
      </c>
    </row>
    <row r="429" spans="1:62" s="5" customFormat="1" x14ac:dyDescent="0.25">
      <c r="A429" s="14"/>
      <c r="B429" s="6"/>
      <c r="C429" s="6" t="s">
        <v>9</v>
      </c>
      <c r="D429" s="7">
        <v>85</v>
      </c>
      <c r="E429" s="7">
        <v>95</v>
      </c>
      <c r="F429" s="7">
        <v>100</v>
      </c>
      <c r="G429" s="7">
        <v>100</v>
      </c>
      <c r="H429" s="7">
        <v>125</v>
      </c>
      <c r="I429" s="7">
        <v>185</v>
      </c>
      <c r="J429" s="7">
        <v>225</v>
      </c>
      <c r="K429" s="7">
        <v>235</v>
      </c>
      <c r="L429" s="7">
        <v>262</v>
      </c>
      <c r="M429" s="7">
        <v>318</v>
      </c>
      <c r="N429" s="7">
        <v>330</v>
      </c>
      <c r="O429" s="7">
        <v>340</v>
      </c>
      <c r="P429" s="7">
        <v>410</v>
      </c>
      <c r="Q429" s="7">
        <v>408</v>
      </c>
      <c r="R429" s="7">
        <v>398</v>
      </c>
      <c r="S429" s="7">
        <v>421</v>
      </c>
      <c r="T429" s="7">
        <v>495</v>
      </c>
      <c r="U429" s="7">
        <v>454</v>
      </c>
      <c r="V429" s="7">
        <v>542</v>
      </c>
      <c r="W429" s="7">
        <v>564</v>
      </c>
      <c r="X429" s="7">
        <v>620</v>
      </c>
      <c r="Y429" s="7">
        <v>490</v>
      </c>
      <c r="Z429" s="7">
        <v>525</v>
      </c>
      <c r="AA429" s="7">
        <v>581</v>
      </c>
      <c r="AB429" s="7">
        <v>597</v>
      </c>
      <c r="AC429" s="7">
        <v>946</v>
      </c>
      <c r="AD429" s="8">
        <v>1134</v>
      </c>
      <c r="AE429" s="8">
        <v>1157</v>
      </c>
      <c r="AF429" s="8">
        <v>1286</v>
      </c>
      <c r="AG429" s="8">
        <v>1355</v>
      </c>
      <c r="AH429" s="8">
        <v>1506</v>
      </c>
      <c r="AI429" s="8">
        <v>1699</v>
      </c>
      <c r="AJ429" s="8">
        <v>1608</v>
      </c>
      <c r="AK429" s="8">
        <v>1653</v>
      </c>
      <c r="AL429" s="8">
        <v>1620</v>
      </c>
      <c r="AM429" s="8">
        <v>1575</v>
      </c>
      <c r="AN429" s="8">
        <v>1596</v>
      </c>
      <c r="AO429" s="8">
        <v>1376</v>
      </c>
      <c r="AP429" s="8">
        <v>1335</v>
      </c>
      <c r="AQ429" s="8">
        <v>1606</v>
      </c>
      <c r="AR429" s="8">
        <v>1685</v>
      </c>
      <c r="AS429" s="8">
        <v>1825</v>
      </c>
      <c r="AT429" s="8">
        <v>1975</v>
      </c>
      <c r="AU429" s="8">
        <v>1875</v>
      </c>
      <c r="AV429" s="8">
        <v>2125</v>
      </c>
      <c r="AW429" s="8">
        <v>2075</v>
      </c>
      <c r="AX429" s="8">
        <v>1975</v>
      </c>
      <c r="AY429" s="8">
        <v>1975</v>
      </c>
      <c r="AZ429" s="8">
        <v>1625</v>
      </c>
      <c r="BA429" s="8">
        <v>1800</v>
      </c>
      <c r="BB429" s="8">
        <v>1675</v>
      </c>
      <c r="BC429" s="15">
        <v>0</v>
      </c>
      <c r="BD429" s="21">
        <f t="shared" si="116"/>
        <v>1.8037518037518036E-2</v>
      </c>
      <c r="BE429" s="21">
        <f t="shared" si="116"/>
        <v>1.6190382502910172E-2</v>
      </c>
      <c r="BF429" s="21">
        <f t="shared" si="116"/>
        <v>1.6298741489581183E-2</v>
      </c>
      <c r="BG429" s="21">
        <f t="shared" si="116"/>
        <v>1.5131621830507211E-2</v>
      </c>
      <c r="BH429" s="21">
        <f t="shared" si="116"/>
        <v>1.5196157060725532E-2</v>
      </c>
      <c r="BI429" s="21">
        <f t="shared" si="116"/>
        <v>1.4319543826353091E-2</v>
      </c>
      <c r="BJ429" s="23">
        <f t="shared" si="109"/>
        <v>1.4882440905861945E-2</v>
      </c>
    </row>
    <row r="430" spans="1:62" x14ac:dyDescent="0.25">
      <c r="A430" s="12"/>
      <c r="B430" s="2" t="s">
        <v>11</v>
      </c>
      <c r="C430" s="2" t="s">
        <v>6</v>
      </c>
      <c r="D430" s="4">
        <v>0</v>
      </c>
      <c r="E430" s="4">
        <v>0</v>
      </c>
      <c r="F430" s="4">
        <v>0</v>
      </c>
      <c r="G430" s="4">
        <v>0</v>
      </c>
      <c r="H430" s="4">
        <v>31</v>
      </c>
      <c r="I430" s="4">
        <v>19</v>
      </c>
      <c r="J430" s="4">
        <v>38</v>
      </c>
      <c r="K430" s="4">
        <v>53</v>
      </c>
      <c r="L430" s="4">
        <v>45</v>
      </c>
      <c r="M430" s="4">
        <v>48</v>
      </c>
      <c r="N430" s="4">
        <v>50</v>
      </c>
      <c r="O430" s="4">
        <v>54</v>
      </c>
      <c r="P430" s="4">
        <v>72</v>
      </c>
      <c r="Q430" s="4">
        <v>104</v>
      </c>
      <c r="R430" s="4">
        <v>110</v>
      </c>
      <c r="S430" s="4">
        <v>114</v>
      </c>
      <c r="T430" s="4">
        <v>114</v>
      </c>
      <c r="U430" s="4">
        <v>96</v>
      </c>
      <c r="V430" s="4">
        <v>159</v>
      </c>
      <c r="W430" s="4">
        <v>102</v>
      </c>
      <c r="X430" s="4">
        <v>100</v>
      </c>
      <c r="Y430" s="4">
        <v>132</v>
      </c>
      <c r="Z430" s="4">
        <v>113</v>
      </c>
      <c r="AA430" s="4">
        <v>179</v>
      </c>
      <c r="AB430" s="4">
        <v>246</v>
      </c>
      <c r="AC430" s="4">
        <v>309</v>
      </c>
      <c r="AD430" s="4">
        <v>356</v>
      </c>
      <c r="AE430" s="4">
        <v>338</v>
      </c>
      <c r="AF430" s="4">
        <v>517</v>
      </c>
      <c r="AG430" s="4">
        <v>672</v>
      </c>
      <c r="AH430" s="4">
        <v>530</v>
      </c>
      <c r="AI430" s="4">
        <v>435</v>
      </c>
      <c r="AJ430" s="4">
        <v>480</v>
      </c>
      <c r="AK430" s="4">
        <v>480</v>
      </c>
      <c r="AL430" s="4">
        <v>450</v>
      </c>
      <c r="AM430" s="4">
        <v>368</v>
      </c>
      <c r="AN430" s="4">
        <v>360</v>
      </c>
      <c r="AO430" s="4">
        <v>338</v>
      </c>
      <c r="AP430" s="4">
        <v>335</v>
      </c>
      <c r="AQ430" s="4">
        <v>330</v>
      </c>
      <c r="AR430" s="4">
        <v>312</v>
      </c>
      <c r="AS430" s="4">
        <v>270</v>
      </c>
      <c r="AT430" s="4">
        <v>250</v>
      </c>
      <c r="AU430" s="4">
        <v>220</v>
      </c>
      <c r="AV430" s="4">
        <v>217</v>
      </c>
      <c r="AW430" s="4">
        <v>226</v>
      </c>
      <c r="AX430" s="4">
        <v>210</v>
      </c>
      <c r="AY430" s="4">
        <v>210</v>
      </c>
      <c r="AZ430" s="4">
        <v>180</v>
      </c>
      <c r="BA430" s="4">
        <v>170</v>
      </c>
      <c r="BB430" s="4">
        <v>180</v>
      </c>
      <c r="BC430" s="13">
        <v>0</v>
      </c>
      <c r="BD430" s="20">
        <f t="shared" si="116"/>
        <v>1.024176919765255E-3</v>
      </c>
      <c r="BE430" s="20">
        <f t="shared" si="116"/>
        <v>8.8895285586687719E-4</v>
      </c>
      <c r="BF430" s="20">
        <f t="shared" si="116"/>
        <v>9.5281306715063526E-4</v>
      </c>
      <c r="BG430" s="20">
        <f t="shared" si="116"/>
        <v>8.4924888654034877E-4</v>
      </c>
      <c r="BH430" s="20">
        <f t="shared" si="116"/>
        <v>6.5328834610448006E-4</v>
      </c>
      <c r="BI430" s="20">
        <f t="shared" si="116"/>
        <v>6.8972916634734761E-4</v>
      </c>
      <c r="BJ430" s="23">
        <f t="shared" si="109"/>
        <v>7.3075546633072548E-4</v>
      </c>
    </row>
    <row r="431" spans="1:62" s="5" customFormat="1" x14ac:dyDescent="0.25">
      <c r="A431" s="14"/>
      <c r="B431" s="6"/>
      <c r="C431" s="6" t="s">
        <v>7</v>
      </c>
      <c r="D431" s="7">
        <v>0</v>
      </c>
      <c r="E431" s="7">
        <v>0</v>
      </c>
      <c r="F431" s="7">
        <v>0</v>
      </c>
      <c r="G431" s="7">
        <v>0</v>
      </c>
      <c r="H431" s="7">
        <v>0</v>
      </c>
      <c r="I431" s="7">
        <v>0</v>
      </c>
      <c r="J431" s="7">
        <v>0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0</v>
      </c>
      <c r="Q431" s="7">
        <v>0</v>
      </c>
      <c r="R431" s="7">
        <v>0</v>
      </c>
      <c r="S431" s="7">
        <v>0</v>
      </c>
      <c r="T431" s="7">
        <v>4</v>
      </c>
      <c r="U431" s="7">
        <v>11</v>
      </c>
      <c r="V431" s="7">
        <v>0</v>
      </c>
      <c r="W431" s="7">
        <v>10</v>
      </c>
      <c r="X431" s="7">
        <v>6</v>
      </c>
      <c r="Y431" s="7">
        <v>3</v>
      </c>
      <c r="Z431" s="7">
        <v>0</v>
      </c>
      <c r="AA431" s="7">
        <v>0</v>
      </c>
      <c r="AB431" s="7">
        <v>0</v>
      </c>
      <c r="AC431" s="7">
        <v>0</v>
      </c>
      <c r="AD431" s="7">
        <v>0</v>
      </c>
      <c r="AE431" s="7">
        <v>31</v>
      </c>
      <c r="AF431" s="7">
        <v>0</v>
      </c>
      <c r="AG431" s="7">
        <v>0</v>
      </c>
      <c r="AH431" s="7">
        <v>0</v>
      </c>
      <c r="AI431" s="7">
        <v>57</v>
      </c>
      <c r="AJ431" s="7">
        <v>123</v>
      </c>
      <c r="AK431" s="7">
        <v>124</v>
      </c>
      <c r="AL431" s="7">
        <v>115</v>
      </c>
      <c r="AM431" s="7">
        <v>426</v>
      </c>
      <c r="AN431" s="7">
        <v>550</v>
      </c>
      <c r="AO431" s="7">
        <v>600</v>
      </c>
      <c r="AP431" s="7">
        <v>950</v>
      </c>
      <c r="AQ431" s="8">
        <v>1192</v>
      </c>
      <c r="AR431" s="8">
        <v>1286</v>
      </c>
      <c r="AS431" s="8">
        <v>1550</v>
      </c>
      <c r="AT431" s="8">
        <v>1779</v>
      </c>
      <c r="AU431" s="8">
        <v>1407</v>
      </c>
      <c r="AV431" s="8">
        <v>1517</v>
      </c>
      <c r="AW431" s="8">
        <v>1473</v>
      </c>
      <c r="AX431" s="8">
        <v>1532</v>
      </c>
      <c r="AY431" s="8">
        <v>1753</v>
      </c>
      <c r="AZ431" s="8">
        <v>1510</v>
      </c>
      <c r="BA431" s="8">
        <v>1660</v>
      </c>
      <c r="BB431" s="8">
        <v>1830</v>
      </c>
      <c r="BC431" s="15">
        <v>0</v>
      </c>
      <c r="BD431" s="21">
        <f t="shared" si="116"/>
        <v>2.2969327449359884E-2</v>
      </c>
      <c r="BE431" s="21">
        <f t="shared" si="116"/>
        <v>2.218264483153063E-2</v>
      </c>
      <c r="BF431" s="21">
        <f t="shared" si="116"/>
        <v>2.2442421681965408E-2</v>
      </c>
      <c r="BG431" s="21">
        <f t="shared" si="116"/>
        <v>1.951509511993383E-2</v>
      </c>
      <c r="BH431" s="21">
        <f t="shared" si="116"/>
        <v>1.9143170155105808E-2</v>
      </c>
      <c r="BI431" s="21">
        <f t="shared" si="116"/>
        <v>1.9188424032714691E-2</v>
      </c>
      <c r="BJ431" s="23">
        <f t="shared" si="109"/>
        <v>1.9282229769251442E-2</v>
      </c>
    </row>
    <row r="432" spans="1:62" x14ac:dyDescent="0.25">
      <c r="A432" s="12"/>
      <c r="B432" s="2"/>
      <c r="C432" s="2" t="s">
        <v>8</v>
      </c>
      <c r="D432" s="4">
        <v>0</v>
      </c>
      <c r="E432" s="4">
        <v>0</v>
      </c>
      <c r="F432" s="4">
        <v>0</v>
      </c>
      <c r="G432" s="4">
        <v>0</v>
      </c>
      <c r="H432" s="4">
        <v>2</v>
      </c>
      <c r="I432" s="4">
        <v>6</v>
      </c>
      <c r="J432" s="4">
        <v>6</v>
      </c>
      <c r="K432" s="4">
        <v>3</v>
      </c>
      <c r="L432" s="4">
        <v>5</v>
      </c>
      <c r="M432" s="4">
        <v>6</v>
      </c>
      <c r="N432" s="4">
        <v>6</v>
      </c>
      <c r="O432" s="4">
        <v>7</v>
      </c>
      <c r="P432" s="4">
        <v>14</v>
      </c>
      <c r="Q432" s="4">
        <v>7</v>
      </c>
      <c r="R432" s="4">
        <v>24</v>
      </c>
      <c r="S432" s="4">
        <v>8</v>
      </c>
      <c r="T432" s="4">
        <v>12</v>
      </c>
      <c r="U432" s="4">
        <v>7</v>
      </c>
      <c r="V432" s="4">
        <v>10</v>
      </c>
      <c r="W432" s="4">
        <v>6</v>
      </c>
      <c r="X432" s="4">
        <v>3</v>
      </c>
      <c r="Y432" s="4">
        <v>2</v>
      </c>
      <c r="Z432" s="4">
        <v>1</v>
      </c>
      <c r="AA432" s="4">
        <v>1</v>
      </c>
      <c r="AB432" s="4">
        <v>1</v>
      </c>
      <c r="AC432" s="4">
        <v>2</v>
      </c>
      <c r="AD432" s="4">
        <v>0</v>
      </c>
      <c r="AE432" s="4">
        <v>0</v>
      </c>
      <c r="AF432" s="4">
        <v>0</v>
      </c>
      <c r="AG432" s="4">
        <v>0</v>
      </c>
      <c r="AH432" s="4">
        <v>0</v>
      </c>
      <c r="AI432" s="4">
        <v>0</v>
      </c>
      <c r="AJ432" s="4">
        <v>0</v>
      </c>
      <c r="AK432" s="4">
        <v>0</v>
      </c>
      <c r="AL432" s="4">
        <v>0</v>
      </c>
      <c r="AM432" s="4">
        <v>0</v>
      </c>
      <c r="AN432" s="4">
        <v>0</v>
      </c>
      <c r="AO432" s="4">
        <v>0</v>
      </c>
      <c r="AP432" s="4">
        <v>1</v>
      </c>
      <c r="AQ432" s="4">
        <v>1</v>
      </c>
      <c r="AR432" s="4">
        <v>0</v>
      </c>
      <c r="AS432" s="4">
        <v>1</v>
      </c>
      <c r="AT432" s="4">
        <v>1</v>
      </c>
      <c r="AU432" s="4">
        <v>1</v>
      </c>
      <c r="AV432" s="4">
        <v>1</v>
      </c>
      <c r="AW432" s="4">
        <v>1</v>
      </c>
      <c r="AX432" s="4">
        <v>1</v>
      </c>
      <c r="AY432" s="4">
        <v>2</v>
      </c>
      <c r="AZ432" s="4">
        <v>1</v>
      </c>
      <c r="BA432" s="4">
        <v>1</v>
      </c>
      <c r="BB432" s="4">
        <v>1</v>
      </c>
      <c r="BC432" s="13">
        <v>0</v>
      </c>
      <c r="BD432" s="20">
        <f t="shared" si="116"/>
        <v>1.5764913608273425E-5</v>
      </c>
      <c r="BE432" s="20">
        <f t="shared" si="116"/>
        <v>1.4112135024907918E-5</v>
      </c>
      <c r="BF432" s="20">
        <f t="shared" si="116"/>
        <v>2.5388765471278958E-5</v>
      </c>
      <c r="BG432" s="20">
        <f t="shared" si="116"/>
        <v>1.3013716457145832E-5</v>
      </c>
      <c r="BH432" s="20">
        <f t="shared" si="116"/>
        <v>1.0791793919903305E-5</v>
      </c>
      <c r="BI432" s="20">
        <f t="shared" si="116"/>
        <v>1.0151253679829459E-5</v>
      </c>
      <c r="BJ432" s="23">
        <f t="shared" si="109"/>
        <v>1.1318921352292865E-5</v>
      </c>
    </row>
    <row r="433" spans="1:62" s="5" customFormat="1" x14ac:dyDescent="0.25">
      <c r="A433" s="14"/>
      <c r="B433" s="6"/>
      <c r="C433" s="6" t="s">
        <v>9</v>
      </c>
      <c r="D433" s="7">
        <v>0</v>
      </c>
      <c r="E433" s="7">
        <v>0</v>
      </c>
      <c r="F433" s="7">
        <v>0</v>
      </c>
      <c r="G433" s="7">
        <v>0</v>
      </c>
      <c r="H433" s="7">
        <v>17</v>
      </c>
      <c r="I433" s="7">
        <v>23</v>
      </c>
      <c r="J433" s="7">
        <v>29</v>
      </c>
      <c r="K433" s="7">
        <v>40</v>
      </c>
      <c r="L433" s="7">
        <v>39</v>
      </c>
      <c r="M433" s="7">
        <v>44</v>
      </c>
      <c r="N433" s="7">
        <v>48</v>
      </c>
      <c r="O433" s="7">
        <v>57</v>
      </c>
      <c r="P433" s="7">
        <v>58</v>
      </c>
      <c r="Q433" s="7">
        <v>87</v>
      </c>
      <c r="R433" s="7">
        <v>86</v>
      </c>
      <c r="S433" s="7">
        <v>95</v>
      </c>
      <c r="T433" s="7">
        <v>97</v>
      </c>
      <c r="U433" s="7">
        <v>130</v>
      </c>
      <c r="V433" s="7">
        <v>122</v>
      </c>
      <c r="W433" s="7">
        <v>112</v>
      </c>
      <c r="X433" s="7">
        <v>123</v>
      </c>
      <c r="Y433" s="7">
        <v>117</v>
      </c>
      <c r="Z433" s="7">
        <v>125</v>
      </c>
      <c r="AA433" s="7">
        <v>160</v>
      </c>
      <c r="AB433" s="7">
        <v>227</v>
      </c>
      <c r="AC433" s="7">
        <v>300</v>
      </c>
      <c r="AD433" s="7">
        <v>373</v>
      </c>
      <c r="AE433" s="7">
        <v>399</v>
      </c>
      <c r="AF433" s="7">
        <v>517</v>
      </c>
      <c r="AG433" s="7">
        <v>598</v>
      </c>
      <c r="AH433" s="7">
        <v>554</v>
      </c>
      <c r="AI433" s="7">
        <v>528</v>
      </c>
      <c r="AJ433" s="7">
        <v>595</v>
      </c>
      <c r="AK433" s="7">
        <v>595</v>
      </c>
      <c r="AL433" s="7">
        <v>596</v>
      </c>
      <c r="AM433" s="7">
        <v>794</v>
      </c>
      <c r="AN433" s="7">
        <v>910</v>
      </c>
      <c r="AO433" s="7">
        <v>938</v>
      </c>
      <c r="AP433" s="8">
        <v>1284</v>
      </c>
      <c r="AQ433" s="8">
        <v>1484</v>
      </c>
      <c r="AR433" s="8">
        <v>1571</v>
      </c>
      <c r="AS433" s="8">
        <v>1793</v>
      </c>
      <c r="AT433" s="8">
        <v>2018</v>
      </c>
      <c r="AU433" s="8">
        <v>1637</v>
      </c>
      <c r="AV433" s="8">
        <v>1762</v>
      </c>
      <c r="AW433" s="8">
        <v>1693</v>
      </c>
      <c r="AX433" s="8">
        <v>1742</v>
      </c>
      <c r="AY433" s="8">
        <v>1882</v>
      </c>
      <c r="AZ433" s="8">
        <v>1735</v>
      </c>
      <c r="BA433" s="8">
        <v>1880</v>
      </c>
      <c r="BB433" s="8">
        <v>1995</v>
      </c>
      <c r="BC433" s="15">
        <v>0</v>
      </c>
      <c r="BD433" s="21">
        <f t="shared" si="116"/>
        <v>7.8330310545212268E-3</v>
      </c>
      <c r="BE433" s="21">
        <f t="shared" si="116"/>
        <v>7.7224527431996315E-3</v>
      </c>
      <c r="BF433" s="21">
        <f t="shared" si="116"/>
        <v>8.1631590818397898E-3</v>
      </c>
      <c r="BG433" s="21">
        <f t="shared" si="116"/>
        <v>7.8387255632813308E-3</v>
      </c>
      <c r="BH433" s="21">
        <f t="shared" si="116"/>
        <v>7.900354675497134E-3</v>
      </c>
      <c r="BI433" s="21">
        <f t="shared" si="116"/>
        <v>7.7999155497865289E-3</v>
      </c>
      <c r="BJ433" s="23">
        <f t="shared" si="109"/>
        <v>7.8463319295216643E-3</v>
      </c>
    </row>
    <row r="434" spans="1:62" x14ac:dyDescent="0.25">
      <c r="A434" s="12"/>
      <c r="B434" s="2" t="s">
        <v>12</v>
      </c>
      <c r="C434" s="2" t="s">
        <v>6</v>
      </c>
      <c r="D434" s="3">
        <v>6275</v>
      </c>
      <c r="E434" s="3">
        <v>6525</v>
      </c>
      <c r="F434" s="3">
        <v>7255</v>
      </c>
      <c r="G434" s="3">
        <v>7646</v>
      </c>
      <c r="H434" s="3">
        <v>7499</v>
      </c>
      <c r="I434" s="3">
        <v>7245</v>
      </c>
      <c r="J434" s="3">
        <v>7885</v>
      </c>
      <c r="K434" s="3">
        <v>6353</v>
      </c>
      <c r="L434" s="3">
        <v>6890</v>
      </c>
      <c r="M434" s="3">
        <v>8851</v>
      </c>
      <c r="N434" s="3">
        <v>8956</v>
      </c>
      <c r="O434" s="3">
        <v>9071</v>
      </c>
      <c r="P434" s="3">
        <v>8192</v>
      </c>
      <c r="Q434" s="3">
        <v>9834</v>
      </c>
      <c r="R434" s="3">
        <v>8835</v>
      </c>
      <c r="S434" s="3">
        <v>10098</v>
      </c>
      <c r="T434" s="3">
        <v>9944</v>
      </c>
      <c r="U434" s="3">
        <v>9188</v>
      </c>
      <c r="V434" s="3">
        <v>11530</v>
      </c>
      <c r="W434" s="3">
        <v>10400</v>
      </c>
      <c r="X434" s="3">
        <v>11463</v>
      </c>
      <c r="Y434" s="3">
        <v>11732</v>
      </c>
      <c r="Z434" s="3">
        <v>11139</v>
      </c>
      <c r="AA434" s="3">
        <v>12902</v>
      </c>
      <c r="AB434" s="3">
        <v>13137</v>
      </c>
      <c r="AC434" s="3">
        <v>13374</v>
      </c>
      <c r="AD434" s="3">
        <v>12453</v>
      </c>
      <c r="AE434" s="3">
        <v>12162</v>
      </c>
      <c r="AF434" s="3">
        <v>14034</v>
      </c>
      <c r="AG434" s="3">
        <v>13597</v>
      </c>
      <c r="AH434" s="3">
        <v>11347</v>
      </c>
      <c r="AI434" s="3">
        <v>13464</v>
      </c>
      <c r="AJ434" s="3">
        <v>13145</v>
      </c>
      <c r="AK434" s="3">
        <v>12672</v>
      </c>
      <c r="AL434" s="3">
        <v>14124</v>
      </c>
      <c r="AM434" s="3">
        <v>14388</v>
      </c>
      <c r="AN434" s="3">
        <v>13662</v>
      </c>
      <c r="AO434" s="3">
        <v>15510</v>
      </c>
      <c r="AP434" s="3">
        <v>15589</v>
      </c>
      <c r="AQ434" s="3">
        <v>16500</v>
      </c>
      <c r="AR434" s="3">
        <v>17057</v>
      </c>
      <c r="AS434" s="3">
        <v>17499</v>
      </c>
      <c r="AT434" s="3">
        <v>17198</v>
      </c>
      <c r="AU434" s="3">
        <v>18011</v>
      </c>
      <c r="AV434" s="3">
        <v>17360</v>
      </c>
      <c r="AW434" s="3">
        <v>18200</v>
      </c>
      <c r="AX434" s="3">
        <v>18250</v>
      </c>
      <c r="AY434" s="3">
        <v>19800</v>
      </c>
      <c r="AZ434" s="3">
        <v>19850</v>
      </c>
      <c r="BA434" s="3">
        <v>20260</v>
      </c>
      <c r="BB434" s="3">
        <v>20262</v>
      </c>
      <c r="BC434" s="13">
        <v>0</v>
      </c>
      <c r="BD434" s="20">
        <f t="shared" si="116"/>
        <v>4.3477845409981751E-2</v>
      </c>
      <c r="BE434" s="20">
        <f t="shared" si="116"/>
        <v>4.3422605451499924E-2</v>
      </c>
      <c r="BF434" s="20">
        <f t="shared" si="116"/>
        <v>4.5663890701863226E-2</v>
      </c>
      <c r="BG434" s="20">
        <f t="shared" si="116"/>
        <v>4.430101479453033E-2</v>
      </c>
      <c r="BH434" s="20">
        <f t="shared" si="116"/>
        <v>4.6008543146066908E-2</v>
      </c>
      <c r="BI434" s="20">
        <f t="shared" si="116"/>
        <v>4.4958629274364795E-2</v>
      </c>
      <c r="BJ434" s="23">
        <f t="shared" si="109"/>
        <v>4.508939573832068E-2</v>
      </c>
    </row>
    <row r="435" spans="1:62" s="5" customFormat="1" x14ac:dyDescent="0.25">
      <c r="A435" s="14"/>
      <c r="B435" s="6"/>
      <c r="C435" s="6" t="s">
        <v>7</v>
      </c>
      <c r="D435" s="7">
        <v>0</v>
      </c>
      <c r="E435" s="7">
        <v>0</v>
      </c>
      <c r="F435" s="7">
        <v>0</v>
      </c>
      <c r="G435" s="7">
        <v>0</v>
      </c>
      <c r="H435" s="7">
        <v>0</v>
      </c>
      <c r="I435" s="7">
        <v>0</v>
      </c>
      <c r="J435" s="7">
        <v>0</v>
      </c>
      <c r="K435" s="7">
        <v>0</v>
      </c>
      <c r="L435" s="7">
        <v>0</v>
      </c>
      <c r="M435" s="7">
        <v>0</v>
      </c>
      <c r="N435" s="7">
        <v>0</v>
      </c>
      <c r="O435" s="7">
        <v>0</v>
      </c>
      <c r="P435" s="7">
        <v>0</v>
      </c>
      <c r="Q435" s="7">
        <v>0</v>
      </c>
      <c r="R435" s="7">
        <v>0</v>
      </c>
      <c r="S435" s="7">
        <v>0</v>
      </c>
      <c r="T435" s="7">
        <v>0</v>
      </c>
      <c r="U435" s="7">
        <v>0</v>
      </c>
      <c r="V435" s="7">
        <v>0</v>
      </c>
      <c r="W435" s="7">
        <v>0</v>
      </c>
      <c r="X435" s="7">
        <v>0</v>
      </c>
      <c r="Y435" s="7">
        <v>0</v>
      </c>
      <c r="Z435" s="7">
        <v>0</v>
      </c>
      <c r="AA435" s="7">
        <v>0</v>
      </c>
      <c r="AB435" s="7">
        <v>0</v>
      </c>
      <c r="AC435" s="7">
        <v>0</v>
      </c>
      <c r="AD435" s="7">
        <v>2</v>
      </c>
      <c r="AE435" s="7">
        <v>0</v>
      </c>
      <c r="AF435" s="7">
        <v>0</v>
      </c>
      <c r="AG435" s="7">
        <v>0</v>
      </c>
      <c r="AH435" s="7">
        <v>0</v>
      </c>
      <c r="AI435" s="7">
        <v>0</v>
      </c>
      <c r="AJ435" s="7">
        <v>0</v>
      </c>
      <c r="AK435" s="7">
        <v>0</v>
      </c>
      <c r="AL435" s="7">
        <v>0</v>
      </c>
      <c r="AM435" s="7">
        <v>0</v>
      </c>
      <c r="AN435" s="7">
        <v>0</v>
      </c>
      <c r="AO435" s="7">
        <v>0</v>
      </c>
      <c r="AP435" s="7">
        <v>1</v>
      </c>
      <c r="AQ435" s="7">
        <v>0</v>
      </c>
      <c r="AR435" s="7">
        <v>0</v>
      </c>
      <c r="AS435" s="7">
        <v>15</v>
      </c>
      <c r="AT435" s="7">
        <v>0</v>
      </c>
      <c r="AU435" s="7">
        <v>0</v>
      </c>
      <c r="AV435" s="7">
        <v>0</v>
      </c>
      <c r="AW435" s="7">
        <v>2</v>
      </c>
      <c r="AX435" s="7">
        <v>3</v>
      </c>
      <c r="AY435" s="7">
        <v>8</v>
      </c>
      <c r="AZ435" s="7">
        <v>300</v>
      </c>
      <c r="BA435" s="7">
        <v>300</v>
      </c>
      <c r="BB435" s="7">
        <v>200</v>
      </c>
      <c r="BC435" s="15">
        <v>0</v>
      </c>
      <c r="BD435" s="21">
        <f t="shared" si="116"/>
        <v>7.5471698113207552E-5</v>
      </c>
      <c r="BE435" s="21">
        <f t="shared" si="116"/>
        <v>1.0628498547438532E-4</v>
      </c>
      <c r="BF435" s="21">
        <f t="shared" si="116"/>
        <v>2.7176682406495229E-4</v>
      </c>
      <c r="BG435" s="21">
        <f t="shared" si="116"/>
        <v>1.1050130759880658E-2</v>
      </c>
      <c r="BH435" s="21">
        <f t="shared" si="116"/>
        <v>1.068566340160285E-2</v>
      </c>
      <c r="BI435" s="21">
        <f t="shared" si="116"/>
        <v>6.8418171866447726E-3</v>
      </c>
      <c r="BJ435" s="23">
        <f t="shared" si="109"/>
        <v>9.5258704493760924E-3</v>
      </c>
    </row>
    <row r="436" spans="1:62" x14ac:dyDescent="0.25">
      <c r="A436" s="12"/>
      <c r="B436" s="2"/>
      <c r="C436" s="2" t="s">
        <v>8</v>
      </c>
      <c r="D436" s="3">
        <v>1576</v>
      </c>
      <c r="E436" s="3">
        <v>1271</v>
      </c>
      <c r="F436" s="3">
        <v>1418</v>
      </c>
      <c r="G436" s="3">
        <v>1896</v>
      </c>
      <c r="H436" s="3">
        <v>1895</v>
      </c>
      <c r="I436" s="3">
        <v>1508</v>
      </c>
      <c r="J436" s="3">
        <v>1483</v>
      </c>
      <c r="K436" s="3">
        <v>1068</v>
      </c>
      <c r="L436" s="3">
        <v>1023</v>
      </c>
      <c r="M436" s="3">
        <v>1064</v>
      </c>
      <c r="N436" s="3">
        <v>1576</v>
      </c>
      <c r="O436" s="3">
        <v>2112</v>
      </c>
      <c r="P436" s="4">
        <v>849</v>
      </c>
      <c r="Q436" s="3">
        <v>1046</v>
      </c>
      <c r="R436" s="4">
        <v>933</v>
      </c>
      <c r="S436" s="3">
        <v>1870</v>
      </c>
      <c r="T436" s="3">
        <v>2915</v>
      </c>
      <c r="U436" s="3">
        <v>1573</v>
      </c>
      <c r="V436" s="3">
        <v>2696</v>
      </c>
      <c r="W436" s="3">
        <v>2681</v>
      </c>
      <c r="X436" s="3">
        <v>3049</v>
      </c>
      <c r="Y436" s="3">
        <v>3620</v>
      </c>
      <c r="Z436" s="3">
        <v>3694</v>
      </c>
      <c r="AA436" s="3">
        <v>4528</v>
      </c>
      <c r="AB436" s="3">
        <v>3993</v>
      </c>
      <c r="AC436" s="3">
        <v>4334</v>
      </c>
      <c r="AD436" s="3">
        <v>4344</v>
      </c>
      <c r="AE436" s="3">
        <v>4791</v>
      </c>
      <c r="AF436" s="3">
        <v>6036</v>
      </c>
      <c r="AG436" s="3">
        <v>3938</v>
      </c>
      <c r="AH436" s="3">
        <v>3988</v>
      </c>
      <c r="AI436" s="3">
        <v>4876</v>
      </c>
      <c r="AJ436" s="3">
        <v>4971</v>
      </c>
      <c r="AK436" s="3">
        <v>4720</v>
      </c>
      <c r="AL436" s="3">
        <v>5943</v>
      </c>
      <c r="AM436" s="3">
        <v>5281</v>
      </c>
      <c r="AN436" s="3">
        <v>5216</v>
      </c>
      <c r="AO436" s="3">
        <v>6367</v>
      </c>
      <c r="AP436" s="3">
        <v>6679</v>
      </c>
      <c r="AQ436" s="3">
        <v>6549</v>
      </c>
      <c r="AR436" s="3">
        <v>7521</v>
      </c>
      <c r="AS436" s="3">
        <v>7245</v>
      </c>
      <c r="AT436" s="3">
        <v>7552</v>
      </c>
      <c r="AU436" s="3">
        <v>10137</v>
      </c>
      <c r="AV436" s="3">
        <v>7274</v>
      </c>
      <c r="AW436" s="3">
        <v>7376</v>
      </c>
      <c r="AX436" s="3">
        <v>9557</v>
      </c>
      <c r="AY436" s="3">
        <v>10011</v>
      </c>
      <c r="AZ436" s="3">
        <v>8570</v>
      </c>
      <c r="BA436" s="3">
        <v>9047</v>
      </c>
      <c r="BB436" s="3">
        <v>10000</v>
      </c>
      <c r="BC436" s="13">
        <v>0</v>
      </c>
      <c r="BD436" s="20">
        <f t="shared" si="116"/>
        <v>0.248484031801644</v>
      </c>
      <c r="BE436" s="20">
        <f t="shared" si="116"/>
        <v>0.30441153049848702</v>
      </c>
      <c r="BF436" s="20">
        <f t="shared" si="116"/>
        <v>0.32048532189390788</v>
      </c>
      <c r="BG436" s="20">
        <f t="shared" si="116"/>
        <v>0.29641671278361925</v>
      </c>
      <c r="BH436" s="20">
        <f t="shared" si="116"/>
        <v>0.29359078370923253</v>
      </c>
      <c r="BI436" s="20">
        <f t="shared" si="116"/>
        <v>0.32895818941412547</v>
      </c>
      <c r="BJ436" s="23">
        <f t="shared" si="109"/>
        <v>0.30632189530232573</v>
      </c>
    </row>
    <row r="437" spans="1:62" s="5" customFormat="1" x14ac:dyDescent="0.25">
      <c r="A437" s="14"/>
      <c r="B437" s="6"/>
      <c r="C437" s="6" t="s">
        <v>9</v>
      </c>
      <c r="D437" s="8">
        <v>4699</v>
      </c>
      <c r="E437" s="8">
        <v>5254</v>
      </c>
      <c r="F437" s="8">
        <v>5837</v>
      </c>
      <c r="G437" s="8">
        <v>5750</v>
      </c>
      <c r="H437" s="8">
        <v>5604</v>
      </c>
      <c r="I437" s="8">
        <v>5737</v>
      </c>
      <c r="J437" s="8">
        <v>6336</v>
      </c>
      <c r="K437" s="8">
        <v>4942</v>
      </c>
      <c r="L437" s="8">
        <v>5173</v>
      </c>
      <c r="M437" s="8">
        <v>7963</v>
      </c>
      <c r="N437" s="8">
        <v>7669</v>
      </c>
      <c r="O437" s="8">
        <v>7013</v>
      </c>
      <c r="P437" s="8">
        <v>7802</v>
      </c>
      <c r="Q437" s="8">
        <v>8228</v>
      </c>
      <c r="R437" s="8">
        <v>7425</v>
      </c>
      <c r="S437" s="8">
        <v>8266</v>
      </c>
      <c r="T437" s="8">
        <v>7616</v>
      </c>
      <c r="U437" s="8">
        <v>7518</v>
      </c>
      <c r="V437" s="8">
        <v>8131</v>
      </c>
      <c r="W437" s="8">
        <v>8129</v>
      </c>
      <c r="X437" s="8">
        <v>7955</v>
      </c>
      <c r="Y437" s="8">
        <v>8082</v>
      </c>
      <c r="Z437" s="8">
        <v>8118</v>
      </c>
      <c r="AA437" s="8">
        <v>8273</v>
      </c>
      <c r="AB437" s="8">
        <v>8495</v>
      </c>
      <c r="AC437" s="8">
        <v>8624</v>
      </c>
      <c r="AD437" s="8">
        <v>8343</v>
      </c>
      <c r="AE437" s="8">
        <v>8500</v>
      </c>
      <c r="AF437" s="8">
        <v>8250</v>
      </c>
      <c r="AG437" s="8">
        <v>8567</v>
      </c>
      <c r="AH437" s="8">
        <v>8400</v>
      </c>
      <c r="AI437" s="8">
        <v>8400</v>
      </c>
      <c r="AJ437" s="8">
        <v>8500</v>
      </c>
      <c r="AK437" s="8">
        <v>8500</v>
      </c>
      <c r="AL437" s="8">
        <v>8250</v>
      </c>
      <c r="AM437" s="8">
        <v>8443</v>
      </c>
      <c r="AN437" s="8">
        <v>8590</v>
      </c>
      <c r="AO437" s="8">
        <v>8800</v>
      </c>
      <c r="AP437" s="8">
        <v>8900</v>
      </c>
      <c r="AQ437" s="8">
        <v>9050</v>
      </c>
      <c r="AR437" s="8">
        <v>9250</v>
      </c>
      <c r="AS437" s="8">
        <v>9400</v>
      </c>
      <c r="AT437" s="8">
        <v>9460</v>
      </c>
      <c r="AU437" s="8">
        <v>9470</v>
      </c>
      <c r="AV437" s="8">
        <v>9480</v>
      </c>
      <c r="AW437" s="8">
        <v>9544</v>
      </c>
      <c r="AX437" s="8">
        <v>9780</v>
      </c>
      <c r="AY437" s="8">
        <v>9600</v>
      </c>
      <c r="AZ437" s="8">
        <v>9500</v>
      </c>
      <c r="BA437" s="8">
        <v>10200</v>
      </c>
      <c r="BB437" s="8">
        <v>10500</v>
      </c>
      <c r="BC437" s="15">
        <v>0</v>
      </c>
      <c r="BD437" s="21">
        <f t="shared" si="116"/>
        <v>2.3112708357045816E-2</v>
      </c>
      <c r="BE437" s="21">
        <f t="shared" si="116"/>
        <v>2.3364876713245115E-2</v>
      </c>
      <c r="BF437" s="21">
        <f t="shared" si="116"/>
        <v>2.2520567612139525E-2</v>
      </c>
      <c r="BG437" s="21">
        <f t="shared" si="116"/>
        <v>2.1833559329824642E-2</v>
      </c>
      <c r="BH437" s="21">
        <f t="shared" si="116"/>
        <v>2.3432815590633305E-2</v>
      </c>
      <c r="BI437" s="21">
        <f t="shared" si="116"/>
        <v>2.3530360888506428E-2</v>
      </c>
      <c r="BJ437" s="23">
        <f t="shared" si="109"/>
        <v>2.2932245269654792E-2</v>
      </c>
    </row>
    <row r="438" spans="1:62" x14ac:dyDescent="0.25">
      <c r="A438" s="12"/>
      <c r="B438" s="2" t="s">
        <v>13</v>
      </c>
      <c r="C438" s="2" t="s">
        <v>6</v>
      </c>
      <c r="D438" s="4">
        <v>0</v>
      </c>
      <c r="E438" s="4">
        <v>0</v>
      </c>
      <c r="F438" s="4">
        <v>0</v>
      </c>
      <c r="G438" s="4">
        <v>8</v>
      </c>
      <c r="H438" s="4">
        <v>20</v>
      </c>
      <c r="I438" s="4">
        <v>73</v>
      </c>
      <c r="J438" s="4">
        <v>114</v>
      </c>
      <c r="K438" s="4">
        <v>70</v>
      </c>
      <c r="L438" s="4">
        <v>65</v>
      </c>
      <c r="M438" s="4">
        <v>75</v>
      </c>
      <c r="N438" s="4">
        <v>100</v>
      </c>
      <c r="O438" s="4">
        <v>135</v>
      </c>
      <c r="P438" s="4">
        <v>120</v>
      </c>
      <c r="Q438" s="4">
        <v>170</v>
      </c>
      <c r="R438" s="4">
        <v>280</v>
      </c>
      <c r="S438" s="4">
        <v>300</v>
      </c>
      <c r="T438" s="4">
        <v>250</v>
      </c>
      <c r="U438" s="4">
        <v>200</v>
      </c>
      <c r="V438" s="4">
        <v>230</v>
      </c>
      <c r="W438" s="4">
        <v>260</v>
      </c>
      <c r="X438" s="4">
        <v>350</v>
      </c>
      <c r="Y438" s="4">
        <v>330</v>
      </c>
      <c r="Z438" s="4">
        <v>236</v>
      </c>
      <c r="AA438" s="4">
        <v>327</v>
      </c>
      <c r="AB438" s="4">
        <v>374</v>
      </c>
      <c r="AC438" s="4">
        <v>320</v>
      </c>
      <c r="AD438" s="4">
        <v>280</v>
      </c>
      <c r="AE438" s="4">
        <v>192</v>
      </c>
      <c r="AF438" s="4">
        <v>215</v>
      </c>
      <c r="AG438" s="4">
        <v>230</v>
      </c>
      <c r="AH438" s="4">
        <v>237</v>
      </c>
      <c r="AI438" s="4">
        <v>250</v>
      </c>
      <c r="AJ438" s="4">
        <v>250</v>
      </c>
      <c r="AK438" s="4">
        <v>208</v>
      </c>
      <c r="AL438" s="4">
        <v>228</v>
      </c>
      <c r="AM438" s="4">
        <v>194</v>
      </c>
      <c r="AN438" s="4">
        <v>225</v>
      </c>
      <c r="AO438" s="4">
        <v>156</v>
      </c>
      <c r="AP438" s="4">
        <v>146</v>
      </c>
      <c r="AQ438" s="4">
        <v>142</v>
      </c>
      <c r="AR438" s="4">
        <v>148</v>
      </c>
      <c r="AS438" s="4">
        <v>144</v>
      </c>
      <c r="AT438" s="4">
        <v>132</v>
      </c>
      <c r="AU438" s="4">
        <v>96</v>
      </c>
      <c r="AV438" s="4">
        <v>93</v>
      </c>
      <c r="AW438" s="4">
        <v>95</v>
      </c>
      <c r="AX438" s="4">
        <v>53</v>
      </c>
      <c r="AY438" s="4">
        <v>57</v>
      </c>
      <c r="AZ438" s="4">
        <v>55</v>
      </c>
      <c r="BA438" s="4">
        <v>54</v>
      </c>
      <c r="BB438" s="4">
        <v>50</v>
      </c>
      <c r="BC438" s="13">
        <v>0</v>
      </c>
      <c r="BD438" s="20">
        <f t="shared" si="116"/>
        <v>1.5930509440922962E-3</v>
      </c>
      <c r="BE438" s="20">
        <f t="shared" si="116"/>
        <v>9.1934084995663485E-4</v>
      </c>
      <c r="BF438" s="20">
        <f t="shared" si="116"/>
        <v>8.6482877907417799E-4</v>
      </c>
      <c r="BG438" s="20">
        <f t="shared" si="116"/>
        <v>8.4816334083829376E-4</v>
      </c>
      <c r="BH438" s="20">
        <f t="shared" si="116"/>
        <v>9.1128474273081657E-4</v>
      </c>
      <c r="BI438" s="20">
        <f t="shared" si="116"/>
        <v>7.6654197583859692E-4</v>
      </c>
      <c r="BJ438" s="23">
        <f t="shared" si="109"/>
        <v>8.4199668646923575E-4</v>
      </c>
    </row>
    <row r="439" spans="1:62" s="5" customFormat="1" x14ac:dyDescent="0.25">
      <c r="A439" s="14"/>
      <c r="B439" s="6"/>
      <c r="C439" s="6" t="s">
        <v>7</v>
      </c>
      <c r="D439" s="7">
        <v>0</v>
      </c>
      <c r="E439" s="7">
        <v>0</v>
      </c>
      <c r="F439" s="7">
        <v>0</v>
      </c>
      <c r="G439" s="7">
        <v>0</v>
      </c>
      <c r="H439" s="7">
        <v>0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0</v>
      </c>
      <c r="Q439" s="7">
        <v>0</v>
      </c>
      <c r="R439" s="7">
        <v>0</v>
      </c>
      <c r="S439" s="7">
        <v>0</v>
      </c>
      <c r="T439" s="7">
        <v>0</v>
      </c>
      <c r="U439" s="7">
        <v>0</v>
      </c>
      <c r="V439" s="7">
        <v>0</v>
      </c>
      <c r="W439" s="7">
        <v>0</v>
      </c>
      <c r="X439" s="7">
        <v>0</v>
      </c>
      <c r="Y439" s="7">
        <v>0</v>
      </c>
      <c r="Z439" s="7">
        <v>0</v>
      </c>
      <c r="AA439" s="7">
        <v>0</v>
      </c>
      <c r="AB439" s="7">
        <v>0</v>
      </c>
      <c r="AC439" s="7">
        <v>0</v>
      </c>
      <c r="AD439" s="7">
        <v>0</v>
      </c>
      <c r="AE439" s="7">
        <v>0</v>
      </c>
      <c r="AF439" s="7">
        <v>0</v>
      </c>
      <c r="AG439" s="7">
        <v>0</v>
      </c>
      <c r="AH439" s="7">
        <v>0</v>
      </c>
      <c r="AI439" s="7">
        <v>0</v>
      </c>
      <c r="AJ439" s="7">
        <v>1</v>
      </c>
      <c r="AK439" s="7">
        <v>1</v>
      </c>
      <c r="AL439" s="7">
        <v>37</v>
      </c>
      <c r="AM439" s="7">
        <v>5</v>
      </c>
      <c r="AN439" s="7">
        <v>6</v>
      </c>
      <c r="AO439" s="7">
        <v>2</v>
      </c>
      <c r="AP439" s="7">
        <v>1</v>
      </c>
      <c r="AQ439" s="7">
        <v>1</v>
      </c>
      <c r="AR439" s="7">
        <v>0</v>
      </c>
      <c r="AS439" s="7">
        <v>0</v>
      </c>
      <c r="AT439" s="7">
        <v>1</v>
      </c>
      <c r="AU439" s="7">
        <v>1</v>
      </c>
      <c r="AV439" s="7">
        <v>0</v>
      </c>
      <c r="AW439" s="7">
        <v>0</v>
      </c>
      <c r="AX439" s="7">
        <v>0</v>
      </c>
      <c r="AY439" s="7">
        <v>0</v>
      </c>
      <c r="AZ439" s="7">
        <v>0</v>
      </c>
      <c r="BA439" s="7">
        <v>0</v>
      </c>
      <c r="BB439" s="7">
        <v>0</v>
      </c>
      <c r="BC439" s="15">
        <v>0</v>
      </c>
      <c r="BD439" s="21">
        <f t="shared" si="116"/>
        <v>0</v>
      </c>
      <c r="BE439" s="21">
        <f t="shared" si="116"/>
        <v>0</v>
      </c>
      <c r="BF439" s="21">
        <f t="shared" si="116"/>
        <v>0</v>
      </c>
      <c r="BG439" s="21">
        <f t="shared" si="116"/>
        <v>0</v>
      </c>
      <c r="BH439" s="21">
        <f t="shared" si="116"/>
        <v>0</v>
      </c>
      <c r="BI439" s="21">
        <f t="shared" si="116"/>
        <v>0</v>
      </c>
      <c r="BJ439" s="23">
        <f t="shared" si="109"/>
        <v>0</v>
      </c>
    </row>
    <row r="440" spans="1:62" x14ac:dyDescent="0.25">
      <c r="A440" s="12"/>
      <c r="B440" s="2"/>
      <c r="C440" s="2" t="s">
        <v>8</v>
      </c>
      <c r="D440" s="4">
        <v>0</v>
      </c>
      <c r="E440" s="4">
        <v>0</v>
      </c>
      <c r="F440" s="4">
        <v>0</v>
      </c>
      <c r="G440" s="4">
        <v>0</v>
      </c>
      <c r="H440" s="4">
        <v>13</v>
      </c>
      <c r="I440" s="4">
        <v>54</v>
      </c>
      <c r="J440" s="4">
        <v>103</v>
      </c>
      <c r="K440" s="4">
        <v>94</v>
      </c>
      <c r="L440" s="4">
        <v>54</v>
      </c>
      <c r="M440" s="4">
        <v>57</v>
      </c>
      <c r="N440" s="4">
        <v>80</v>
      </c>
      <c r="O440" s="4">
        <v>131</v>
      </c>
      <c r="P440" s="4">
        <v>97</v>
      </c>
      <c r="Q440" s="4">
        <v>188</v>
      </c>
      <c r="R440" s="4">
        <v>207</v>
      </c>
      <c r="S440" s="4">
        <v>170</v>
      </c>
      <c r="T440" s="4">
        <v>165</v>
      </c>
      <c r="U440" s="4">
        <v>104</v>
      </c>
      <c r="V440" s="4">
        <v>174</v>
      </c>
      <c r="W440" s="4">
        <v>189</v>
      </c>
      <c r="X440" s="4">
        <v>255</v>
      </c>
      <c r="Y440" s="4">
        <v>252</v>
      </c>
      <c r="Z440" s="4">
        <v>190</v>
      </c>
      <c r="AA440" s="4">
        <v>290</v>
      </c>
      <c r="AB440" s="4">
        <v>342</v>
      </c>
      <c r="AC440" s="4">
        <v>268</v>
      </c>
      <c r="AD440" s="4">
        <v>142</v>
      </c>
      <c r="AE440" s="4">
        <v>25</v>
      </c>
      <c r="AF440" s="4">
        <v>36</v>
      </c>
      <c r="AG440" s="4">
        <v>1</v>
      </c>
      <c r="AH440" s="4">
        <v>97</v>
      </c>
      <c r="AI440" s="4">
        <v>4</v>
      </c>
      <c r="AJ440" s="4">
        <v>6</v>
      </c>
      <c r="AK440" s="4">
        <v>3</v>
      </c>
      <c r="AL440" s="4">
        <v>1</v>
      </c>
      <c r="AM440" s="4">
        <v>0</v>
      </c>
      <c r="AN440" s="4">
        <v>4</v>
      </c>
      <c r="AO440" s="4">
        <v>2</v>
      </c>
      <c r="AP440" s="4">
        <v>7</v>
      </c>
      <c r="AQ440" s="4">
        <v>0</v>
      </c>
      <c r="AR440" s="4">
        <v>11</v>
      </c>
      <c r="AS440" s="4">
        <v>16</v>
      </c>
      <c r="AT440" s="4">
        <v>31</v>
      </c>
      <c r="AU440" s="4">
        <v>21</v>
      </c>
      <c r="AV440" s="4">
        <v>4</v>
      </c>
      <c r="AW440" s="4">
        <v>13</v>
      </c>
      <c r="AX440" s="4">
        <v>16</v>
      </c>
      <c r="AY440" s="4">
        <v>24</v>
      </c>
      <c r="AZ440" s="4">
        <v>9</v>
      </c>
      <c r="BA440" s="4">
        <v>21</v>
      </c>
      <c r="BB440" s="4">
        <v>15</v>
      </c>
      <c r="BC440" s="13">
        <v>0</v>
      </c>
      <c r="BD440" s="20">
        <f t="shared" si="116"/>
        <v>2.4172554853105245E-3</v>
      </c>
      <c r="BE440" s="20">
        <f t="shared" si="116"/>
        <v>2.9287937030935385E-3</v>
      </c>
      <c r="BF440" s="20">
        <f t="shared" si="116"/>
        <v>2.4665981500513875E-3</v>
      </c>
      <c r="BG440" s="20">
        <f t="shared" si="116"/>
        <v>1.5040106951871657E-3</v>
      </c>
      <c r="BH440" s="20">
        <f t="shared" si="116"/>
        <v>3.1588447653429601E-3</v>
      </c>
      <c r="BI440" s="20">
        <f t="shared" si="116"/>
        <v>2.3009664058904738E-3</v>
      </c>
      <c r="BJ440" s="23">
        <f t="shared" si="109"/>
        <v>2.3212739554735332E-3</v>
      </c>
    </row>
    <row r="441" spans="1:62" s="5" customFormat="1" x14ac:dyDescent="0.25">
      <c r="A441" s="14"/>
      <c r="B441" s="6"/>
      <c r="C441" s="6" t="s">
        <v>9</v>
      </c>
      <c r="D441" s="7">
        <v>0</v>
      </c>
      <c r="E441" s="7">
        <v>0</v>
      </c>
      <c r="F441" s="7">
        <v>0</v>
      </c>
      <c r="G441" s="7">
        <v>5</v>
      </c>
      <c r="H441" s="7">
        <v>1</v>
      </c>
      <c r="I441" s="7">
        <v>2</v>
      </c>
      <c r="J441" s="7">
        <v>4</v>
      </c>
      <c r="K441" s="7">
        <v>3</v>
      </c>
      <c r="L441" s="7">
        <v>7</v>
      </c>
      <c r="M441" s="7">
        <v>10</v>
      </c>
      <c r="N441" s="7">
        <v>10</v>
      </c>
      <c r="O441" s="7">
        <v>11</v>
      </c>
      <c r="P441" s="7">
        <v>12</v>
      </c>
      <c r="Q441" s="7">
        <v>10</v>
      </c>
      <c r="R441" s="7">
        <v>40</v>
      </c>
      <c r="S441" s="7">
        <v>81</v>
      </c>
      <c r="T441" s="7">
        <v>91</v>
      </c>
      <c r="U441" s="7">
        <v>95</v>
      </c>
      <c r="V441" s="7">
        <v>97</v>
      </c>
      <c r="W441" s="7">
        <v>104</v>
      </c>
      <c r="X441" s="7">
        <v>90</v>
      </c>
      <c r="Y441" s="7">
        <v>77</v>
      </c>
      <c r="Z441" s="7">
        <v>22</v>
      </c>
      <c r="AA441" s="7">
        <v>29</v>
      </c>
      <c r="AB441" s="7">
        <v>27</v>
      </c>
      <c r="AC441" s="7">
        <v>45</v>
      </c>
      <c r="AD441" s="7">
        <v>160</v>
      </c>
      <c r="AE441" s="7">
        <v>190</v>
      </c>
      <c r="AF441" s="7">
        <v>183</v>
      </c>
      <c r="AG441" s="7">
        <v>210</v>
      </c>
      <c r="AH441" s="7">
        <v>146</v>
      </c>
      <c r="AI441" s="7">
        <v>246</v>
      </c>
      <c r="AJ441" s="7">
        <v>255</v>
      </c>
      <c r="AK441" s="7">
        <v>217</v>
      </c>
      <c r="AL441" s="7">
        <v>253</v>
      </c>
      <c r="AM441" s="7">
        <v>199</v>
      </c>
      <c r="AN441" s="7">
        <v>238</v>
      </c>
      <c r="AO441" s="7">
        <v>167</v>
      </c>
      <c r="AP441" s="7">
        <v>140</v>
      </c>
      <c r="AQ441" s="7">
        <v>143</v>
      </c>
      <c r="AR441" s="7">
        <v>130</v>
      </c>
      <c r="AS441" s="7">
        <v>129</v>
      </c>
      <c r="AT441" s="7">
        <v>100</v>
      </c>
      <c r="AU441" s="7">
        <v>80</v>
      </c>
      <c r="AV441" s="7">
        <v>70</v>
      </c>
      <c r="AW441" s="7">
        <v>90</v>
      </c>
      <c r="AX441" s="7">
        <v>50</v>
      </c>
      <c r="AY441" s="7">
        <v>35</v>
      </c>
      <c r="AZ441" s="7">
        <v>46</v>
      </c>
      <c r="BA441" s="7">
        <v>33</v>
      </c>
      <c r="BB441" s="7">
        <v>35</v>
      </c>
      <c r="BC441" s="15">
        <v>0</v>
      </c>
      <c r="BD441" s="21">
        <f t="shared" si="116"/>
        <v>1.5178857537989307E-3</v>
      </c>
      <c r="BE441" s="21">
        <f t="shared" si="116"/>
        <v>8.6517165005537094E-4</v>
      </c>
      <c r="BF441" s="21">
        <f t="shared" si="116"/>
        <v>5.4287132398560614E-4</v>
      </c>
      <c r="BG441" s="21">
        <f t="shared" si="116"/>
        <v>7.1328888199720885E-4</v>
      </c>
      <c r="BH441" s="21">
        <f t="shared" si="116"/>
        <v>5.403281265350231E-4</v>
      </c>
      <c r="BI441" s="21">
        <f t="shared" si="116"/>
        <v>5.4059898367391065E-4</v>
      </c>
      <c r="BJ441" s="23">
        <f t="shared" si="109"/>
        <v>5.980719974020475E-4</v>
      </c>
    </row>
    <row r="442" spans="1:62" x14ac:dyDescent="0.25">
      <c r="A442" s="14"/>
      <c r="B442" s="6" t="s">
        <v>14</v>
      </c>
      <c r="C442" s="6" t="s">
        <v>42</v>
      </c>
      <c r="D442" s="7">
        <v>132</v>
      </c>
      <c r="E442" s="7">
        <v>161</v>
      </c>
      <c r="F442" s="7">
        <v>200</v>
      </c>
      <c r="G442" s="7">
        <v>225</v>
      </c>
      <c r="H442" s="7">
        <v>239</v>
      </c>
      <c r="I442" s="7">
        <v>286</v>
      </c>
      <c r="J442" s="7">
        <v>246</v>
      </c>
      <c r="K442" s="7">
        <v>239</v>
      </c>
      <c r="L442" s="7">
        <v>336</v>
      </c>
      <c r="M442" s="7">
        <v>373</v>
      </c>
      <c r="N442" s="7">
        <v>530</v>
      </c>
      <c r="O442" s="7">
        <v>629</v>
      </c>
      <c r="P442" s="7">
        <v>649</v>
      </c>
      <c r="Q442" s="7">
        <v>930</v>
      </c>
      <c r="R442" s="8">
        <v>1211</v>
      </c>
      <c r="S442" s="8">
        <v>1641</v>
      </c>
      <c r="T442" s="8">
        <v>2212</v>
      </c>
      <c r="U442" s="8">
        <v>1584</v>
      </c>
      <c r="V442" s="8">
        <v>1851</v>
      </c>
      <c r="W442" s="8">
        <v>1098</v>
      </c>
      <c r="X442" s="8">
        <v>1676</v>
      </c>
      <c r="Y442" s="8">
        <v>2788</v>
      </c>
      <c r="Z442" s="8">
        <v>2305</v>
      </c>
      <c r="AA442" s="8">
        <v>2305</v>
      </c>
      <c r="AB442" s="8">
        <v>2533</v>
      </c>
      <c r="AC442" s="8">
        <v>2586</v>
      </c>
      <c r="AD442" s="8">
        <v>2639</v>
      </c>
      <c r="AE442" s="8">
        <v>2704</v>
      </c>
      <c r="AF442" s="8">
        <v>4055</v>
      </c>
      <c r="AG442" s="8">
        <v>3502</v>
      </c>
      <c r="AH442" s="8">
        <v>3954</v>
      </c>
      <c r="AI442" s="8">
        <v>5062</v>
      </c>
      <c r="AJ442" s="8">
        <v>3750</v>
      </c>
      <c r="AK442" s="8">
        <v>3975</v>
      </c>
      <c r="AL442" s="8">
        <v>5448</v>
      </c>
      <c r="AM442" s="8">
        <v>6223</v>
      </c>
      <c r="AN442" s="8">
        <v>6013</v>
      </c>
      <c r="AO442" s="8">
        <v>4245</v>
      </c>
      <c r="AP442" s="8">
        <v>5386</v>
      </c>
      <c r="AQ442" s="8">
        <v>5721</v>
      </c>
      <c r="AR442" s="8">
        <v>5107</v>
      </c>
      <c r="AS442" s="8">
        <v>6397</v>
      </c>
      <c r="AT442" s="8">
        <v>7286</v>
      </c>
      <c r="AU442" s="8">
        <v>7010</v>
      </c>
      <c r="AV442" s="8">
        <v>5187</v>
      </c>
      <c r="AW442" s="8">
        <v>4835</v>
      </c>
      <c r="AX442" s="8">
        <v>6720</v>
      </c>
      <c r="AY442" s="8">
        <v>7820</v>
      </c>
      <c r="AZ442" s="8">
        <v>7200</v>
      </c>
      <c r="BA442" s="8">
        <v>6930</v>
      </c>
      <c r="BB442" s="25">
        <v>6870</v>
      </c>
      <c r="BC442" s="21">
        <f t="shared" ref="BC442:BH442" si="117">AW442/AX$83</f>
        <v>0.60460172564711767</v>
      </c>
      <c r="BD442" s="21">
        <f t="shared" si="117"/>
        <v>0.99232132309509746</v>
      </c>
      <c r="BE442" s="21">
        <f t="shared" si="117"/>
        <v>1.2213025144463532</v>
      </c>
      <c r="BF442" s="21">
        <f t="shared" si="117"/>
        <v>1.0103845074375526</v>
      </c>
      <c r="BG442" s="21">
        <f t="shared" si="117"/>
        <v>1.0661538461538462</v>
      </c>
      <c r="BH442" s="21" t="e">
        <f t="shared" si="117"/>
        <v>#DIV/0!</v>
      </c>
      <c r="BI442" s="5"/>
      <c r="BJ442" s="23" t="e">
        <f>AVERAGE(BF442,BG442,BH442)</f>
        <v>#DIV/0!</v>
      </c>
    </row>
    <row r="443" spans="1:62" s="5" customFormat="1" x14ac:dyDescent="0.25">
      <c r="A443" s="14"/>
      <c r="B443" s="2"/>
      <c r="C443" s="2" t="s">
        <v>45</v>
      </c>
      <c r="D443" s="4">
        <v>0</v>
      </c>
      <c r="E443" s="4">
        <v>0</v>
      </c>
      <c r="F443" s="4">
        <v>0</v>
      </c>
      <c r="G443" s="4">
        <v>0</v>
      </c>
      <c r="H443" s="4">
        <v>0</v>
      </c>
      <c r="I443" s="4">
        <v>0</v>
      </c>
      <c r="J443" s="4">
        <v>0</v>
      </c>
      <c r="K443" s="4">
        <v>0</v>
      </c>
      <c r="L443" s="4">
        <v>0</v>
      </c>
      <c r="M443" s="4">
        <v>0</v>
      </c>
      <c r="N443" s="4">
        <v>0</v>
      </c>
      <c r="O443" s="4">
        <v>0</v>
      </c>
      <c r="P443" s="4">
        <v>0</v>
      </c>
      <c r="Q443" s="4">
        <v>0</v>
      </c>
      <c r="R443" s="4">
        <v>0</v>
      </c>
      <c r="S443" s="4">
        <v>0</v>
      </c>
      <c r="T443" s="4">
        <v>0</v>
      </c>
      <c r="U443" s="4">
        <v>0</v>
      </c>
      <c r="V443" s="4">
        <v>0</v>
      </c>
      <c r="W443" s="4">
        <v>79</v>
      </c>
      <c r="X443" s="4">
        <v>0</v>
      </c>
      <c r="Y443" s="4">
        <v>0</v>
      </c>
      <c r="Z443" s="4">
        <v>0</v>
      </c>
      <c r="AA443" s="4">
        <v>0</v>
      </c>
      <c r="AB443" s="4">
        <v>0</v>
      </c>
      <c r="AC443" s="4">
        <v>0</v>
      </c>
      <c r="AD443" s="4">
        <v>0</v>
      </c>
      <c r="AE443" s="4">
        <v>0</v>
      </c>
      <c r="AF443" s="4">
        <v>0</v>
      </c>
      <c r="AG443" s="4">
        <v>0</v>
      </c>
      <c r="AH443" s="4">
        <v>0</v>
      </c>
      <c r="AI443" s="4">
        <v>0</v>
      </c>
      <c r="AJ443" s="4">
        <v>0</v>
      </c>
      <c r="AK443" s="4">
        <v>0</v>
      </c>
      <c r="AL443" s="4">
        <v>0</v>
      </c>
      <c r="AM443" s="4">
        <v>0</v>
      </c>
      <c r="AN443" s="4">
        <v>0</v>
      </c>
      <c r="AO443" s="4">
        <v>0</v>
      </c>
      <c r="AP443" s="4">
        <v>0</v>
      </c>
      <c r="AQ443" s="4">
        <v>0</v>
      </c>
      <c r="AR443" s="4">
        <v>0</v>
      </c>
      <c r="AS443" s="4">
        <v>0</v>
      </c>
      <c r="AT443" s="4">
        <v>0</v>
      </c>
      <c r="AU443" s="4">
        <v>0</v>
      </c>
      <c r="AV443" s="4">
        <v>0</v>
      </c>
      <c r="AW443" s="4">
        <v>0</v>
      </c>
      <c r="AX443" s="4">
        <v>0</v>
      </c>
      <c r="AY443" s="4">
        <v>0</v>
      </c>
      <c r="AZ443" s="4">
        <v>0</v>
      </c>
      <c r="BA443" s="4">
        <v>0</v>
      </c>
      <c r="BB443" s="13">
        <v>0</v>
      </c>
      <c r="BC443" s="21">
        <f t="shared" ref="BC443:BH443" si="118">AW443/AX$63</f>
        <v>0</v>
      </c>
      <c r="BD443" s="21">
        <f t="shared" si="118"/>
        <v>0</v>
      </c>
      <c r="BE443" s="21">
        <f t="shared" si="118"/>
        <v>0</v>
      </c>
      <c r="BF443" s="21">
        <f t="shared" si="118"/>
        <v>0</v>
      </c>
      <c r="BG443" s="21">
        <f t="shared" si="118"/>
        <v>0</v>
      </c>
      <c r="BH443" s="21" t="e">
        <f t="shared" si="118"/>
        <v>#DIV/0!</v>
      </c>
      <c r="BJ443" s="23" t="e">
        <f>AVERAGE(BF443,BG443,BH443)</f>
        <v>#DIV/0!</v>
      </c>
    </row>
    <row r="444" spans="1:62" x14ac:dyDescent="0.25">
      <c r="A444" s="14"/>
      <c r="B444" s="6"/>
      <c r="C444" s="6" t="s">
        <v>44</v>
      </c>
      <c r="D444" s="7">
        <v>2</v>
      </c>
      <c r="E444" s="7">
        <v>40</v>
      </c>
      <c r="F444" s="7">
        <v>81</v>
      </c>
      <c r="G444" s="7">
        <v>133</v>
      </c>
      <c r="H444" s="7">
        <v>52</v>
      </c>
      <c r="I444" s="7">
        <v>55</v>
      </c>
      <c r="J444" s="7">
        <v>15</v>
      </c>
      <c r="K444" s="7">
        <v>0</v>
      </c>
      <c r="L444" s="7">
        <v>16</v>
      </c>
      <c r="M444" s="7">
        <v>57</v>
      </c>
      <c r="N444" s="7">
        <v>175</v>
      </c>
      <c r="O444" s="7">
        <v>219</v>
      </c>
      <c r="P444" s="7">
        <v>235</v>
      </c>
      <c r="Q444" s="7">
        <v>429</v>
      </c>
      <c r="R444" s="7">
        <v>486</v>
      </c>
      <c r="S444" s="8">
        <v>1050</v>
      </c>
      <c r="T444" s="8">
        <v>1530</v>
      </c>
      <c r="U444" s="8">
        <v>1133</v>
      </c>
      <c r="V444" s="8">
        <v>1443</v>
      </c>
      <c r="W444" s="7">
        <v>569</v>
      </c>
      <c r="X444" s="8">
        <v>1001</v>
      </c>
      <c r="Y444" s="8">
        <v>2291</v>
      </c>
      <c r="Z444" s="8">
        <v>1393</v>
      </c>
      <c r="AA444" s="8">
        <v>1375</v>
      </c>
      <c r="AB444" s="8">
        <v>1830</v>
      </c>
      <c r="AC444" s="8">
        <v>2060</v>
      </c>
      <c r="AD444" s="8">
        <v>1960</v>
      </c>
      <c r="AE444" s="8">
        <v>1892</v>
      </c>
      <c r="AF444" s="8">
        <v>3004</v>
      </c>
      <c r="AG444" s="8">
        <v>2611</v>
      </c>
      <c r="AH444" s="8">
        <v>2741</v>
      </c>
      <c r="AI444" s="8">
        <v>3657</v>
      </c>
      <c r="AJ444" s="8">
        <v>2332</v>
      </c>
      <c r="AK444" s="8">
        <v>2718</v>
      </c>
      <c r="AL444" s="8">
        <v>3809</v>
      </c>
      <c r="AM444" s="8">
        <v>4537</v>
      </c>
      <c r="AN444" s="8">
        <v>4194</v>
      </c>
      <c r="AO444" s="8">
        <v>2839</v>
      </c>
      <c r="AP444" s="8">
        <v>3352</v>
      </c>
      <c r="AQ444" s="8">
        <v>4147</v>
      </c>
      <c r="AR444" s="8">
        <v>3394</v>
      </c>
      <c r="AS444" s="8">
        <v>4157</v>
      </c>
      <c r="AT444" s="8">
        <v>5280</v>
      </c>
      <c r="AU444" s="8">
        <v>4860</v>
      </c>
      <c r="AV444" s="8">
        <v>3115</v>
      </c>
      <c r="AW444" s="8">
        <v>2242</v>
      </c>
      <c r="AX444" s="8">
        <v>4705</v>
      </c>
      <c r="AY444" s="8">
        <v>4914</v>
      </c>
      <c r="AZ444" s="8">
        <v>5295</v>
      </c>
      <c r="BA444" s="8">
        <v>5900</v>
      </c>
      <c r="BB444" s="25">
        <v>4700</v>
      </c>
      <c r="BC444" s="21">
        <f t="shared" ref="BC444:BH444" si="119">AW444/AX$42</f>
        <v>19.162393162393162</v>
      </c>
      <c r="BD444" s="21">
        <f t="shared" si="119"/>
        <v>361.92307692307691</v>
      </c>
      <c r="BE444" s="21">
        <f t="shared" si="119"/>
        <v>111.68181818181819</v>
      </c>
      <c r="BF444" s="21">
        <f t="shared" si="119"/>
        <v>37.2887323943662</v>
      </c>
      <c r="BG444" s="21">
        <f t="shared" si="119"/>
        <v>9.7039473684210531</v>
      </c>
      <c r="BH444" s="21" t="e">
        <f t="shared" si="119"/>
        <v>#DIV/0!</v>
      </c>
      <c r="BI444" s="5"/>
      <c r="BJ444" s="23" t="e">
        <f>AVERAGE(BF444,BG444,BH444)</f>
        <v>#DIV/0!</v>
      </c>
    </row>
    <row r="445" spans="1:62" s="5" customFormat="1" ht="30" x14ac:dyDescent="0.25">
      <c r="A445" s="14"/>
      <c r="B445" s="2"/>
      <c r="C445" s="2" t="s">
        <v>43</v>
      </c>
      <c r="D445" s="4">
        <v>130</v>
      </c>
      <c r="E445" s="4">
        <v>128</v>
      </c>
      <c r="F445" s="4">
        <v>125</v>
      </c>
      <c r="G445" s="4">
        <v>121</v>
      </c>
      <c r="H445" s="4">
        <v>171</v>
      </c>
      <c r="I445" s="4">
        <v>209</v>
      </c>
      <c r="J445" s="4">
        <v>227</v>
      </c>
      <c r="K445" s="4">
        <v>262</v>
      </c>
      <c r="L445" s="4">
        <v>269</v>
      </c>
      <c r="M445" s="4">
        <v>358</v>
      </c>
      <c r="N445" s="4">
        <v>388</v>
      </c>
      <c r="O445" s="4">
        <v>407</v>
      </c>
      <c r="P445" s="4">
        <v>422</v>
      </c>
      <c r="Q445" s="4">
        <v>483</v>
      </c>
      <c r="R445" s="4">
        <v>525</v>
      </c>
      <c r="S445" s="4">
        <v>563</v>
      </c>
      <c r="T445" s="4">
        <v>585</v>
      </c>
      <c r="U445" s="4">
        <v>604</v>
      </c>
      <c r="V445" s="4">
        <v>600</v>
      </c>
      <c r="W445" s="4">
        <v>540</v>
      </c>
      <c r="X445" s="4">
        <v>615</v>
      </c>
      <c r="Y445" s="4">
        <v>620</v>
      </c>
      <c r="Z445" s="4">
        <v>656</v>
      </c>
      <c r="AA445" s="4">
        <v>725</v>
      </c>
      <c r="AB445" s="4">
        <v>740</v>
      </c>
      <c r="AC445" s="4">
        <v>760</v>
      </c>
      <c r="AD445" s="4">
        <v>785</v>
      </c>
      <c r="AE445" s="4">
        <v>820</v>
      </c>
      <c r="AF445" s="4">
        <v>897</v>
      </c>
      <c r="AG445" s="3">
        <v>1006</v>
      </c>
      <c r="AH445" s="3">
        <v>1200</v>
      </c>
      <c r="AI445" s="3">
        <v>1250</v>
      </c>
      <c r="AJ445" s="3">
        <v>1260</v>
      </c>
      <c r="AK445" s="3">
        <v>1360</v>
      </c>
      <c r="AL445" s="3">
        <v>1500</v>
      </c>
      <c r="AM445" s="3">
        <v>1560</v>
      </c>
      <c r="AN445" s="3">
        <v>1651</v>
      </c>
      <c r="AO445" s="3">
        <v>1756</v>
      </c>
      <c r="AP445" s="3">
        <v>1800</v>
      </c>
      <c r="AQ445" s="3">
        <v>1650</v>
      </c>
      <c r="AR445" s="3">
        <v>1750</v>
      </c>
      <c r="AS445" s="3">
        <v>1832</v>
      </c>
      <c r="AT445" s="3">
        <v>1940</v>
      </c>
      <c r="AU445" s="3">
        <v>1980</v>
      </c>
      <c r="AV445" s="3">
        <v>2070</v>
      </c>
      <c r="AW445" s="3">
        <v>2050</v>
      </c>
      <c r="AX445" s="3">
        <v>2030</v>
      </c>
      <c r="AY445" s="3">
        <v>2000</v>
      </c>
      <c r="AZ445" s="3">
        <v>2000</v>
      </c>
      <c r="BA445" s="3">
        <v>2100</v>
      </c>
      <c r="BB445" s="24">
        <v>2200</v>
      </c>
      <c r="BC445" s="20">
        <f t="shared" ref="BC445:BH445" si="120">AW445/AW$25</f>
        <v>1.2238805970149254</v>
      </c>
      <c r="BD445" s="20">
        <f t="shared" si="120"/>
        <v>1.1871345029239766</v>
      </c>
      <c r="BE445" s="20">
        <f t="shared" si="120"/>
        <v>1.1142061281337048</v>
      </c>
      <c r="BF445" s="20">
        <f t="shared" si="120"/>
        <v>1.1560693641618498</v>
      </c>
      <c r="BG445" s="20">
        <f t="shared" si="120"/>
        <v>1.2138728323699421</v>
      </c>
      <c r="BH445" s="20">
        <f t="shared" si="120"/>
        <v>1.25</v>
      </c>
      <c r="BI445"/>
      <c r="BJ445" s="23">
        <f>AVERAGE(BF445,BG445,BH445)</f>
        <v>1.2066473988439306</v>
      </c>
    </row>
    <row r="446" spans="1:62" s="5" customFormat="1" x14ac:dyDescent="0.25">
      <c r="A446" s="14"/>
      <c r="B446" s="6" t="s">
        <v>15</v>
      </c>
      <c r="C446" s="6" t="s">
        <v>7</v>
      </c>
      <c r="D446" s="7">
        <v>32</v>
      </c>
      <c r="E446" s="7">
        <v>35</v>
      </c>
      <c r="F446" s="7">
        <v>32</v>
      </c>
      <c r="G446" s="7">
        <v>37</v>
      </c>
      <c r="H446" s="7">
        <v>38</v>
      </c>
      <c r="I446" s="7">
        <v>47</v>
      </c>
      <c r="J446" s="7">
        <v>59</v>
      </c>
      <c r="K446" s="7">
        <v>66</v>
      </c>
      <c r="L446" s="7">
        <v>63</v>
      </c>
      <c r="M446" s="7">
        <v>71</v>
      </c>
      <c r="N446" s="7">
        <v>66</v>
      </c>
      <c r="O446" s="7">
        <v>80</v>
      </c>
      <c r="P446" s="7">
        <v>74</v>
      </c>
      <c r="Q446" s="7">
        <v>93</v>
      </c>
      <c r="R446" s="7">
        <v>68</v>
      </c>
      <c r="S446" s="7">
        <v>95</v>
      </c>
      <c r="T446" s="7">
        <v>116</v>
      </c>
      <c r="U446" s="7">
        <v>150</v>
      </c>
      <c r="V446" s="7">
        <v>170</v>
      </c>
      <c r="W446" s="7">
        <v>248</v>
      </c>
      <c r="X446" s="7">
        <v>160</v>
      </c>
      <c r="Y446" s="7">
        <v>201</v>
      </c>
      <c r="Z446" s="7">
        <v>154</v>
      </c>
      <c r="AA446" s="7">
        <v>200</v>
      </c>
      <c r="AB446" s="7">
        <v>190</v>
      </c>
      <c r="AC446" s="7">
        <v>166</v>
      </c>
      <c r="AD446" s="7">
        <v>136</v>
      </c>
      <c r="AE446" s="7">
        <v>268</v>
      </c>
      <c r="AF446" s="7">
        <v>259</v>
      </c>
      <c r="AG446" s="7">
        <v>354</v>
      </c>
      <c r="AH446" s="7">
        <v>436</v>
      </c>
      <c r="AI446" s="7">
        <v>533</v>
      </c>
      <c r="AJ446" s="7">
        <v>630</v>
      </c>
      <c r="AK446" s="7">
        <v>745</v>
      </c>
      <c r="AL446" s="7">
        <v>696</v>
      </c>
      <c r="AM446" s="7">
        <v>794</v>
      </c>
      <c r="AN446" s="7">
        <v>696</v>
      </c>
      <c r="AO446" s="7">
        <v>659</v>
      </c>
      <c r="AP446" s="7">
        <v>830</v>
      </c>
      <c r="AQ446" s="7">
        <v>809</v>
      </c>
      <c r="AR446" s="7">
        <v>941</v>
      </c>
      <c r="AS446" s="7">
        <v>967</v>
      </c>
      <c r="AT446" s="7">
        <v>895</v>
      </c>
      <c r="AU446" s="8">
        <v>1139</v>
      </c>
      <c r="AV446" s="8">
        <v>1081</v>
      </c>
      <c r="AW446" s="8">
        <v>1176</v>
      </c>
      <c r="AX446" s="8">
        <v>1189</v>
      </c>
      <c r="AY446" s="8">
        <v>1072</v>
      </c>
      <c r="AZ446" s="8">
        <v>1128</v>
      </c>
      <c r="BA446" s="8">
        <v>1600</v>
      </c>
      <c r="BB446" s="8">
        <v>1500</v>
      </c>
      <c r="BC446" s="15">
        <v>0</v>
      </c>
      <c r="BD446" s="21">
        <f t="shared" ref="BD446:BI448" si="121">AW446/AW572</f>
        <v>1.0539806590964087E-2</v>
      </c>
      <c r="BE446" s="21">
        <f t="shared" si="121"/>
        <v>1.0429092695249456E-2</v>
      </c>
      <c r="BF446" s="21">
        <f t="shared" si="121"/>
        <v>9.4196212820174853E-3</v>
      </c>
      <c r="BG446" s="21">
        <f t="shared" si="121"/>
        <v>8.2376052522036333E-3</v>
      </c>
      <c r="BH446" s="21">
        <f t="shared" si="121"/>
        <v>1.1989059982765726E-2</v>
      </c>
      <c r="BI446" s="21">
        <f t="shared" si="121"/>
        <v>1.222752987593133E-2</v>
      </c>
      <c r="BJ446" s="23">
        <f t="shared" si="109"/>
        <v>1.0818065036966897E-2</v>
      </c>
    </row>
    <row r="447" spans="1:62" x14ac:dyDescent="0.25">
      <c r="A447" s="12"/>
      <c r="B447" s="2"/>
      <c r="C447" s="2" t="s">
        <v>8</v>
      </c>
      <c r="D447" s="4">
        <v>0</v>
      </c>
      <c r="E447" s="4">
        <v>0</v>
      </c>
      <c r="F447" s="4">
        <v>0</v>
      </c>
      <c r="G447" s="4">
        <v>0</v>
      </c>
      <c r="H447" s="4">
        <v>0</v>
      </c>
      <c r="I447" s="4">
        <v>0</v>
      </c>
      <c r="J447" s="4">
        <v>0</v>
      </c>
      <c r="K447" s="4">
        <v>0</v>
      </c>
      <c r="L447" s="4">
        <v>0</v>
      </c>
      <c r="M447" s="4">
        <v>1</v>
      </c>
      <c r="N447" s="4">
        <v>3</v>
      </c>
      <c r="O447" s="4">
        <v>0</v>
      </c>
      <c r="P447" s="4">
        <v>0</v>
      </c>
      <c r="Q447" s="4">
        <v>0</v>
      </c>
      <c r="R447" s="4">
        <v>0</v>
      </c>
      <c r="S447" s="4">
        <v>0</v>
      </c>
      <c r="T447" s="4">
        <v>0</v>
      </c>
      <c r="U447" s="4">
        <v>0</v>
      </c>
      <c r="V447" s="4">
        <v>0</v>
      </c>
      <c r="W447" s="4">
        <v>0</v>
      </c>
      <c r="X447" s="4">
        <v>0</v>
      </c>
      <c r="Y447" s="4">
        <v>0</v>
      </c>
      <c r="Z447" s="4">
        <v>0</v>
      </c>
      <c r="AA447" s="4">
        <v>0</v>
      </c>
      <c r="AB447" s="4">
        <v>0</v>
      </c>
      <c r="AC447" s="4">
        <v>0</v>
      </c>
      <c r="AD447" s="4">
        <v>5</v>
      </c>
      <c r="AE447" s="4">
        <v>4</v>
      </c>
      <c r="AF447" s="4">
        <v>5</v>
      </c>
      <c r="AG447" s="4">
        <v>8</v>
      </c>
      <c r="AH447" s="4">
        <v>30</v>
      </c>
      <c r="AI447" s="4">
        <v>31</v>
      </c>
      <c r="AJ447" s="4">
        <v>47</v>
      </c>
      <c r="AK447" s="4">
        <v>38</v>
      </c>
      <c r="AL447" s="4">
        <v>45</v>
      </c>
      <c r="AM447" s="4">
        <v>61</v>
      </c>
      <c r="AN447" s="4">
        <v>65</v>
      </c>
      <c r="AO447" s="4">
        <v>70</v>
      </c>
      <c r="AP447" s="4">
        <v>68</v>
      </c>
      <c r="AQ447" s="4">
        <v>80</v>
      </c>
      <c r="AR447" s="4">
        <v>68</v>
      </c>
      <c r="AS447" s="4">
        <v>78</v>
      </c>
      <c r="AT447" s="4">
        <v>78</v>
      </c>
      <c r="AU447" s="4">
        <v>81</v>
      </c>
      <c r="AV447" s="4">
        <v>83</v>
      </c>
      <c r="AW447" s="4">
        <v>93</v>
      </c>
      <c r="AX447" s="4">
        <v>112</v>
      </c>
      <c r="AY447" s="4">
        <v>140</v>
      </c>
      <c r="AZ447" s="4">
        <v>147</v>
      </c>
      <c r="BA447" s="4">
        <v>154</v>
      </c>
      <c r="BB447" s="4">
        <v>150</v>
      </c>
      <c r="BC447" s="13">
        <v>0</v>
      </c>
      <c r="BD447" s="20">
        <f t="shared" si="121"/>
        <v>7.9497371457879211E-4</v>
      </c>
      <c r="BE447" s="20">
        <f t="shared" si="121"/>
        <v>1.0015649452269171E-3</v>
      </c>
      <c r="BF447" s="20">
        <f t="shared" si="121"/>
        <v>1.1937040637096912E-3</v>
      </c>
      <c r="BG447" s="20">
        <f t="shared" si="121"/>
        <v>1.0232493387164138E-3</v>
      </c>
      <c r="BH447" s="20">
        <f t="shared" si="121"/>
        <v>1.1340122679508987E-3</v>
      </c>
      <c r="BI447" s="20">
        <f t="shared" si="121"/>
        <v>1.2081477484153129E-3</v>
      </c>
      <c r="BJ447" s="23">
        <f t="shared" si="109"/>
        <v>1.1218031183608751E-3</v>
      </c>
    </row>
    <row r="448" spans="1:62" s="5" customFormat="1" x14ac:dyDescent="0.25">
      <c r="A448" s="14"/>
      <c r="B448" s="6"/>
      <c r="C448" s="6" t="s">
        <v>9</v>
      </c>
      <c r="D448" s="7">
        <v>32</v>
      </c>
      <c r="E448" s="7">
        <v>35</v>
      </c>
      <c r="F448" s="7">
        <v>32</v>
      </c>
      <c r="G448" s="7">
        <v>35</v>
      </c>
      <c r="H448" s="7">
        <v>37</v>
      </c>
      <c r="I448" s="7">
        <v>45</v>
      </c>
      <c r="J448" s="7">
        <v>54</v>
      </c>
      <c r="K448" s="7">
        <v>61</v>
      </c>
      <c r="L448" s="7">
        <v>63</v>
      </c>
      <c r="M448" s="7">
        <v>65</v>
      </c>
      <c r="N448" s="7">
        <v>64</v>
      </c>
      <c r="O448" s="7">
        <v>79</v>
      </c>
      <c r="P448" s="7">
        <v>83</v>
      </c>
      <c r="Q448" s="7">
        <v>83</v>
      </c>
      <c r="R448" s="7">
        <v>81</v>
      </c>
      <c r="S448" s="7">
        <v>85</v>
      </c>
      <c r="T448" s="7">
        <v>105</v>
      </c>
      <c r="U448" s="7">
        <v>145</v>
      </c>
      <c r="V448" s="7">
        <v>175</v>
      </c>
      <c r="W448" s="7">
        <v>180</v>
      </c>
      <c r="X448" s="7">
        <v>190</v>
      </c>
      <c r="Y448" s="7">
        <v>205</v>
      </c>
      <c r="Z448" s="7">
        <v>195</v>
      </c>
      <c r="AA448" s="7">
        <v>195</v>
      </c>
      <c r="AB448" s="7">
        <v>168</v>
      </c>
      <c r="AC448" s="7">
        <v>180</v>
      </c>
      <c r="AD448" s="7">
        <v>126</v>
      </c>
      <c r="AE448" s="7">
        <v>239</v>
      </c>
      <c r="AF448" s="7">
        <v>259</v>
      </c>
      <c r="AG448" s="7">
        <v>361</v>
      </c>
      <c r="AH448" s="7">
        <v>406</v>
      </c>
      <c r="AI448" s="7">
        <v>507</v>
      </c>
      <c r="AJ448" s="7">
        <v>573</v>
      </c>
      <c r="AK448" s="7">
        <v>657</v>
      </c>
      <c r="AL448" s="7">
        <v>701</v>
      </c>
      <c r="AM448" s="7">
        <v>583</v>
      </c>
      <c r="AN448" s="7">
        <v>631</v>
      </c>
      <c r="AO448" s="7">
        <v>639</v>
      </c>
      <c r="AP448" s="7">
        <v>712</v>
      </c>
      <c r="AQ448" s="7">
        <v>729</v>
      </c>
      <c r="AR448" s="7">
        <v>789</v>
      </c>
      <c r="AS448" s="7">
        <v>820</v>
      </c>
      <c r="AT448" s="7">
        <v>810</v>
      </c>
      <c r="AU448" s="7">
        <v>950</v>
      </c>
      <c r="AV448" s="8">
        <v>1000</v>
      </c>
      <c r="AW448" s="8">
        <v>1050</v>
      </c>
      <c r="AX448" s="8">
        <v>1100</v>
      </c>
      <c r="AY448" s="7">
        <v>970</v>
      </c>
      <c r="AZ448" s="8">
        <v>1020</v>
      </c>
      <c r="BA448" s="8">
        <v>1150</v>
      </c>
      <c r="BB448" s="8">
        <v>1500</v>
      </c>
      <c r="BC448" s="15">
        <v>0</v>
      </c>
      <c r="BD448" s="21">
        <f t="shared" si="121"/>
        <v>1.7026299958001793E-3</v>
      </c>
      <c r="BE448" s="21">
        <f t="shared" si="121"/>
        <v>1.7790946672446028E-3</v>
      </c>
      <c r="BF448" s="21">
        <f t="shared" si="121"/>
        <v>1.5816592747195408E-3</v>
      </c>
      <c r="BG448" s="21">
        <f t="shared" si="121"/>
        <v>1.6069192050476167E-3</v>
      </c>
      <c r="BH448" s="21">
        <f t="shared" si="121"/>
        <v>1.7686620763477589E-3</v>
      </c>
      <c r="BI448" s="21">
        <f t="shared" si="121"/>
        <v>2.2700651054672247E-3</v>
      </c>
      <c r="BJ448" s="23">
        <f t="shared" si="109"/>
        <v>1.8818821289542003E-3</v>
      </c>
    </row>
    <row r="449" spans="1:62" x14ac:dyDescent="0.25">
      <c r="A449" s="12" t="s">
        <v>32</v>
      </c>
      <c r="B449" s="2" t="s">
        <v>5</v>
      </c>
      <c r="C449" s="2" t="s">
        <v>6</v>
      </c>
      <c r="D449" s="4">
        <v>750</v>
      </c>
      <c r="E449" s="3">
        <v>1000</v>
      </c>
      <c r="F449" s="4">
        <v>800</v>
      </c>
      <c r="G449" s="4">
        <v>990</v>
      </c>
      <c r="H449" s="3">
        <v>1000</v>
      </c>
      <c r="I449" s="4">
        <v>800</v>
      </c>
      <c r="J449" s="3">
        <v>1000</v>
      </c>
      <c r="K449" s="3">
        <v>1080</v>
      </c>
      <c r="L449" s="3">
        <v>1000</v>
      </c>
      <c r="M449" s="3">
        <v>1000</v>
      </c>
      <c r="N449" s="3">
        <v>1040</v>
      </c>
      <c r="O449" s="3">
        <v>1135</v>
      </c>
      <c r="P449" s="3">
        <v>1030</v>
      </c>
      <c r="Q449" s="3">
        <v>1040</v>
      </c>
      <c r="R449" s="3">
        <v>1200</v>
      </c>
      <c r="S449" s="3">
        <v>1200</v>
      </c>
      <c r="T449" s="3">
        <v>1310</v>
      </c>
      <c r="U449" s="3">
        <v>1265</v>
      </c>
      <c r="V449" s="3">
        <v>1300</v>
      </c>
      <c r="W449" s="3">
        <v>1350</v>
      </c>
      <c r="X449" s="3">
        <v>1240</v>
      </c>
      <c r="Y449" s="3">
        <v>1200</v>
      </c>
      <c r="Z449" s="3">
        <v>1360</v>
      </c>
      <c r="AA449" s="3">
        <v>1480</v>
      </c>
      <c r="AB449" s="3">
        <v>1500</v>
      </c>
      <c r="AC449" s="3">
        <v>1800</v>
      </c>
      <c r="AD449" s="3">
        <v>2300</v>
      </c>
      <c r="AE449" s="3">
        <v>2400</v>
      </c>
      <c r="AF449" s="3">
        <v>2200</v>
      </c>
      <c r="AG449" s="3">
        <v>1900</v>
      </c>
      <c r="AH449" s="3">
        <v>2100</v>
      </c>
      <c r="AI449" s="3">
        <v>2200</v>
      </c>
      <c r="AJ449" s="3">
        <v>2225</v>
      </c>
      <c r="AK449" s="3">
        <v>2500</v>
      </c>
      <c r="AL449" s="3">
        <v>1700</v>
      </c>
      <c r="AM449" s="3">
        <v>1800</v>
      </c>
      <c r="AN449" s="3">
        <v>2000</v>
      </c>
      <c r="AO449" s="3">
        <v>2100</v>
      </c>
      <c r="AP449" s="3">
        <v>2300</v>
      </c>
      <c r="AQ449" s="3">
        <v>2000</v>
      </c>
      <c r="AR449" s="3">
        <v>2100</v>
      </c>
      <c r="AS449" s="3">
        <v>2000</v>
      </c>
      <c r="AT449" s="3">
        <v>2100</v>
      </c>
      <c r="AU449" s="3">
        <v>2500</v>
      </c>
      <c r="AV449" s="3">
        <v>3000</v>
      </c>
      <c r="AW449" s="3">
        <v>3700</v>
      </c>
      <c r="AX449" s="3">
        <v>2800</v>
      </c>
      <c r="AY449" s="3">
        <v>2900</v>
      </c>
      <c r="AZ449" s="3">
        <v>4150</v>
      </c>
      <c r="BA449" s="3">
        <v>4000</v>
      </c>
      <c r="BB449" s="3">
        <v>3600</v>
      </c>
      <c r="BC449" s="13">
        <v>0</v>
      </c>
      <c r="BD449" s="20">
        <f t="shared" ref="BD449:BI464" si="122">AW449/AW547</f>
        <v>5.2898101101138311E-3</v>
      </c>
      <c r="BE449" s="20">
        <f t="shared" si="122"/>
        <v>3.9239262806364051E-3</v>
      </c>
      <c r="BF449" s="20">
        <f t="shared" si="122"/>
        <v>3.6502230412147943E-3</v>
      </c>
      <c r="BG449" s="20">
        <f t="shared" si="122"/>
        <v>5.1951368511712216E-3</v>
      </c>
      <c r="BH449" s="20">
        <f t="shared" si="122"/>
        <v>4.9235192823478295E-3</v>
      </c>
      <c r="BI449" s="20">
        <f t="shared" si="122"/>
        <v>4.4174977084230635E-3</v>
      </c>
      <c r="BJ449" s="23">
        <f t="shared" si="109"/>
        <v>4.8453846139807051E-3</v>
      </c>
    </row>
    <row r="450" spans="1:62" s="5" customFormat="1" x14ac:dyDescent="0.25">
      <c r="A450" s="14"/>
      <c r="B450" s="6"/>
      <c r="C450" s="6" t="s">
        <v>7</v>
      </c>
      <c r="D450" s="7">
        <v>0</v>
      </c>
      <c r="E450" s="7">
        <v>10</v>
      </c>
      <c r="F450" s="7">
        <v>0</v>
      </c>
      <c r="G450" s="7">
        <v>35</v>
      </c>
      <c r="H450" s="7">
        <v>0</v>
      </c>
      <c r="I450" s="7">
        <v>7</v>
      </c>
      <c r="J450" s="7">
        <v>0</v>
      </c>
      <c r="K450" s="7">
        <v>1</v>
      </c>
      <c r="L450" s="7">
        <v>6</v>
      </c>
      <c r="M450" s="7">
        <v>0</v>
      </c>
      <c r="N450" s="7">
        <v>5</v>
      </c>
      <c r="O450" s="7">
        <v>5</v>
      </c>
      <c r="P450" s="7">
        <v>0</v>
      </c>
      <c r="Q450" s="7">
        <v>0</v>
      </c>
      <c r="R450" s="7">
        <v>0</v>
      </c>
      <c r="S450" s="7">
        <v>0</v>
      </c>
      <c r="T450" s="7">
        <v>0</v>
      </c>
      <c r="U450" s="7">
        <v>0</v>
      </c>
      <c r="V450" s="7">
        <v>0</v>
      </c>
      <c r="W450" s="7">
        <v>0</v>
      </c>
      <c r="X450" s="7">
        <v>0</v>
      </c>
      <c r="Y450" s="7">
        <v>51</v>
      </c>
      <c r="Z450" s="7">
        <v>45</v>
      </c>
      <c r="AA450" s="7">
        <v>130</v>
      </c>
      <c r="AB450" s="7">
        <v>175</v>
      </c>
      <c r="AC450" s="7">
        <v>200</v>
      </c>
      <c r="AD450" s="7">
        <v>56</v>
      </c>
      <c r="AE450" s="7">
        <v>200</v>
      </c>
      <c r="AF450" s="7">
        <v>325</v>
      </c>
      <c r="AG450" s="7">
        <v>798</v>
      </c>
      <c r="AH450" s="7">
        <v>115</v>
      </c>
      <c r="AI450" s="7">
        <v>85</v>
      </c>
      <c r="AJ450" s="7">
        <v>160</v>
      </c>
      <c r="AK450" s="7">
        <v>10</v>
      </c>
      <c r="AL450" s="7">
        <v>466</v>
      </c>
      <c r="AM450" s="7">
        <v>748</v>
      </c>
      <c r="AN450" s="7">
        <v>882</v>
      </c>
      <c r="AO450" s="7">
        <v>664</v>
      </c>
      <c r="AP450" s="7">
        <v>800</v>
      </c>
      <c r="AQ450" s="8">
        <v>1250</v>
      </c>
      <c r="AR450" s="7">
        <v>608</v>
      </c>
      <c r="AS450" s="8">
        <v>1192</v>
      </c>
      <c r="AT450" s="8">
        <v>1474</v>
      </c>
      <c r="AU450" s="8">
        <v>1025</v>
      </c>
      <c r="AV450" s="7">
        <v>181</v>
      </c>
      <c r="AW450" s="7">
        <v>67</v>
      </c>
      <c r="AX450" s="8">
        <v>1034</v>
      </c>
      <c r="AY450" s="8">
        <v>1102</v>
      </c>
      <c r="AZ450" s="7">
        <v>499</v>
      </c>
      <c r="BA450" s="7">
        <v>558</v>
      </c>
      <c r="BB450" s="7">
        <v>300</v>
      </c>
      <c r="BC450" s="15">
        <v>0</v>
      </c>
      <c r="BD450" s="21">
        <f t="shared" si="122"/>
        <v>8.3091499863581118E-4</v>
      </c>
      <c r="BE450" s="21">
        <f t="shared" si="122"/>
        <v>1.1416079669662375E-2</v>
      </c>
      <c r="BF450" s="21">
        <f t="shared" si="122"/>
        <v>1.1185886699757402E-2</v>
      </c>
      <c r="BG450" s="21">
        <f t="shared" si="122"/>
        <v>6.0421131655103103E-3</v>
      </c>
      <c r="BH450" s="21">
        <f t="shared" si="122"/>
        <v>6.2109035862959417E-3</v>
      </c>
      <c r="BI450" s="21">
        <f t="shared" si="122"/>
        <v>3.2714305965998933E-3</v>
      </c>
      <c r="BJ450" s="23">
        <f t="shared" si="109"/>
        <v>5.174815782802049E-3</v>
      </c>
    </row>
    <row r="451" spans="1:62" x14ac:dyDescent="0.25">
      <c r="A451" s="12"/>
      <c r="B451" s="2"/>
      <c r="C451" s="2" t="s">
        <v>8</v>
      </c>
      <c r="D451" s="4">
        <v>0</v>
      </c>
      <c r="E451" s="4">
        <v>0</v>
      </c>
      <c r="F451" s="4">
        <v>0</v>
      </c>
      <c r="G451" s="4">
        <v>0</v>
      </c>
      <c r="H451" s="4">
        <v>0</v>
      </c>
      <c r="I451" s="4">
        <v>0</v>
      </c>
      <c r="J451" s="4">
        <v>0</v>
      </c>
      <c r="K451" s="4">
        <v>0</v>
      </c>
      <c r="L451" s="4">
        <v>0</v>
      </c>
      <c r="M451" s="4">
        <v>0</v>
      </c>
      <c r="N451" s="4">
        <v>0</v>
      </c>
      <c r="O451" s="4">
        <v>0</v>
      </c>
      <c r="P451" s="4">
        <v>0</v>
      </c>
      <c r="Q451" s="4">
        <v>0</v>
      </c>
      <c r="R451" s="4">
        <v>0</v>
      </c>
      <c r="S451" s="4">
        <v>0</v>
      </c>
      <c r="T451" s="4">
        <v>0</v>
      </c>
      <c r="U451" s="4">
        <v>0</v>
      </c>
      <c r="V451" s="4">
        <v>0</v>
      </c>
      <c r="W451" s="4">
        <v>2</v>
      </c>
      <c r="X451" s="4">
        <v>0</v>
      </c>
      <c r="Y451" s="4">
        <v>0</v>
      </c>
      <c r="Z451" s="4">
        <v>0</v>
      </c>
      <c r="AA451" s="4">
        <v>0</v>
      </c>
      <c r="AB451" s="4">
        <v>0</v>
      </c>
      <c r="AC451" s="4">
        <v>7</v>
      </c>
      <c r="AD451" s="4">
        <v>6</v>
      </c>
      <c r="AE451" s="4">
        <v>20</v>
      </c>
      <c r="AF451" s="4">
        <v>5</v>
      </c>
      <c r="AG451" s="4">
        <v>13</v>
      </c>
      <c r="AH451" s="4">
        <v>8</v>
      </c>
      <c r="AI451" s="4">
        <v>8</v>
      </c>
      <c r="AJ451" s="4">
        <v>8</v>
      </c>
      <c r="AK451" s="4">
        <v>88</v>
      </c>
      <c r="AL451" s="4">
        <v>36</v>
      </c>
      <c r="AM451" s="4">
        <v>10</v>
      </c>
      <c r="AN451" s="4">
        <v>3</v>
      </c>
      <c r="AO451" s="4">
        <v>1</v>
      </c>
      <c r="AP451" s="4">
        <v>5</v>
      </c>
      <c r="AQ451" s="4">
        <v>3</v>
      </c>
      <c r="AR451" s="4">
        <v>7</v>
      </c>
      <c r="AS451" s="4">
        <v>8</v>
      </c>
      <c r="AT451" s="4">
        <v>9</v>
      </c>
      <c r="AU451" s="4">
        <v>12</v>
      </c>
      <c r="AV451" s="4">
        <v>9</v>
      </c>
      <c r="AW451" s="4">
        <v>312</v>
      </c>
      <c r="AX451" s="4">
        <v>11</v>
      </c>
      <c r="AY451" s="4">
        <v>12</v>
      </c>
      <c r="AZ451" s="4">
        <v>66</v>
      </c>
      <c r="BA451" s="4">
        <v>272</v>
      </c>
      <c r="BB451" s="4">
        <v>50</v>
      </c>
      <c r="BC451" s="13">
        <v>0</v>
      </c>
      <c r="BD451" s="20">
        <f t="shared" si="122"/>
        <v>3.8484310242747188E-3</v>
      </c>
      <c r="BE451" s="20">
        <f t="shared" si="122"/>
        <v>1.1695035988815293E-4</v>
      </c>
      <c r="BF451" s="20">
        <f t="shared" si="122"/>
        <v>1.2166436856192716E-4</v>
      </c>
      <c r="BG451" s="20">
        <f t="shared" si="122"/>
        <v>7.8137023926503843E-4</v>
      </c>
      <c r="BH451" s="20">
        <f t="shared" si="122"/>
        <v>2.8046152418465093E-3</v>
      </c>
      <c r="BI451" s="20">
        <f t="shared" si="122"/>
        <v>5.5067898719120679E-4</v>
      </c>
      <c r="BJ451" s="23">
        <f t="shared" si="109"/>
        <v>1.378888156100918E-3</v>
      </c>
    </row>
    <row r="452" spans="1:62" s="5" customFormat="1" x14ac:dyDescent="0.25">
      <c r="A452" s="14"/>
      <c r="B452" s="6"/>
      <c r="C452" s="6" t="s">
        <v>9</v>
      </c>
      <c r="D452" s="7">
        <v>760</v>
      </c>
      <c r="E452" s="8">
        <v>1005</v>
      </c>
      <c r="F452" s="7">
        <v>795</v>
      </c>
      <c r="G452" s="8">
        <v>1020</v>
      </c>
      <c r="H452" s="7">
        <v>980</v>
      </c>
      <c r="I452" s="7">
        <v>837</v>
      </c>
      <c r="J452" s="8">
        <v>1000</v>
      </c>
      <c r="K452" s="8">
        <v>1001</v>
      </c>
      <c r="L452" s="8">
        <v>1036</v>
      </c>
      <c r="M452" s="8">
        <v>1040</v>
      </c>
      <c r="N452" s="8">
        <v>1065</v>
      </c>
      <c r="O452" s="8">
        <v>1100</v>
      </c>
      <c r="P452" s="8">
        <v>1075</v>
      </c>
      <c r="Q452" s="8">
        <v>1045</v>
      </c>
      <c r="R452" s="8">
        <v>1180</v>
      </c>
      <c r="S452" s="8">
        <v>1190</v>
      </c>
      <c r="T452" s="8">
        <v>1240</v>
      </c>
      <c r="U452" s="8">
        <v>1265</v>
      </c>
      <c r="V452" s="8">
        <v>1300</v>
      </c>
      <c r="W452" s="8">
        <v>1298</v>
      </c>
      <c r="X452" s="8">
        <v>1290</v>
      </c>
      <c r="Y452" s="8">
        <v>1301</v>
      </c>
      <c r="Z452" s="8">
        <v>1305</v>
      </c>
      <c r="AA452" s="8">
        <v>1560</v>
      </c>
      <c r="AB452" s="8">
        <v>1675</v>
      </c>
      <c r="AC452" s="8">
        <v>2043</v>
      </c>
      <c r="AD452" s="8">
        <v>2300</v>
      </c>
      <c r="AE452" s="8">
        <v>2580</v>
      </c>
      <c r="AF452" s="8">
        <v>2520</v>
      </c>
      <c r="AG452" s="8">
        <v>2685</v>
      </c>
      <c r="AH452" s="8">
        <v>2357</v>
      </c>
      <c r="AI452" s="8">
        <v>2277</v>
      </c>
      <c r="AJ452" s="8">
        <v>2327</v>
      </c>
      <c r="AK452" s="8">
        <v>2322</v>
      </c>
      <c r="AL452" s="8">
        <v>2170</v>
      </c>
      <c r="AM452" s="8">
        <v>2528</v>
      </c>
      <c r="AN452" s="8">
        <v>2789</v>
      </c>
      <c r="AO452" s="8">
        <v>2839</v>
      </c>
      <c r="AP452" s="8">
        <v>3150</v>
      </c>
      <c r="AQ452" s="8">
        <v>3150</v>
      </c>
      <c r="AR452" s="8">
        <v>2730</v>
      </c>
      <c r="AS452" s="8">
        <v>3100</v>
      </c>
      <c r="AT452" s="8">
        <v>3200</v>
      </c>
      <c r="AU452" s="8">
        <v>3400</v>
      </c>
      <c r="AV452" s="8">
        <v>3500</v>
      </c>
      <c r="AW452" s="8">
        <v>3500</v>
      </c>
      <c r="AX452" s="8">
        <v>3700</v>
      </c>
      <c r="AY452" s="8">
        <v>3900</v>
      </c>
      <c r="AZ452" s="8">
        <v>4300</v>
      </c>
      <c r="BA452" s="8">
        <v>4300</v>
      </c>
      <c r="BB452" s="8">
        <v>4200</v>
      </c>
      <c r="BC452" s="15">
        <v>0</v>
      </c>
      <c r="BD452" s="21">
        <f t="shared" si="122"/>
        <v>4.957696682451029E-3</v>
      </c>
      <c r="BE452" s="21">
        <f t="shared" si="122"/>
        <v>5.1054763823422267E-3</v>
      </c>
      <c r="BF452" s="21">
        <f t="shared" si="122"/>
        <v>5.0502107491793404E-3</v>
      </c>
      <c r="BG452" s="21">
        <f t="shared" si="122"/>
        <v>5.5117958840984688E-3</v>
      </c>
      <c r="BH452" s="21">
        <f t="shared" si="122"/>
        <v>5.31814240995952E-3</v>
      </c>
      <c r="BI452" s="21">
        <f t="shared" si="122"/>
        <v>5.0046292820859293E-3</v>
      </c>
      <c r="BJ452" s="23">
        <f t="shared" si="109"/>
        <v>5.278189192047973E-3</v>
      </c>
    </row>
    <row r="453" spans="1:62" x14ac:dyDescent="0.25">
      <c r="A453" s="12"/>
      <c r="B453" s="2" t="s">
        <v>10</v>
      </c>
      <c r="C453" s="2" t="s">
        <v>6</v>
      </c>
      <c r="D453" s="4">
        <v>775</v>
      </c>
      <c r="E453" s="4">
        <v>950</v>
      </c>
      <c r="F453" s="3">
        <v>1080</v>
      </c>
      <c r="G453" s="3">
        <v>1185</v>
      </c>
      <c r="H453" s="3">
        <v>1495</v>
      </c>
      <c r="I453" s="3">
        <v>1495</v>
      </c>
      <c r="J453" s="3">
        <v>1755</v>
      </c>
      <c r="K453" s="3">
        <v>1820</v>
      </c>
      <c r="L453" s="3">
        <v>2000</v>
      </c>
      <c r="M453" s="3">
        <v>1835</v>
      </c>
      <c r="N453" s="3">
        <v>1835</v>
      </c>
      <c r="O453" s="3">
        <v>2400</v>
      </c>
      <c r="P453" s="3">
        <v>2495</v>
      </c>
      <c r="Q453" s="3">
        <v>2355</v>
      </c>
      <c r="R453" s="3">
        <v>2755</v>
      </c>
      <c r="S453" s="3">
        <v>2205</v>
      </c>
      <c r="T453" s="3">
        <v>2185</v>
      </c>
      <c r="U453" s="3">
        <v>2640</v>
      </c>
      <c r="V453" s="3">
        <v>2182</v>
      </c>
      <c r="W453" s="3">
        <v>2186</v>
      </c>
      <c r="X453" s="3">
        <v>2296</v>
      </c>
      <c r="Y453" s="3">
        <v>2241</v>
      </c>
      <c r="Z453" s="3">
        <v>2246</v>
      </c>
      <c r="AA453" s="3">
        <v>2398</v>
      </c>
      <c r="AB453" s="3">
        <v>2664</v>
      </c>
      <c r="AC453" s="3">
        <v>2379</v>
      </c>
      <c r="AD453" s="3">
        <v>2380</v>
      </c>
      <c r="AE453" s="3">
        <v>2465</v>
      </c>
      <c r="AF453" s="3">
        <v>2985</v>
      </c>
      <c r="AG453" s="3">
        <v>2835</v>
      </c>
      <c r="AH453" s="3">
        <v>3007</v>
      </c>
      <c r="AI453" s="3">
        <v>2578</v>
      </c>
      <c r="AJ453" s="3">
        <v>2635</v>
      </c>
      <c r="AK453" s="3">
        <v>2766</v>
      </c>
      <c r="AL453" s="3">
        <v>2886</v>
      </c>
      <c r="AM453" s="3">
        <v>3911</v>
      </c>
      <c r="AN453" s="3">
        <v>3600</v>
      </c>
      <c r="AO453" s="3">
        <v>3651</v>
      </c>
      <c r="AP453" s="3">
        <v>3860</v>
      </c>
      <c r="AQ453" s="3">
        <v>3634</v>
      </c>
      <c r="AR453" s="3">
        <v>3600</v>
      </c>
      <c r="AS453" s="3">
        <v>3975</v>
      </c>
      <c r="AT453" s="3">
        <v>4179</v>
      </c>
      <c r="AU453" s="3">
        <v>4100</v>
      </c>
      <c r="AV453" s="3">
        <v>4150</v>
      </c>
      <c r="AW453" s="3">
        <v>3550</v>
      </c>
      <c r="AX453" s="3">
        <v>3800</v>
      </c>
      <c r="AY453" s="3">
        <v>3100</v>
      </c>
      <c r="AZ453" s="3">
        <v>1930</v>
      </c>
      <c r="BA453" s="3">
        <v>1750</v>
      </c>
      <c r="BB453" s="3">
        <v>2100</v>
      </c>
      <c r="BC453" s="13">
        <v>0</v>
      </c>
      <c r="BD453" s="20">
        <f t="shared" si="122"/>
        <v>3.0489637817457251E-2</v>
      </c>
      <c r="BE453" s="20">
        <f t="shared" si="122"/>
        <v>3.1195612911699998E-2</v>
      </c>
      <c r="BF453" s="20">
        <f t="shared" si="122"/>
        <v>2.5901757141782878E-2</v>
      </c>
      <c r="BG453" s="20">
        <f t="shared" si="122"/>
        <v>1.8020205038187895E-2</v>
      </c>
      <c r="BH453" s="20">
        <f t="shared" si="122"/>
        <v>1.7267919166403536E-2</v>
      </c>
      <c r="BI453" s="20">
        <f t="shared" si="122"/>
        <v>1.8335326936341489E-2</v>
      </c>
      <c r="BJ453" s="23">
        <f t="shared" si="109"/>
        <v>1.7874483713644307E-2</v>
      </c>
    </row>
    <row r="454" spans="1:62" s="5" customFormat="1" x14ac:dyDescent="0.25">
      <c r="A454" s="14"/>
      <c r="B454" s="6"/>
      <c r="C454" s="6" t="s">
        <v>7</v>
      </c>
      <c r="D454" s="7">
        <v>0</v>
      </c>
      <c r="E454" s="7">
        <v>0</v>
      </c>
      <c r="F454" s="7">
        <v>0</v>
      </c>
      <c r="G454" s="7">
        <v>0</v>
      </c>
      <c r="H454" s="7">
        <v>0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0</v>
      </c>
      <c r="O454" s="7">
        <v>0</v>
      </c>
      <c r="P454" s="7">
        <v>0</v>
      </c>
      <c r="Q454" s="7">
        <v>0</v>
      </c>
      <c r="R454" s="7">
        <v>0</v>
      </c>
      <c r="S454" s="7">
        <v>0</v>
      </c>
      <c r="T454" s="7">
        <v>0</v>
      </c>
      <c r="U454" s="7">
        <v>0</v>
      </c>
      <c r="V454" s="7">
        <v>0</v>
      </c>
      <c r="W454" s="7">
        <v>0</v>
      </c>
      <c r="X454" s="7">
        <v>0</v>
      </c>
      <c r="Y454" s="7">
        <v>0</v>
      </c>
      <c r="Z454" s="7">
        <v>0</v>
      </c>
      <c r="AA454" s="7">
        <v>0</v>
      </c>
      <c r="AB454" s="7">
        <v>0</v>
      </c>
      <c r="AC454" s="7">
        <v>51</v>
      </c>
      <c r="AD454" s="7">
        <v>427</v>
      </c>
      <c r="AE454" s="7">
        <v>300</v>
      </c>
      <c r="AF454" s="7">
        <v>202</v>
      </c>
      <c r="AG454" s="7">
        <v>352</v>
      </c>
      <c r="AH454" s="7">
        <v>209</v>
      </c>
      <c r="AI454" s="7">
        <v>420</v>
      </c>
      <c r="AJ454" s="8">
        <v>1070</v>
      </c>
      <c r="AK454" s="7">
        <v>545</v>
      </c>
      <c r="AL454" s="8">
        <v>1083</v>
      </c>
      <c r="AM454" s="7">
        <v>519</v>
      </c>
      <c r="AN454" s="8">
        <v>1355</v>
      </c>
      <c r="AO454" s="8">
        <v>1450</v>
      </c>
      <c r="AP454" s="8">
        <v>1139</v>
      </c>
      <c r="AQ454" s="8">
        <v>2411</v>
      </c>
      <c r="AR454" s="8">
        <v>1758</v>
      </c>
      <c r="AS454" s="8">
        <v>2977</v>
      </c>
      <c r="AT454" s="8">
        <v>2265</v>
      </c>
      <c r="AU454" s="8">
        <v>2370</v>
      </c>
      <c r="AV454" s="8">
        <v>3414</v>
      </c>
      <c r="AW454" s="8">
        <v>3501</v>
      </c>
      <c r="AX454" s="8">
        <v>4029</v>
      </c>
      <c r="AY454" s="8">
        <v>3267</v>
      </c>
      <c r="AZ454" s="8">
        <v>2919</v>
      </c>
      <c r="BA454" s="8">
        <v>4394</v>
      </c>
      <c r="BB454" s="8">
        <v>3150</v>
      </c>
      <c r="BC454" s="15">
        <v>0</v>
      </c>
      <c r="BD454" s="21">
        <f t="shared" si="122"/>
        <v>7.8197940631212173E-2</v>
      </c>
      <c r="BE454" s="21">
        <f t="shared" si="122"/>
        <v>0.10594546267322306</v>
      </c>
      <c r="BF454" s="21">
        <f t="shared" si="122"/>
        <v>8.3857388536666758E-2</v>
      </c>
      <c r="BG454" s="21">
        <f t="shared" si="122"/>
        <v>9.6838403609461568E-2</v>
      </c>
      <c r="BH454" s="21">
        <f t="shared" si="122"/>
        <v>0.1215020462338237</v>
      </c>
      <c r="BI454" s="21">
        <f t="shared" si="122"/>
        <v>8.2616449853126314E-2</v>
      </c>
      <c r="BJ454" s="23">
        <f t="shared" si="109"/>
        <v>0.10031896656547053</v>
      </c>
    </row>
    <row r="455" spans="1:62" x14ac:dyDescent="0.25">
      <c r="A455" s="12"/>
      <c r="B455" s="2"/>
      <c r="C455" s="2" t="s">
        <v>8</v>
      </c>
      <c r="D455" s="4">
        <v>286</v>
      </c>
      <c r="E455" s="4">
        <v>458</v>
      </c>
      <c r="F455" s="4">
        <v>568</v>
      </c>
      <c r="G455" s="4">
        <v>611</v>
      </c>
      <c r="H455" s="4">
        <v>805</v>
      </c>
      <c r="I455" s="4">
        <v>959</v>
      </c>
      <c r="J455" s="3">
        <v>1093</v>
      </c>
      <c r="K455" s="3">
        <v>1083</v>
      </c>
      <c r="L455" s="4">
        <v>993</v>
      </c>
      <c r="M455" s="3">
        <v>1186</v>
      </c>
      <c r="N455" s="3">
        <v>1124</v>
      </c>
      <c r="O455" s="3">
        <v>1539</v>
      </c>
      <c r="P455" s="3">
        <v>1489</v>
      </c>
      <c r="Q455" s="3">
        <v>1000</v>
      </c>
      <c r="R455" s="4">
        <v>583</v>
      </c>
      <c r="S455" s="3">
        <v>2163</v>
      </c>
      <c r="T455" s="4">
        <v>580</v>
      </c>
      <c r="U455" s="3">
        <v>1218</v>
      </c>
      <c r="V455" s="4">
        <v>962</v>
      </c>
      <c r="W455" s="4">
        <v>617</v>
      </c>
      <c r="X455" s="3">
        <v>1028</v>
      </c>
      <c r="Y455" s="4">
        <v>956</v>
      </c>
      <c r="Z455" s="4">
        <v>654</v>
      </c>
      <c r="AA455" s="4">
        <v>499</v>
      </c>
      <c r="AB455" s="4">
        <v>684</v>
      </c>
      <c r="AC455" s="4">
        <v>322</v>
      </c>
      <c r="AD455" s="4">
        <v>510</v>
      </c>
      <c r="AE455" s="4">
        <v>197</v>
      </c>
      <c r="AF455" s="4">
        <v>666</v>
      </c>
      <c r="AG455" s="4">
        <v>205</v>
      </c>
      <c r="AH455" s="4">
        <v>753</v>
      </c>
      <c r="AI455" s="4">
        <v>289</v>
      </c>
      <c r="AJ455" s="4">
        <v>269</v>
      </c>
      <c r="AK455" s="4">
        <v>500</v>
      </c>
      <c r="AL455" s="4">
        <v>9</v>
      </c>
      <c r="AM455" s="4">
        <v>266</v>
      </c>
      <c r="AN455" s="4">
        <v>207</v>
      </c>
      <c r="AO455" s="4">
        <v>100</v>
      </c>
      <c r="AP455" s="4">
        <v>394</v>
      </c>
      <c r="AQ455" s="4">
        <v>207</v>
      </c>
      <c r="AR455" s="4">
        <v>127</v>
      </c>
      <c r="AS455" s="4">
        <v>133</v>
      </c>
      <c r="AT455" s="4">
        <v>313</v>
      </c>
      <c r="AU455" s="4">
        <v>357</v>
      </c>
      <c r="AV455" s="4">
        <v>152</v>
      </c>
      <c r="AW455" s="4">
        <v>216</v>
      </c>
      <c r="AX455" s="4">
        <v>303</v>
      </c>
      <c r="AY455" s="4">
        <v>370</v>
      </c>
      <c r="AZ455" s="4">
        <v>136</v>
      </c>
      <c r="BA455" s="4">
        <v>150</v>
      </c>
      <c r="BB455" s="4">
        <v>150</v>
      </c>
      <c r="BC455" s="13">
        <v>0</v>
      </c>
      <c r="BD455" s="20">
        <f t="shared" si="122"/>
        <v>4.8156240246131892E-3</v>
      </c>
      <c r="BE455" s="20">
        <f t="shared" si="122"/>
        <v>8.0851745116874794E-3</v>
      </c>
      <c r="BF455" s="20">
        <f t="shared" si="122"/>
        <v>9.4859633380335855E-3</v>
      </c>
      <c r="BG455" s="20">
        <f t="shared" si="122"/>
        <v>4.5235323465824045E-3</v>
      </c>
      <c r="BH455" s="20">
        <f t="shared" si="122"/>
        <v>4.2158516020236085E-3</v>
      </c>
      <c r="BI455" s="20">
        <f t="shared" si="122"/>
        <v>3.9339103068450039E-3</v>
      </c>
      <c r="BJ455" s="23">
        <f t="shared" si="109"/>
        <v>4.224431418483672E-3</v>
      </c>
    </row>
    <row r="456" spans="1:62" s="5" customFormat="1" x14ac:dyDescent="0.25">
      <c r="A456" s="14"/>
      <c r="B456" s="6"/>
      <c r="C456" s="6" t="s">
        <v>9</v>
      </c>
      <c r="D456" s="7">
        <v>494</v>
      </c>
      <c r="E456" s="7">
        <v>492</v>
      </c>
      <c r="F456" s="7">
        <v>496</v>
      </c>
      <c r="G456" s="7">
        <v>539</v>
      </c>
      <c r="H456" s="7">
        <v>584</v>
      </c>
      <c r="I456" s="7">
        <v>629</v>
      </c>
      <c r="J456" s="7">
        <v>674</v>
      </c>
      <c r="K456" s="7">
        <v>719</v>
      </c>
      <c r="L456" s="7">
        <v>774</v>
      </c>
      <c r="M456" s="7">
        <v>794</v>
      </c>
      <c r="N456" s="7">
        <v>819</v>
      </c>
      <c r="O456" s="7">
        <v>839</v>
      </c>
      <c r="P456" s="7">
        <v>949</v>
      </c>
      <c r="Q456" s="8">
        <v>1044</v>
      </c>
      <c r="R456" s="8">
        <v>1137</v>
      </c>
      <c r="S456" s="8">
        <v>1376</v>
      </c>
      <c r="T456" s="8">
        <v>1510</v>
      </c>
      <c r="U456" s="8">
        <v>1286</v>
      </c>
      <c r="V456" s="8">
        <v>1440</v>
      </c>
      <c r="W456" s="8">
        <v>1222</v>
      </c>
      <c r="X456" s="8">
        <v>1406</v>
      </c>
      <c r="Y456" s="8">
        <v>1451</v>
      </c>
      <c r="Z456" s="8">
        <v>1649</v>
      </c>
      <c r="AA456" s="8">
        <v>1775</v>
      </c>
      <c r="AB456" s="8">
        <v>1906</v>
      </c>
      <c r="AC456" s="8">
        <v>2095</v>
      </c>
      <c r="AD456" s="8">
        <v>2251</v>
      </c>
      <c r="AE456" s="8">
        <v>2618</v>
      </c>
      <c r="AF456" s="8">
        <v>2664</v>
      </c>
      <c r="AG456" s="8">
        <v>2756</v>
      </c>
      <c r="AH456" s="8">
        <v>2514</v>
      </c>
      <c r="AI456" s="8">
        <v>2641</v>
      </c>
      <c r="AJ456" s="8">
        <v>2875</v>
      </c>
      <c r="AK456" s="8">
        <v>3215</v>
      </c>
      <c r="AL456" s="8">
        <v>3904</v>
      </c>
      <c r="AM456" s="8">
        <v>4363</v>
      </c>
      <c r="AN456" s="8">
        <v>4735</v>
      </c>
      <c r="AO456" s="8">
        <v>5000</v>
      </c>
      <c r="AP456" s="8">
        <v>4600</v>
      </c>
      <c r="AQ456" s="8">
        <v>5600</v>
      </c>
      <c r="AR456" s="8">
        <v>5167</v>
      </c>
      <c r="AS456" s="8">
        <v>6150</v>
      </c>
      <c r="AT456" s="8">
        <v>6300</v>
      </c>
      <c r="AU456" s="8">
        <v>6000</v>
      </c>
      <c r="AV456" s="8">
        <v>7100</v>
      </c>
      <c r="AW456" s="8">
        <v>6900</v>
      </c>
      <c r="AX456" s="8">
        <v>7204</v>
      </c>
      <c r="AY456" s="8">
        <v>6090</v>
      </c>
      <c r="AZ456" s="8">
        <v>5013</v>
      </c>
      <c r="BA456" s="8">
        <v>5720</v>
      </c>
      <c r="BB456" s="8">
        <v>5820</v>
      </c>
      <c r="BC456" s="15">
        <v>0</v>
      </c>
      <c r="BD456" s="21">
        <f t="shared" si="122"/>
        <v>5.9980180462108172E-2</v>
      </c>
      <c r="BE456" s="21">
        <f t="shared" si="122"/>
        <v>5.9055957240994869E-2</v>
      </c>
      <c r="BF456" s="21">
        <f t="shared" si="122"/>
        <v>5.0257891479265522E-2</v>
      </c>
      <c r="BG456" s="21">
        <f t="shared" si="122"/>
        <v>4.6679889376204708E-2</v>
      </c>
      <c r="BH456" s="21">
        <f t="shared" si="122"/>
        <v>4.8290010215194468E-2</v>
      </c>
      <c r="BI456" s="21">
        <f t="shared" si="122"/>
        <v>4.9755071683208946E-2</v>
      </c>
      <c r="BJ456" s="23">
        <f t="shared" si="109"/>
        <v>4.8241657091536043E-2</v>
      </c>
    </row>
    <row r="457" spans="1:62" x14ac:dyDescent="0.25">
      <c r="A457" s="12"/>
      <c r="B457" s="2" t="s">
        <v>11</v>
      </c>
      <c r="C457" s="2" t="s">
        <v>6</v>
      </c>
      <c r="D457" s="4">
        <v>0</v>
      </c>
      <c r="E457" s="4">
        <v>0</v>
      </c>
      <c r="F457" s="4">
        <v>0</v>
      </c>
      <c r="G457" s="4">
        <v>0</v>
      </c>
      <c r="H457" s="4">
        <v>5</v>
      </c>
      <c r="I457" s="4">
        <v>5</v>
      </c>
      <c r="J457" s="4">
        <v>5</v>
      </c>
      <c r="K457" s="4">
        <v>6</v>
      </c>
      <c r="L457" s="4">
        <v>8</v>
      </c>
      <c r="M457" s="4">
        <v>11</v>
      </c>
      <c r="N457" s="4">
        <v>12</v>
      </c>
      <c r="O457" s="4">
        <v>11</v>
      </c>
      <c r="P457" s="4">
        <v>13</v>
      </c>
      <c r="Q457" s="4">
        <v>7</v>
      </c>
      <c r="R457" s="4">
        <v>9</v>
      </c>
      <c r="S457" s="4">
        <v>7</v>
      </c>
      <c r="T457" s="4">
        <v>8</v>
      </c>
      <c r="U457" s="4">
        <v>6</v>
      </c>
      <c r="V457" s="4">
        <v>3</v>
      </c>
      <c r="W457" s="4">
        <v>3</v>
      </c>
      <c r="X457" s="4">
        <v>2</v>
      </c>
      <c r="Y457" s="4">
        <v>15</v>
      </c>
      <c r="Z457" s="4">
        <v>36</v>
      </c>
      <c r="AA457" s="4">
        <v>46</v>
      </c>
      <c r="AB457" s="4">
        <v>60</v>
      </c>
      <c r="AC457" s="4">
        <v>75</v>
      </c>
      <c r="AD457" s="4">
        <v>120</v>
      </c>
      <c r="AE457" s="4">
        <v>120</v>
      </c>
      <c r="AF457" s="4">
        <v>70</v>
      </c>
      <c r="AG457" s="4">
        <v>120</v>
      </c>
      <c r="AH457" s="4">
        <v>120</v>
      </c>
      <c r="AI457" s="4">
        <v>90</v>
      </c>
      <c r="AJ457" s="4">
        <v>90</v>
      </c>
      <c r="AK457" s="4">
        <v>70</v>
      </c>
      <c r="AL457" s="4">
        <v>90</v>
      </c>
      <c r="AM457" s="4">
        <v>75</v>
      </c>
      <c r="AN457" s="4">
        <v>65</v>
      </c>
      <c r="AO457" s="4">
        <v>40</v>
      </c>
      <c r="AP457" s="4">
        <v>60</v>
      </c>
      <c r="AQ457" s="4">
        <v>60</v>
      </c>
      <c r="AR457" s="4">
        <v>40</v>
      </c>
      <c r="AS457" s="4">
        <v>45</v>
      </c>
      <c r="AT457" s="4">
        <v>95</v>
      </c>
      <c r="AU457" s="4">
        <v>45</v>
      </c>
      <c r="AV457" s="4">
        <v>25</v>
      </c>
      <c r="AW457" s="4">
        <v>25</v>
      </c>
      <c r="AX457" s="4">
        <v>25</v>
      </c>
      <c r="AY457" s="4">
        <v>25</v>
      </c>
      <c r="AZ457" s="4">
        <v>30</v>
      </c>
      <c r="BA457" s="4">
        <v>40</v>
      </c>
      <c r="BB457" s="4">
        <v>60</v>
      </c>
      <c r="BC457" s="13">
        <v>0</v>
      </c>
      <c r="BD457" s="20">
        <f t="shared" si="122"/>
        <v>1.1329390705367866E-4</v>
      </c>
      <c r="BE457" s="20">
        <f t="shared" si="122"/>
        <v>1.0582772093653299E-4</v>
      </c>
      <c r="BF457" s="20">
        <f t="shared" si="122"/>
        <v>1.1343012704174228E-4</v>
      </c>
      <c r="BG457" s="20">
        <f t="shared" si="122"/>
        <v>1.4154148109005814E-4</v>
      </c>
      <c r="BH457" s="20">
        <f t="shared" si="122"/>
        <v>1.5371490496576002E-4</v>
      </c>
      <c r="BI457" s="20">
        <f t="shared" si="122"/>
        <v>2.2990972211578255E-4</v>
      </c>
      <c r="BJ457" s="23">
        <f t="shared" si="109"/>
        <v>1.7505536939053357E-4</v>
      </c>
    </row>
    <row r="458" spans="1:62" s="5" customFormat="1" x14ac:dyDescent="0.25">
      <c r="A458" s="14"/>
      <c r="B458" s="6"/>
      <c r="C458" s="6" t="s">
        <v>7</v>
      </c>
      <c r="D458" s="7">
        <v>0</v>
      </c>
      <c r="E458" s="7">
        <v>0</v>
      </c>
      <c r="F458" s="7">
        <v>0</v>
      </c>
      <c r="G458" s="7">
        <v>0</v>
      </c>
      <c r="H458" s="7">
        <v>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  <c r="Q458" s="7">
        <v>0</v>
      </c>
      <c r="R458" s="7">
        <v>0</v>
      </c>
      <c r="S458" s="7">
        <v>0</v>
      </c>
      <c r="T458" s="7">
        <v>0</v>
      </c>
      <c r="U458" s="7">
        <v>0</v>
      </c>
      <c r="V458" s="7">
        <v>0</v>
      </c>
      <c r="W458" s="7">
        <v>0</v>
      </c>
      <c r="X458" s="7">
        <v>4</v>
      </c>
      <c r="Y458" s="7">
        <v>0</v>
      </c>
      <c r="Z458" s="7">
        <v>2</v>
      </c>
      <c r="AA458" s="7">
        <v>3</v>
      </c>
      <c r="AB458" s="7">
        <v>82</v>
      </c>
      <c r="AC458" s="7">
        <v>30</v>
      </c>
      <c r="AD458" s="7">
        <v>0</v>
      </c>
      <c r="AE458" s="7">
        <v>0</v>
      </c>
      <c r="AF458" s="7">
        <v>20</v>
      </c>
      <c r="AG458" s="7">
        <v>0</v>
      </c>
      <c r="AH458" s="7">
        <v>2</v>
      </c>
      <c r="AI458" s="7">
        <v>17</v>
      </c>
      <c r="AJ458" s="7">
        <v>64</v>
      </c>
      <c r="AK458" s="7">
        <v>63</v>
      </c>
      <c r="AL458" s="7">
        <v>170</v>
      </c>
      <c r="AM458" s="7">
        <v>180</v>
      </c>
      <c r="AN458" s="7">
        <v>225</v>
      </c>
      <c r="AO458" s="7">
        <v>278</v>
      </c>
      <c r="AP458" s="7">
        <v>335</v>
      </c>
      <c r="AQ458" s="7">
        <v>313</v>
      </c>
      <c r="AR458" s="7">
        <v>358</v>
      </c>
      <c r="AS458" s="7">
        <v>558</v>
      </c>
      <c r="AT458" s="7">
        <v>772</v>
      </c>
      <c r="AU458" s="7">
        <v>603</v>
      </c>
      <c r="AV458" s="7">
        <v>858</v>
      </c>
      <c r="AW458" s="8">
        <v>1078</v>
      </c>
      <c r="AX458" s="8">
        <v>1268</v>
      </c>
      <c r="AY458" s="8">
        <v>1277</v>
      </c>
      <c r="AZ458" s="8">
        <v>1007</v>
      </c>
      <c r="BA458" s="8">
        <v>1860</v>
      </c>
      <c r="BB458" s="8">
        <v>1100</v>
      </c>
      <c r="BC458" s="15">
        <v>0</v>
      </c>
      <c r="BD458" s="21">
        <f t="shared" si="122"/>
        <v>1.6809867610597391E-2</v>
      </c>
      <c r="BE458" s="21">
        <f t="shared" si="122"/>
        <v>1.8360048072050158E-2</v>
      </c>
      <c r="BF458" s="21">
        <f t="shared" si="122"/>
        <v>1.6348529656514448E-2</v>
      </c>
      <c r="BG458" s="21">
        <f t="shared" si="122"/>
        <v>1.3014371381306865E-2</v>
      </c>
      <c r="BH458" s="21">
        <f t="shared" si="122"/>
        <v>2.144957619788964E-2</v>
      </c>
      <c r="BI458" s="21">
        <f t="shared" si="122"/>
        <v>1.1534025374855825E-2</v>
      </c>
      <c r="BJ458" s="23">
        <f t="shared" si="109"/>
        <v>1.5332657651350777E-2</v>
      </c>
    </row>
    <row r="459" spans="1:62" x14ac:dyDescent="0.25">
      <c r="A459" s="12"/>
      <c r="B459" s="2"/>
      <c r="C459" s="2" t="s">
        <v>8</v>
      </c>
      <c r="D459" s="4">
        <v>0</v>
      </c>
      <c r="E459" s="4">
        <v>0</v>
      </c>
      <c r="F459" s="4">
        <v>0</v>
      </c>
      <c r="G459" s="4">
        <v>0</v>
      </c>
      <c r="H459" s="4">
        <v>1</v>
      </c>
      <c r="I459" s="4">
        <v>0</v>
      </c>
      <c r="J459" s="4">
        <v>0</v>
      </c>
      <c r="K459" s="4">
        <v>0</v>
      </c>
      <c r="L459" s="4">
        <v>0</v>
      </c>
      <c r="M459" s="4">
        <v>0</v>
      </c>
      <c r="N459" s="4">
        <v>0</v>
      </c>
      <c r="O459" s="4">
        <v>0</v>
      </c>
      <c r="P459" s="4">
        <v>0</v>
      </c>
      <c r="Q459" s="4">
        <v>0</v>
      </c>
      <c r="R459" s="4">
        <v>0</v>
      </c>
      <c r="S459" s="4">
        <v>0</v>
      </c>
      <c r="T459" s="4">
        <v>0</v>
      </c>
      <c r="U459" s="4">
        <v>0</v>
      </c>
      <c r="V459" s="4">
        <v>0</v>
      </c>
      <c r="W459" s="4">
        <v>0</v>
      </c>
      <c r="X459" s="4">
        <v>0</v>
      </c>
      <c r="Y459" s="4">
        <v>0</v>
      </c>
      <c r="Z459" s="4">
        <v>0</v>
      </c>
      <c r="AA459" s="4">
        <v>0</v>
      </c>
      <c r="AB459" s="4">
        <v>0</v>
      </c>
      <c r="AC459" s="4">
        <v>0</v>
      </c>
      <c r="AD459" s="4">
        <v>0</v>
      </c>
      <c r="AE459" s="4">
        <v>0</v>
      </c>
      <c r="AF459" s="4">
        <v>0</v>
      </c>
      <c r="AG459" s="4">
        <v>0</v>
      </c>
      <c r="AH459" s="4">
        <v>0</v>
      </c>
      <c r="AI459" s="4">
        <v>0</v>
      </c>
      <c r="AJ459" s="4">
        <v>0</v>
      </c>
      <c r="AK459" s="4">
        <v>0</v>
      </c>
      <c r="AL459" s="4">
        <v>0</v>
      </c>
      <c r="AM459" s="4">
        <v>0</v>
      </c>
      <c r="AN459" s="4">
        <v>0</v>
      </c>
      <c r="AO459" s="4">
        <v>0</v>
      </c>
      <c r="AP459" s="4">
        <v>0</v>
      </c>
      <c r="AQ459" s="4">
        <v>0</v>
      </c>
      <c r="AR459" s="4">
        <v>0</v>
      </c>
      <c r="AS459" s="4">
        <v>0</v>
      </c>
      <c r="AT459" s="4">
        <v>0</v>
      </c>
      <c r="AU459" s="4">
        <v>1</v>
      </c>
      <c r="AV459" s="4">
        <v>0</v>
      </c>
      <c r="AW459" s="4">
        <v>0</v>
      </c>
      <c r="AX459" s="4">
        <v>0</v>
      </c>
      <c r="AY459" s="4">
        <v>0</v>
      </c>
      <c r="AZ459" s="4">
        <v>0</v>
      </c>
      <c r="BA459" s="4">
        <v>0</v>
      </c>
      <c r="BB459" s="4">
        <v>0</v>
      </c>
      <c r="BC459" s="13">
        <v>0</v>
      </c>
      <c r="BD459" s="20">
        <f t="shared" si="122"/>
        <v>0</v>
      </c>
      <c r="BE459" s="20">
        <f t="shared" si="122"/>
        <v>0</v>
      </c>
      <c r="BF459" s="20">
        <f t="shared" si="122"/>
        <v>0</v>
      </c>
      <c r="BG459" s="20">
        <f t="shared" si="122"/>
        <v>0</v>
      </c>
      <c r="BH459" s="20">
        <f t="shared" si="122"/>
        <v>0</v>
      </c>
      <c r="BI459" s="20">
        <f t="shared" si="122"/>
        <v>0</v>
      </c>
      <c r="BJ459" s="23">
        <f t="shared" si="109"/>
        <v>0</v>
      </c>
    </row>
    <row r="460" spans="1:62" s="5" customFormat="1" x14ac:dyDescent="0.25">
      <c r="A460" s="14"/>
      <c r="B460" s="6"/>
      <c r="C460" s="6" t="s">
        <v>9</v>
      </c>
      <c r="D460" s="7">
        <v>0</v>
      </c>
      <c r="E460" s="7">
        <v>0</v>
      </c>
      <c r="F460" s="7">
        <v>0</v>
      </c>
      <c r="G460" s="7">
        <v>0</v>
      </c>
      <c r="H460" s="7">
        <v>4</v>
      </c>
      <c r="I460" s="7">
        <v>5</v>
      </c>
      <c r="J460" s="7">
        <v>5</v>
      </c>
      <c r="K460" s="7">
        <v>6</v>
      </c>
      <c r="L460" s="7">
        <v>8</v>
      </c>
      <c r="M460" s="7">
        <v>11</v>
      </c>
      <c r="N460" s="7">
        <v>12</v>
      </c>
      <c r="O460" s="7">
        <v>11</v>
      </c>
      <c r="P460" s="7">
        <v>13</v>
      </c>
      <c r="Q460" s="7">
        <v>7</v>
      </c>
      <c r="R460" s="7">
        <v>9</v>
      </c>
      <c r="S460" s="7">
        <v>7</v>
      </c>
      <c r="T460" s="7">
        <v>8</v>
      </c>
      <c r="U460" s="7">
        <v>6</v>
      </c>
      <c r="V460" s="7">
        <v>3</v>
      </c>
      <c r="W460" s="7">
        <v>3</v>
      </c>
      <c r="X460" s="7">
        <v>2</v>
      </c>
      <c r="Y460" s="7">
        <v>17</v>
      </c>
      <c r="Z460" s="7">
        <v>38</v>
      </c>
      <c r="AA460" s="7">
        <v>49</v>
      </c>
      <c r="AB460" s="7">
        <v>141</v>
      </c>
      <c r="AC460" s="7">
        <v>103</v>
      </c>
      <c r="AD460" s="7">
        <v>122</v>
      </c>
      <c r="AE460" s="7">
        <v>121</v>
      </c>
      <c r="AF460" s="7">
        <v>90</v>
      </c>
      <c r="AG460" s="7">
        <v>119</v>
      </c>
      <c r="AH460" s="7">
        <v>120</v>
      </c>
      <c r="AI460" s="7">
        <v>107</v>
      </c>
      <c r="AJ460" s="7">
        <v>154</v>
      </c>
      <c r="AK460" s="7">
        <v>133</v>
      </c>
      <c r="AL460" s="7">
        <v>245</v>
      </c>
      <c r="AM460" s="7">
        <v>255</v>
      </c>
      <c r="AN460" s="7">
        <v>285</v>
      </c>
      <c r="AO460" s="7">
        <v>323</v>
      </c>
      <c r="AP460" s="7">
        <v>385</v>
      </c>
      <c r="AQ460" s="7">
        <v>363</v>
      </c>
      <c r="AR460" s="7">
        <v>388</v>
      </c>
      <c r="AS460" s="7">
        <v>603</v>
      </c>
      <c r="AT460" s="7">
        <v>790</v>
      </c>
      <c r="AU460" s="7">
        <v>686</v>
      </c>
      <c r="AV460" s="7">
        <v>831</v>
      </c>
      <c r="AW460" s="8">
        <v>1089</v>
      </c>
      <c r="AX460" s="8">
        <v>1276</v>
      </c>
      <c r="AY460" s="8">
        <v>1268</v>
      </c>
      <c r="AZ460" s="8">
        <v>1106</v>
      </c>
      <c r="BA460" s="8">
        <v>1419</v>
      </c>
      <c r="BB460" s="8">
        <v>1554</v>
      </c>
      <c r="BC460" s="15">
        <v>0</v>
      </c>
      <c r="BD460" s="21">
        <f t="shared" si="122"/>
        <v>5.0384942813783912E-3</v>
      </c>
      <c r="BE460" s="21">
        <f t="shared" si="122"/>
        <v>5.6566301379579386E-3</v>
      </c>
      <c r="BF460" s="21">
        <f t="shared" si="122"/>
        <v>5.4999392751184139E-3</v>
      </c>
      <c r="BG460" s="21">
        <f t="shared" si="122"/>
        <v>4.996905171751673E-3</v>
      </c>
      <c r="BH460" s="21">
        <f t="shared" si="122"/>
        <v>5.9630868534736349E-3</v>
      </c>
      <c r="BI460" s="21">
        <f t="shared" si="122"/>
        <v>6.075723691412664E-3</v>
      </c>
      <c r="BJ460" s="23">
        <f t="shared" si="109"/>
        <v>5.6785719055459901E-3</v>
      </c>
    </row>
    <row r="461" spans="1:62" x14ac:dyDescent="0.25">
      <c r="A461" s="12"/>
      <c r="B461" s="2" t="s">
        <v>12</v>
      </c>
      <c r="C461" s="2" t="s">
        <v>6</v>
      </c>
      <c r="D461" s="4">
        <v>110</v>
      </c>
      <c r="E461" s="4">
        <v>140</v>
      </c>
      <c r="F461" s="4">
        <v>165</v>
      </c>
      <c r="G461" s="4">
        <v>130</v>
      </c>
      <c r="H461" s="4">
        <v>100</v>
      </c>
      <c r="I461" s="4">
        <v>130</v>
      </c>
      <c r="J461" s="4">
        <v>150</v>
      </c>
      <c r="K461" s="4">
        <v>140</v>
      </c>
      <c r="L461" s="4">
        <v>123</v>
      </c>
      <c r="M461" s="4">
        <v>130</v>
      </c>
      <c r="N461" s="4">
        <v>160</v>
      </c>
      <c r="O461" s="4">
        <v>175</v>
      </c>
      <c r="P461" s="4">
        <v>122</v>
      </c>
      <c r="Q461" s="4">
        <v>159</v>
      </c>
      <c r="R461" s="4">
        <v>150</v>
      </c>
      <c r="S461" s="4">
        <v>150</v>
      </c>
      <c r="T461" s="4">
        <v>158</v>
      </c>
      <c r="U461" s="4">
        <v>165</v>
      </c>
      <c r="V461" s="4">
        <v>190</v>
      </c>
      <c r="W461" s="4">
        <v>225</v>
      </c>
      <c r="X461" s="4">
        <v>170</v>
      </c>
      <c r="Y461" s="4">
        <v>198</v>
      </c>
      <c r="Z461" s="4">
        <v>210</v>
      </c>
      <c r="AA461" s="4">
        <v>189</v>
      </c>
      <c r="AB461" s="4">
        <v>168</v>
      </c>
      <c r="AC461" s="4">
        <v>162</v>
      </c>
      <c r="AD461" s="4">
        <v>165</v>
      </c>
      <c r="AE461" s="4">
        <v>160</v>
      </c>
      <c r="AF461" s="4">
        <v>165</v>
      </c>
      <c r="AG461" s="4">
        <v>150</v>
      </c>
      <c r="AH461" s="4">
        <v>160</v>
      </c>
      <c r="AI461" s="4">
        <v>100</v>
      </c>
      <c r="AJ461" s="4">
        <v>145</v>
      </c>
      <c r="AK461" s="4">
        <v>146</v>
      </c>
      <c r="AL461" s="4">
        <v>150</v>
      </c>
      <c r="AM461" s="4">
        <v>225</v>
      </c>
      <c r="AN461" s="4">
        <v>260</v>
      </c>
      <c r="AO461" s="4">
        <v>225</v>
      </c>
      <c r="AP461" s="4">
        <v>190</v>
      </c>
      <c r="AQ461" s="4">
        <v>220</v>
      </c>
      <c r="AR461" s="4">
        <v>230</v>
      </c>
      <c r="AS461" s="4">
        <v>234</v>
      </c>
      <c r="AT461" s="4">
        <v>234</v>
      </c>
      <c r="AU461" s="4">
        <v>270</v>
      </c>
      <c r="AV461" s="4">
        <v>300</v>
      </c>
      <c r="AW461" s="4">
        <v>360</v>
      </c>
      <c r="AX461" s="4">
        <v>405</v>
      </c>
      <c r="AY461" s="4">
        <v>360</v>
      </c>
      <c r="AZ461" s="4">
        <v>420</v>
      </c>
      <c r="BA461" s="4">
        <v>400</v>
      </c>
      <c r="BB461" s="4">
        <v>450</v>
      </c>
      <c r="BC461" s="13">
        <v>0</v>
      </c>
      <c r="BD461" s="20">
        <f t="shared" si="122"/>
        <v>8.6000133777985877E-4</v>
      </c>
      <c r="BE461" s="20">
        <f t="shared" si="122"/>
        <v>9.6362494289629972E-4</v>
      </c>
      <c r="BF461" s="20">
        <f t="shared" si="122"/>
        <v>8.3025255821569499E-4</v>
      </c>
      <c r="BG461" s="20">
        <f t="shared" si="122"/>
        <v>9.37351446534143E-4</v>
      </c>
      <c r="BH461" s="20">
        <f t="shared" si="122"/>
        <v>9.0836215490754004E-4</v>
      </c>
      <c r="BI461" s="20">
        <f t="shared" si="122"/>
        <v>9.9848895338387907E-4</v>
      </c>
      <c r="BJ461" s="23">
        <f t="shared" si="109"/>
        <v>9.4806751827518734E-4</v>
      </c>
    </row>
    <row r="462" spans="1:62" s="5" customFormat="1" x14ac:dyDescent="0.25">
      <c r="A462" s="14"/>
      <c r="B462" s="6"/>
      <c r="C462" s="6" t="s">
        <v>7</v>
      </c>
      <c r="D462" s="7">
        <v>10</v>
      </c>
      <c r="E462" s="7">
        <v>0</v>
      </c>
      <c r="F462" s="7">
        <v>0</v>
      </c>
      <c r="G462" s="7">
        <v>0</v>
      </c>
      <c r="H462" s="7">
        <v>0</v>
      </c>
      <c r="I462" s="7">
        <v>9</v>
      </c>
      <c r="J462" s="7">
        <v>0</v>
      </c>
      <c r="K462" s="7">
        <v>0</v>
      </c>
      <c r="L462" s="7">
        <v>13</v>
      </c>
      <c r="M462" s="7">
        <v>16</v>
      </c>
      <c r="N462" s="7">
        <v>5</v>
      </c>
      <c r="O462" s="7">
        <v>0</v>
      </c>
      <c r="P462" s="7">
        <v>31</v>
      </c>
      <c r="Q462" s="7">
        <v>57</v>
      </c>
      <c r="R462" s="7">
        <v>67</v>
      </c>
      <c r="S462" s="7">
        <v>30</v>
      </c>
      <c r="T462" s="7">
        <v>10</v>
      </c>
      <c r="U462" s="7">
        <v>24</v>
      </c>
      <c r="V462" s="7">
        <v>50</v>
      </c>
      <c r="W462" s="7">
        <v>10</v>
      </c>
      <c r="X462" s="7">
        <v>32</v>
      </c>
      <c r="Y462" s="7">
        <v>16</v>
      </c>
      <c r="Z462" s="7">
        <v>30</v>
      </c>
      <c r="AA462" s="7">
        <v>58</v>
      </c>
      <c r="AB462" s="7">
        <v>90</v>
      </c>
      <c r="AC462" s="7">
        <v>92</v>
      </c>
      <c r="AD462" s="7">
        <v>157</v>
      </c>
      <c r="AE462" s="7">
        <v>113</v>
      </c>
      <c r="AF462" s="7">
        <v>220</v>
      </c>
      <c r="AG462" s="7">
        <v>210</v>
      </c>
      <c r="AH462" s="7">
        <v>161</v>
      </c>
      <c r="AI462" s="7">
        <v>300</v>
      </c>
      <c r="AJ462" s="7">
        <v>320</v>
      </c>
      <c r="AK462" s="7">
        <v>280</v>
      </c>
      <c r="AL462" s="7">
        <v>415</v>
      </c>
      <c r="AM462" s="7">
        <v>350</v>
      </c>
      <c r="AN462" s="7">
        <v>264</v>
      </c>
      <c r="AO462" s="7">
        <v>275</v>
      </c>
      <c r="AP462" s="7">
        <v>325</v>
      </c>
      <c r="AQ462" s="7">
        <v>327</v>
      </c>
      <c r="AR462" s="7">
        <v>243</v>
      </c>
      <c r="AS462" s="7">
        <v>300</v>
      </c>
      <c r="AT462" s="7">
        <v>325</v>
      </c>
      <c r="AU462" s="7">
        <v>155</v>
      </c>
      <c r="AV462" s="7">
        <v>296</v>
      </c>
      <c r="AW462" s="7">
        <v>237</v>
      </c>
      <c r="AX462" s="7">
        <v>169</v>
      </c>
      <c r="AY462" s="7">
        <v>261</v>
      </c>
      <c r="AZ462" s="7">
        <v>209</v>
      </c>
      <c r="BA462" s="7">
        <v>520</v>
      </c>
      <c r="BB462" s="7">
        <v>400</v>
      </c>
      <c r="BC462" s="15">
        <v>0</v>
      </c>
      <c r="BD462" s="21">
        <f t="shared" si="122"/>
        <v>8.9433962264150943E-3</v>
      </c>
      <c r="BE462" s="21">
        <f t="shared" si="122"/>
        <v>5.9873875150570398E-3</v>
      </c>
      <c r="BF462" s="21">
        <f t="shared" si="122"/>
        <v>8.8663926351190674E-3</v>
      </c>
      <c r="BG462" s="21">
        <f t="shared" si="122"/>
        <v>7.6982577627168584E-3</v>
      </c>
      <c r="BH462" s="21">
        <f t="shared" si="122"/>
        <v>1.8521816562778272E-2</v>
      </c>
      <c r="BI462" s="21">
        <f t="shared" si="122"/>
        <v>1.3683634373289545E-2</v>
      </c>
      <c r="BJ462" s="23">
        <f t="shared" si="109"/>
        <v>1.3301236232928226E-2</v>
      </c>
    </row>
    <row r="463" spans="1:62" x14ac:dyDescent="0.25">
      <c r="A463" s="12"/>
      <c r="B463" s="2"/>
      <c r="C463" s="2" t="s">
        <v>8</v>
      </c>
      <c r="D463" s="4">
        <v>0</v>
      </c>
      <c r="E463" s="4">
        <v>0</v>
      </c>
      <c r="F463" s="4">
        <v>0</v>
      </c>
      <c r="G463" s="4">
        <v>2</v>
      </c>
      <c r="H463" s="4">
        <v>0</v>
      </c>
      <c r="I463" s="4">
        <v>0</v>
      </c>
      <c r="J463" s="4">
        <v>2</v>
      </c>
      <c r="K463" s="4">
        <v>2</v>
      </c>
      <c r="L463" s="4">
        <v>0</v>
      </c>
      <c r="M463" s="4">
        <v>0</v>
      </c>
      <c r="N463" s="4">
        <v>0</v>
      </c>
      <c r="O463" s="4">
        <v>0</v>
      </c>
      <c r="P463" s="4">
        <v>0</v>
      </c>
      <c r="Q463" s="4">
        <v>0</v>
      </c>
      <c r="R463" s="4">
        <v>0</v>
      </c>
      <c r="S463" s="4">
        <v>0</v>
      </c>
      <c r="T463" s="4">
        <v>0</v>
      </c>
      <c r="U463" s="4">
        <v>0</v>
      </c>
      <c r="V463" s="4">
        <v>0</v>
      </c>
      <c r="W463" s="4">
        <v>0</v>
      </c>
      <c r="X463" s="4">
        <v>0</v>
      </c>
      <c r="Y463" s="4">
        <v>0</v>
      </c>
      <c r="Z463" s="4">
        <v>0</v>
      </c>
      <c r="AA463" s="4">
        <v>0</v>
      </c>
      <c r="AB463" s="4">
        <v>0</v>
      </c>
      <c r="AC463" s="4">
        <v>1</v>
      </c>
      <c r="AD463" s="4">
        <v>2</v>
      </c>
      <c r="AE463" s="4">
        <v>0</v>
      </c>
      <c r="AF463" s="4">
        <v>63</v>
      </c>
      <c r="AG463" s="4">
        <v>0</v>
      </c>
      <c r="AH463" s="4">
        <v>3</v>
      </c>
      <c r="AI463" s="4">
        <v>5</v>
      </c>
      <c r="AJ463" s="4">
        <v>2</v>
      </c>
      <c r="AK463" s="4">
        <v>5</v>
      </c>
      <c r="AL463" s="4">
        <v>7</v>
      </c>
      <c r="AM463" s="4">
        <v>2</v>
      </c>
      <c r="AN463" s="4">
        <v>10</v>
      </c>
      <c r="AO463" s="4">
        <v>6</v>
      </c>
      <c r="AP463" s="4">
        <v>1</v>
      </c>
      <c r="AQ463" s="4">
        <v>0</v>
      </c>
      <c r="AR463" s="4">
        <v>6</v>
      </c>
      <c r="AS463" s="4">
        <v>0</v>
      </c>
      <c r="AT463" s="4">
        <v>0</v>
      </c>
      <c r="AU463" s="4">
        <v>0</v>
      </c>
      <c r="AV463" s="4">
        <v>0</v>
      </c>
      <c r="AW463" s="4">
        <v>0</v>
      </c>
      <c r="AX463" s="4">
        <v>4</v>
      </c>
      <c r="AY463" s="4">
        <v>3</v>
      </c>
      <c r="AZ463" s="4">
        <v>25</v>
      </c>
      <c r="BA463" s="4">
        <v>26</v>
      </c>
      <c r="BB463" s="4">
        <v>50</v>
      </c>
      <c r="BC463" s="13">
        <v>0</v>
      </c>
      <c r="BD463" s="20">
        <f t="shared" si="122"/>
        <v>0</v>
      </c>
      <c r="BE463" s="20">
        <f t="shared" si="122"/>
        <v>1.2740882306099699E-4</v>
      </c>
      <c r="BF463" s="20">
        <f t="shared" si="122"/>
        <v>9.6039952620290044E-5</v>
      </c>
      <c r="BG463" s="20">
        <f t="shared" si="122"/>
        <v>8.6469286109573879E-4</v>
      </c>
      <c r="BH463" s="20">
        <f t="shared" si="122"/>
        <v>8.4374492941749143E-4</v>
      </c>
      <c r="BI463" s="20">
        <f t="shared" si="122"/>
        <v>1.6447909470706274E-3</v>
      </c>
      <c r="BJ463" s="23">
        <f t="shared" si="109"/>
        <v>1.1177429125279524E-3</v>
      </c>
    </row>
    <row r="464" spans="1:62" s="5" customFormat="1" x14ac:dyDescent="0.25">
      <c r="A464" s="14"/>
      <c r="B464" s="6"/>
      <c r="C464" s="6" t="s">
        <v>9</v>
      </c>
      <c r="D464" s="7">
        <v>130</v>
      </c>
      <c r="E464" s="7">
        <v>130</v>
      </c>
      <c r="F464" s="7">
        <v>165</v>
      </c>
      <c r="G464" s="7">
        <v>128</v>
      </c>
      <c r="H464" s="7">
        <v>102</v>
      </c>
      <c r="I464" s="7">
        <v>143</v>
      </c>
      <c r="J464" s="7">
        <v>139</v>
      </c>
      <c r="K464" s="7">
        <v>140</v>
      </c>
      <c r="L464" s="7">
        <v>137</v>
      </c>
      <c r="M464" s="7">
        <v>136</v>
      </c>
      <c r="N464" s="7">
        <v>155</v>
      </c>
      <c r="O464" s="7">
        <v>175</v>
      </c>
      <c r="P464" s="7">
        <v>181</v>
      </c>
      <c r="Q464" s="7">
        <v>198</v>
      </c>
      <c r="R464" s="7">
        <v>207</v>
      </c>
      <c r="S464" s="7">
        <v>205</v>
      </c>
      <c r="T464" s="7">
        <v>178</v>
      </c>
      <c r="U464" s="7">
        <v>184</v>
      </c>
      <c r="V464" s="7">
        <v>200</v>
      </c>
      <c r="W464" s="7">
        <v>235</v>
      </c>
      <c r="X464" s="7">
        <v>222</v>
      </c>
      <c r="Y464" s="7">
        <v>224</v>
      </c>
      <c r="Z464" s="7">
        <v>240</v>
      </c>
      <c r="AA464" s="7">
        <v>245</v>
      </c>
      <c r="AB464" s="7">
        <v>246</v>
      </c>
      <c r="AC464" s="7">
        <v>267</v>
      </c>
      <c r="AD464" s="7">
        <v>280</v>
      </c>
      <c r="AE464" s="7">
        <v>293</v>
      </c>
      <c r="AF464" s="7">
        <v>327</v>
      </c>
      <c r="AG464" s="7">
        <v>335</v>
      </c>
      <c r="AH464" s="7">
        <v>338</v>
      </c>
      <c r="AI464" s="7">
        <v>385</v>
      </c>
      <c r="AJ464" s="7">
        <v>388</v>
      </c>
      <c r="AK464" s="7">
        <v>421</v>
      </c>
      <c r="AL464" s="7">
        <v>450</v>
      </c>
      <c r="AM464" s="7">
        <v>475</v>
      </c>
      <c r="AN464" s="7">
        <v>500</v>
      </c>
      <c r="AO464" s="7">
        <v>525</v>
      </c>
      <c r="AP464" s="7">
        <v>525</v>
      </c>
      <c r="AQ464" s="7">
        <v>530</v>
      </c>
      <c r="AR464" s="7">
        <v>535</v>
      </c>
      <c r="AS464" s="7">
        <v>540</v>
      </c>
      <c r="AT464" s="7">
        <v>545</v>
      </c>
      <c r="AU464" s="7">
        <v>550</v>
      </c>
      <c r="AV464" s="7">
        <v>560</v>
      </c>
      <c r="AW464" s="7">
        <v>570</v>
      </c>
      <c r="AX464" s="7">
        <v>555</v>
      </c>
      <c r="AY464" s="7">
        <v>570</v>
      </c>
      <c r="AZ464" s="7">
        <v>600</v>
      </c>
      <c r="BA464" s="7">
        <v>759</v>
      </c>
      <c r="BB464" s="7">
        <v>650</v>
      </c>
      <c r="BC464" s="15">
        <v>0</v>
      </c>
      <c r="BD464" s="21">
        <f t="shared" si="122"/>
        <v>1.3803692124388217E-3</v>
      </c>
      <c r="BE464" s="21">
        <f t="shared" si="122"/>
        <v>1.3259209177761797E-3</v>
      </c>
      <c r="BF464" s="21">
        <f t="shared" si="122"/>
        <v>1.3371587019707842E-3</v>
      </c>
      <c r="BG464" s="21">
        <f t="shared" si="122"/>
        <v>1.3789616418836616E-3</v>
      </c>
      <c r="BH464" s="21">
        <f t="shared" si="122"/>
        <v>1.7436771601265371E-3</v>
      </c>
      <c r="BI464" s="21">
        <f t="shared" si="122"/>
        <v>1.4566413883361122E-3</v>
      </c>
      <c r="BJ464" s="23">
        <f t="shared" si="109"/>
        <v>1.5264267301154369E-3</v>
      </c>
    </row>
    <row r="465" spans="1:62" x14ac:dyDescent="0.25">
      <c r="A465" s="12"/>
      <c r="B465" s="2" t="s">
        <v>13</v>
      </c>
      <c r="C465" s="2" t="s">
        <v>7</v>
      </c>
      <c r="D465" s="4">
        <v>0</v>
      </c>
      <c r="E465" s="4">
        <v>0</v>
      </c>
      <c r="F465" s="4">
        <v>0</v>
      </c>
      <c r="G465" s="4">
        <v>0</v>
      </c>
      <c r="H465" s="4">
        <v>0</v>
      </c>
      <c r="I465" s="4">
        <v>0</v>
      </c>
      <c r="J465" s="4">
        <v>0</v>
      </c>
      <c r="K465" s="4">
        <v>0</v>
      </c>
      <c r="L465" s="4">
        <v>0</v>
      </c>
      <c r="M465" s="4">
        <v>0</v>
      </c>
      <c r="N465" s="4">
        <v>0</v>
      </c>
      <c r="O465" s="4">
        <v>0</v>
      </c>
      <c r="P465" s="4">
        <v>0</v>
      </c>
      <c r="Q465" s="4">
        <v>0</v>
      </c>
      <c r="R465" s="4">
        <v>0</v>
      </c>
      <c r="S465" s="4">
        <v>0</v>
      </c>
      <c r="T465" s="4">
        <v>0</v>
      </c>
      <c r="U465" s="4">
        <v>0</v>
      </c>
      <c r="V465" s="4">
        <v>0</v>
      </c>
      <c r="W465" s="4">
        <v>0</v>
      </c>
      <c r="X465" s="4">
        <v>0</v>
      </c>
      <c r="Y465" s="4">
        <v>0</v>
      </c>
      <c r="Z465" s="4">
        <v>0</v>
      </c>
      <c r="AA465" s="4">
        <v>0</v>
      </c>
      <c r="AB465" s="4">
        <v>0</v>
      </c>
      <c r="AC465" s="4">
        <v>0</v>
      </c>
      <c r="AD465" s="4">
        <v>0</v>
      </c>
      <c r="AE465" s="4">
        <v>0</v>
      </c>
      <c r="AF465" s="4">
        <v>0</v>
      </c>
      <c r="AG465" s="4">
        <v>52</v>
      </c>
      <c r="AH465" s="4">
        <v>115</v>
      </c>
      <c r="AI465" s="4">
        <v>109</v>
      </c>
      <c r="AJ465" s="4">
        <v>411</v>
      </c>
      <c r="AK465" s="4">
        <v>14</v>
      </c>
      <c r="AL465" s="4">
        <v>0</v>
      </c>
      <c r="AM465" s="4">
        <v>1</v>
      </c>
      <c r="AN465" s="4">
        <v>139</v>
      </c>
      <c r="AO465" s="4">
        <v>0</v>
      </c>
      <c r="AP465" s="4">
        <v>0</v>
      </c>
      <c r="AQ465" s="4">
        <v>0</v>
      </c>
      <c r="AR465" s="4">
        <v>0</v>
      </c>
      <c r="AS465" s="4">
        <v>0</v>
      </c>
      <c r="AT465" s="4">
        <v>0</v>
      </c>
      <c r="AU465" s="4">
        <v>0</v>
      </c>
      <c r="AV465" s="4">
        <v>0</v>
      </c>
      <c r="AW465" s="4">
        <v>0</v>
      </c>
      <c r="AX465" s="4">
        <v>0</v>
      </c>
      <c r="AY465" s="4">
        <v>0</v>
      </c>
      <c r="AZ465" s="4">
        <v>0</v>
      </c>
      <c r="BA465" s="4">
        <v>0</v>
      </c>
      <c r="BB465" s="4">
        <v>0</v>
      </c>
      <c r="BC465" s="13">
        <v>0</v>
      </c>
      <c r="BD465" s="20">
        <f t="shared" ref="BD465:BI465" si="123">AW465/AW564</f>
        <v>0</v>
      </c>
      <c r="BE465" s="20">
        <f t="shared" si="123"/>
        <v>0</v>
      </c>
      <c r="BF465" s="20">
        <f t="shared" si="123"/>
        <v>0</v>
      </c>
      <c r="BG465" s="20">
        <f t="shared" si="123"/>
        <v>0</v>
      </c>
      <c r="BH465" s="20">
        <f t="shared" si="123"/>
        <v>0</v>
      </c>
      <c r="BI465" s="20">
        <f t="shared" si="123"/>
        <v>0</v>
      </c>
      <c r="BJ465" s="23">
        <f t="shared" si="109"/>
        <v>0</v>
      </c>
    </row>
    <row r="466" spans="1:62" s="5" customFormat="1" x14ac:dyDescent="0.25">
      <c r="A466" s="14"/>
      <c r="B466" s="6"/>
      <c r="C466" s="6" t="s">
        <v>9</v>
      </c>
      <c r="D466" s="7">
        <v>0</v>
      </c>
      <c r="E466" s="7">
        <v>0</v>
      </c>
      <c r="F466" s="7">
        <v>0</v>
      </c>
      <c r="G466" s="7">
        <v>0</v>
      </c>
      <c r="H466" s="7">
        <v>0</v>
      </c>
      <c r="I466" s="7">
        <v>0</v>
      </c>
      <c r="J466" s="7">
        <v>0</v>
      </c>
      <c r="K466" s="7">
        <v>0</v>
      </c>
      <c r="L466" s="7">
        <v>0</v>
      </c>
      <c r="M466" s="7">
        <v>0</v>
      </c>
      <c r="N466" s="7">
        <v>0</v>
      </c>
      <c r="O466" s="7">
        <v>0</v>
      </c>
      <c r="P466" s="7">
        <v>0</v>
      </c>
      <c r="Q466" s="7">
        <v>0</v>
      </c>
      <c r="R466" s="7">
        <v>0</v>
      </c>
      <c r="S466" s="7">
        <v>0</v>
      </c>
      <c r="T466" s="7">
        <v>0</v>
      </c>
      <c r="U466" s="7">
        <v>0</v>
      </c>
      <c r="V466" s="7">
        <v>0</v>
      </c>
      <c r="W466" s="7">
        <v>0</v>
      </c>
      <c r="X466" s="7">
        <v>0</v>
      </c>
      <c r="Y466" s="7">
        <v>0</v>
      </c>
      <c r="Z466" s="7">
        <v>0</v>
      </c>
      <c r="AA466" s="7">
        <v>0</v>
      </c>
      <c r="AB466" s="7">
        <v>0</v>
      </c>
      <c r="AC466" s="7">
        <v>0</v>
      </c>
      <c r="AD466" s="7">
        <v>0</v>
      </c>
      <c r="AE466" s="7">
        <v>0</v>
      </c>
      <c r="AF466" s="7">
        <v>0</v>
      </c>
      <c r="AG466" s="7">
        <v>52</v>
      </c>
      <c r="AH466" s="7">
        <v>115</v>
      </c>
      <c r="AI466" s="7">
        <v>109</v>
      </c>
      <c r="AJ466" s="7">
        <v>411</v>
      </c>
      <c r="AK466" s="7">
        <v>14</v>
      </c>
      <c r="AL466" s="7">
        <v>0</v>
      </c>
      <c r="AM466" s="7">
        <v>1</v>
      </c>
      <c r="AN466" s="7">
        <v>139</v>
      </c>
      <c r="AO466" s="7">
        <v>0</v>
      </c>
      <c r="AP466" s="7">
        <v>0</v>
      </c>
      <c r="AQ466" s="7">
        <v>0</v>
      </c>
      <c r="AR466" s="7">
        <v>0</v>
      </c>
      <c r="AS466" s="7">
        <v>0</v>
      </c>
      <c r="AT466" s="7">
        <v>0</v>
      </c>
      <c r="AU466" s="7">
        <v>0</v>
      </c>
      <c r="AV466" s="7">
        <v>0</v>
      </c>
      <c r="AW466" s="7">
        <v>0</v>
      </c>
      <c r="AX466" s="7">
        <v>0</v>
      </c>
      <c r="AY466" s="7">
        <v>0</v>
      </c>
      <c r="AZ466" s="7">
        <v>0</v>
      </c>
      <c r="BA466" s="7">
        <v>0</v>
      </c>
      <c r="BB466" s="7">
        <v>0</v>
      </c>
      <c r="BC466" s="15">
        <v>0</v>
      </c>
      <c r="BD466" s="21">
        <f t="shared" ref="BD466:BI466" si="124">AW466/AW566</f>
        <v>0</v>
      </c>
      <c r="BE466" s="21">
        <f t="shared" si="124"/>
        <v>0</v>
      </c>
      <c r="BF466" s="21">
        <f t="shared" si="124"/>
        <v>0</v>
      </c>
      <c r="BG466" s="21">
        <f t="shared" si="124"/>
        <v>0</v>
      </c>
      <c r="BH466" s="21">
        <f t="shared" si="124"/>
        <v>0</v>
      </c>
      <c r="BI466" s="21">
        <f t="shared" si="124"/>
        <v>0</v>
      </c>
      <c r="BJ466" s="23">
        <f t="shared" si="109"/>
        <v>0</v>
      </c>
    </row>
    <row r="467" spans="1:62" x14ac:dyDescent="0.25">
      <c r="A467" s="14"/>
      <c r="B467" s="6" t="s">
        <v>14</v>
      </c>
      <c r="C467" s="6" t="s">
        <v>42</v>
      </c>
      <c r="D467" s="7">
        <v>618</v>
      </c>
      <c r="E467" s="7">
        <v>470</v>
      </c>
      <c r="F467" s="7">
        <v>557</v>
      </c>
      <c r="G467" s="7">
        <v>597</v>
      </c>
      <c r="H467" s="7">
        <v>668</v>
      </c>
      <c r="I467" s="7">
        <v>567</v>
      </c>
      <c r="J467" s="7">
        <v>701</v>
      </c>
      <c r="K467" s="7">
        <v>791</v>
      </c>
      <c r="L467" s="7">
        <v>706</v>
      </c>
      <c r="M467" s="7">
        <v>544</v>
      </c>
      <c r="N467" s="7">
        <v>643</v>
      </c>
      <c r="O467" s="7">
        <v>910</v>
      </c>
      <c r="P467" s="7">
        <v>811</v>
      </c>
      <c r="Q467" s="7">
        <v>796</v>
      </c>
      <c r="R467" s="7">
        <v>834</v>
      </c>
      <c r="S467" s="7">
        <v>986</v>
      </c>
      <c r="T467" s="8">
        <v>1284</v>
      </c>
      <c r="U467" s="8">
        <v>1065</v>
      </c>
      <c r="V467" s="8">
        <v>1079</v>
      </c>
      <c r="W467" s="8">
        <v>1052</v>
      </c>
      <c r="X467" s="7">
        <v>930</v>
      </c>
      <c r="Y467" s="8">
        <v>1400</v>
      </c>
      <c r="Z467" s="8">
        <v>1860</v>
      </c>
      <c r="AA467" s="8">
        <v>1770</v>
      </c>
      <c r="AB467" s="8">
        <v>1655</v>
      </c>
      <c r="AC467" s="8">
        <v>1398</v>
      </c>
      <c r="AD467" s="8">
        <v>1475</v>
      </c>
      <c r="AE467" s="8">
        <v>1780</v>
      </c>
      <c r="AF467" s="8">
        <v>1410</v>
      </c>
      <c r="AG467" s="8">
        <v>1380</v>
      </c>
      <c r="AH467" s="8">
        <v>1944</v>
      </c>
      <c r="AI467" s="8">
        <v>2052</v>
      </c>
      <c r="AJ467" s="8">
        <v>2124</v>
      </c>
      <c r="AK467" s="8">
        <v>2191</v>
      </c>
      <c r="AL467" s="8">
        <v>1678</v>
      </c>
      <c r="AM467" s="8">
        <v>1375</v>
      </c>
      <c r="AN467" s="8">
        <v>2025</v>
      </c>
      <c r="AO467" s="8">
        <v>2372</v>
      </c>
      <c r="AP467" s="8">
        <v>2947</v>
      </c>
      <c r="AQ467" s="8">
        <v>2348</v>
      </c>
      <c r="AR467" s="8">
        <v>2756</v>
      </c>
      <c r="AS467" s="8">
        <v>1796</v>
      </c>
      <c r="AT467" s="8">
        <v>2345</v>
      </c>
      <c r="AU467" s="8">
        <v>1915</v>
      </c>
      <c r="AV467" s="8">
        <v>2110</v>
      </c>
      <c r="AW467" s="8">
        <v>2175</v>
      </c>
      <c r="AX467" s="8">
        <v>1980</v>
      </c>
      <c r="AY467" s="8">
        <v>1700</v>
      </c>
      <c r="AZ467" s="8">
        <v>2100</v>
      </c>
      <c r="BA467" s="8">
        <v>2531</v>
      </c>
      <c r="BB467" s="25">
        <v>2400</v>
      </c>
      <c r="BC467" s="21">
        <f t="shared" ref="BC467:BH467" si="125">AW467/AX$83</f>
        <v>0.2719769913717644</v>
      </c>
      <c r="BD467" s="21">
        <f t="shared" si="125"/>
        <v>0.29238038984051978</v>
      </c>
      <c r="BE467" s="21">
        <f t="shared" si="125"/>
        <v>0.26550054661877243</v>
      </c>
      <c r="BF467" s="21">
        <f t="shared" si="125"/>
        <v>0.29469548133595286</v>
      </c>
      <c r="BG467" s="21">
        <f t="shared" si="125"/>
        <v>0.38938461538461538</v>
      </c>
      <c r="BH467" s="21" t="e">
        <f t="shared" si="125"/>
        <v>#DIV/0!</v>
      </c>
      <c r="BJ467" s="23" t="e">
        <f>AVERAGE(BF467,BG467,BH467)</f>
        <v>#DIV/0!</v>
      </c>
    </row>
    <row r="468" spans="1:62" s="5" customFormat="1" x14ac:dyDescent="0.25">
      <c r="A468" s="14"/>
      <c r="B468" s="2"/>
      <c r="C468" s="2" t="s">
        <v>45</v>
      </c>
      <c r="D468" s="4">
        <v>0</v>
      </c>
      <c r="E468" s="4">
        <v>0</v>
      </c>
      <c r="F468" s="4">
        <v>0</v>
      </c>
      <c r="G468" s="4">
        <v>0</v>
      </c>
      <c r="H468" s="4">
        <v>0</v>
      </c>
      <c r="I468" s="4">
        <v>0</v>
      </c>
      <c r="J468" s="4">
        <v>0</v>
      </c>
      <c r="K468" s="4">
        <v>0</v>
      </c>
      <c r="L468" s="4">
        <v>0</v>
      </c>
      <c r="M468" s="4">
        <v>0</v>
      </c>
      <c r="N468" s="4">
        <v>0</v>
      </c>
      <c r="O468" s="4">
        <v>0</v>
      </c>
      <c r="P468" s="4">
        <v>0</v>
      </c>
      <c r="Q468" s="4">
        <v>67</v>
      </c>
      <c r="R468" s="4">
        <v>102</v>
      </c>
      <c r="S468" s="4">
        <v>42</v>
      </c>
      <c r="T468" s="4">
        <v>0</v>
      </c>
      <c r="U468" s="4">
        <v>0</v>
      </c>
      <c r="V468" s="4">
        <v>0</v>
      </c>
      <c r="W468" s="4">
        <v>200</v>
      </c>
      <c r="X468" s="4">
        <v>75</v>
      </c>
      <c r="Y468" s="4">
        <v>0</v>
      </c>
      <c r="Z468" s="4">
        <v>0</v>
      </c>
      <c r="AA468" s="4">
        <v>0</v>
      </c>
      <c r="AB468" s="4">
        <v>0</v>
      </c>
      <c r="AC468" s="4">
        <v>0</v>
      </c>
      <c r="AD468" s="4">
        <v>201</v>
      </c>
      <c r="AE468" s="4">
        <v>35</v>
      </c>
      <c r="AF468" s="4">
        <v>0</v>
      </c>
      <c r="AG468" s="4">
        <v>470</v>
      </c>
      <c r="AH468" s="4">
        <v>247</v>
      </c>
      <c r="AI468" s="4">
        <v>17</v>
      </c>
      <c r="AJ468" s="4">
        <v>23</v>
      </c>
      <c r="AK468" s="4">
        <v>2</v>
      </c>
      <c r="AL468" s="4">
        <v>322</v>
      </c>
      <c r="AM468" s="4">
        <v>736</v>
      </c>
      <c r="AN468" s="4">
        <v>153</v>
      </c>
      <c r="AO468" s="4">
        <v>10</v>
      </c>
      <c r="AP468" s="4">
        <v>5</v>
      </c>
      <c r="AQ468" s="4">
        <v>1</v>
      </c>
      <c r="AR468" s="4">
        <v>2</v>
      </c>
      <c r="AS468" s="4">
        <v>1</v>
      </c>
      <c r="AT468" s="4">
        <v>1</v>
      </c>
      <c r="AU468" s="4">
        <v>0</v>
      </c>
      <c r="AV468" s="4">
        <v>0</v>
      </c>
      <c r="AW468" s="4">
        <v>0</v>
      </c>
      <c r="AX468" s="4">
        <v>0</v>
      </c>
      <c r="AY468" s="4">
        <v>5</v>
      </c>
      <c r="AZ468" s="4">
        <v>5</v>
      </c>
      <c r="BA468" s="4">
        <v>5</v>
      </c>
      <c r="BB468" s="13">
        <v>5</v>
      </c>
      <c r="BC468" s="21">
        <f t="shared" ref="BC468:BH468" si="126">AW468/AX$63</f>
        <v>0</v>
      </c>
      <c r="BD468" s="21">
        <f t="shared" si="126"/>
        <v>0</v>
      </c>
      <c r="BE468" s="21">
        <f t="shared" si="126"/>
        <v>0.1</v>
      </c>
      <c r="BF468" s="21">
        <f t="shared" si="126"/>
        <v>3.3112582781456956E-2</v>
      </c>
      <c r="BG468" s="21">
        <f t="shared" si="126"/>
        <v>7.6923076923076927E-3</v>
      </c>
      <c r="BH468" s="21" t="e">
        <f t="shared" si="126"/>
        <v>#DIV/0!</v>
      </c>
      <c r="BI468"/>
      <c r="BJ468" s="23" t="e">
        <f>AVERAGE(BF468,BG468,BH468)</f>
        <v>#DIV/0!</v>
      </c>
    </row>
    <row r="469" spans="1:62" x14ac:dyDescent="0.25">
      <c r="A469" s="14"/>
      <c r="B469" s="6"/>
      <c r="C469" s="6" t="s">
        <v>44</v>
      </c>
      <c r="D469" s="7">
        <v>275</v>
      </c>
      <c r="E469" s="7">
        <v>150</v>
      </c>
      <c r="F469" s="7">
        <v>150</v>
      </c>
      <c r="G469" s="7">
        <v>130</v>
      </c>
      <c r="H469" s="7">
        <v>125</v>
      </c>
      <c r="I469" s="7">
        <v>57</v>
      </c>
      <c r="J469" s="7">
        <v>65</v>
      </c>
      <c r="K469" s="7">
        <v>48</v>
      </c>
      <c r="L469" s="7">
        <v>109</v>
      </c>
      <c r="M469" s="7">
        <v>89</v>
      </c>
      <c r="N469" s="7">
        <v>42</v>
      </c>
      <c r="O469" s="7">
        <v>90</v>
      </c>
      <c r="P469" s="7">
        <v>46</v>
      </c>
      <c r="Q469" s="7">
        <v>60</v>
      </c>
      <c r="R469" s="7">
        <v>78</v>
      </c>
      <c r="S469" s="7">
        <v>0</v>
      </c>
      <c r="T469" s="7">
        <v>3</v>
      </c>
      <c r="U469" s="7">
        <v>4</v>
      </c>
      <c r="V469" s="7">
        <v>4</v>
      </c>
      <c r="W469" s="7">
        <v>4</v>
      </c>
      <c r="X469" s="7">
        <v>3</v>
      </c>
      <c r="Y469" s="7">
        <v>105</v>
      </c>
      <c r="Z469" s="7">
        <v>195</v>
      </c>
      <c r="AA469" s="7">
        <v>525</v>
      </c>
      <c r="AB469" s="7">
        <v>470</v>
      </c>
      <c r="AC469" s="7">
        <v>50</v>
      </c>
      <c r="AD469" s="7">
        <v>54</v>
      </c>
      <c r="AE469" s="7">
        <v>65</v>
      </c>
      <c r="AF469" s="7">
        <v>1</v>
      </c>
      <c r="AG469" s="7">
        <v>1</v>
      </c>
      <c r="AH469" s="7">
        <v>14</v>
      </c>
      <c r="AI469" s="7">
        <v>294</v>
      </c>
      <c r="AJ469" s="7">
        <v>504</v>
      </c>
      <c r="AK469" s="7">
        <v>642</v>
      </c>
      <c r="AL469" s="7">
        <v>126</v>
      </c>
      <c r="AM469" s="7">
        <v>4</v>
      </c>
      <c r="AN469" s="7">
        <v>113</v>
      </c>
      <c r="AO469" s="7">
        <v>236</v>
      </c>
      <c r="AP469" s="7">
        <v>433</v>
      </c>
      <c r="AQ469" s="7">
        <v>614</v>
      </c>
      <c r="AR469" s="7">
        <v>826</v>
      </c>
      <c r="AS469" s="7">
        <v>378</v>
      </c>
      <c r="AT469" s="7">
        <v>150</v>
      </c>
      <c r="AU469" s="7">
        <v>230</v>
      </c>
      <c r="AV469" s="7">
        <v>25</v>
      </c>
      <c r="AW469" s="7">
        <v>25</v>
      </c>
      <c r="AX469" s="7">
        <v>30</v>
      </c>
      <c r="AY469" s="7">
        <v>10</v>
      </c>
      <c r="AZ469" s="7">
        <v>5</v>
      </c>
      <c r="BA469" s="7">
        <v>40</v>
      </c>
      <c r="BB469" s="15">
        <v>40</v>
      </c>
      <c r="BC469" s="21">
        <f t="shared" ref="BC469:BH469" si="127">AW469/AX$42</f>
        <v>0.21367521367521367</v>
      </c>
      <c r="BD469" s="21">
        <f t="shared" si="127"/>
        <v>2.3076923076923075</v>
      </c>
      <c r="BE469" s="21">
        <f t="shared" si="127"/>
        <v>0.22727272727272727</v>
      </c>
      <c r="BF469" s="21">
        <f t="shared" si="127"/>
        <v>3.5211267605633804E-2</v>
      </c>
      <c r="BG469" s="21">
        <f t="shared" si="127"/>
        <v>6.5789473684210523E-2</v>
      </c>
      <c r="BH469" s="21" t="e">
        <f t="shared" si="127"/>
        <v>#DIV/0!</v>
      </c>
      <c r="BJ469" s="23" t="e">
        <f>AVERAGE(BF469,BG469,BH469)</f>
        <v>#DIV/0!</v>
      </c>
    </row>
    <row r="470" spans="1:62" s="5" customFormat="1" ht="30" x14ac:dyDescent="0.25">
      <c r="A470" s="14"/>
      <c r="B470" s="2"/>
      <c r="C470" s="2" t="s">
        <v>43</v>
      </c>
      <c r="D470" s="4">
        <v>343</v>
      </c>
      <c r="E470" s="4">
        <v>377</v>
      </c>
      <c r="F470" s="4">
        <v>400</v>
      </c>
      <c r="G470" s="4">
        <v>417</v>
      </c>
      <c r="H470" s="4">
        <v>481</v>
      </c>
      <c r="I470" s="4">
        <v>523</v>
      </c>
      <c r="J470" s="4">
        <v>540</v>
      </c>
      <c r="K470" s="4">
        <v>560</v>
      </c>
      <c r="L470" s="4">
        <v>592</v>
      </c>
      <c r="M470" s="4">
        <v>631</v>
      </c>
      <c r="N470" s="4">
        <v>668</v>
      </c>
      <c r="O470" s="4">
        <v>750</v>
      </c>
      <c r="P470" s="4">
        <v>814</v>
      </c>
      <c r="Q470" s="4">
        <v>897</v>
      </c>
      <c r="R470" s="4">
        <v>972</v>
      </c>
      <c r="S470" s="3">
        <v>1047</v>
      </c>
      <c r="T470" s="3">
        <v>1135</v>
      </c>
      <c r="U470" s="3">
        <v>1168</v>
      </c>
      <c r="V470" s="3">
        <v>1203</v>
      </c>
      <c r="W470" s="3">
        <v>1151</v>
      </c>
      <c r="X470" s="3">
        <v>1036</v>
      </c>
      <c r="Y470" s="3">
        <v>1100</v>
      </c>
      <c r="Z470" s="3">
        <v>1210</v>
      </c>
      <c r="AA470" s="3">
        <v>1330</v>
      </c>
      <c r="AB470" s="3">
        <v>1410</v>
      </c>
      <c r="AC470" s="3">
        <v>1466</v>
      </c>
      <c r="AD470" s="3">
        <v>1557</v>
      </c>
      <c r="AE470" s="3">
        <v>1625</v>
      </c>
      <c r="AF470" s="3">
        <v>1679</v>
      </c>
      <c r="AG470" s="3">
        <v>1729</v>
      </c>
      <c r="AH470" s="3">
        <v>1790</v>
      </c>
      <c r="AI470" s="3">
        <v>1844</v>
      </c>
      <c r="AJ470" s="3">
        <v>1880</v>
      </c>
      <c r="AK470" s="3">
        <v>1800</v>
      </c>
      <c r="AL470" s="3">
        <v>1830</v>
      </c>
      <c r="AM470" s="3">
        <v>1900</v>
      </c>
      <c r="AN470" s="3">
        <v>1960</v>
      </c>
      <c r="AO470" s="3">
        <v>2020</v>
      </c>
      <c r="AP470" s="3">
        <v>2080</v>
      </c>
      <c r="AQ470" s="3">
        <v>2050</v>
      </c>
      <c r="AR470" s="3">
        <v>1850</v>
      </c>
      <c r="AS470" s="3">
        <v>1850</v>
      </c>
      <c r="AT470" s="3">
        <v>1900</v>
      </c>
      <c r="AU470" s="3">
        <v>1930</v>
      </c>
      <c r="AV470" s="3">
        <v>1960</v>
      </c>
      <c r="AW470" s="3">
        <v>2000</v>
      </c>
      <c r="AX470" s="3">
        <v>2000</v>
      </c>
      <c r="AY470" s="3">
        <v>2000</v>
      </c>
      <c r="AZ470" s="3">
        <v>2000</v>
      </c>
      <c r="BA470" s="3">
        <v>2500</v>
      </c>
      <c r="BB470" s="24">
        <v>2800</v>
      </c>
      <c r="BC470" s="20">
        <f t="shared" ref="BC470:BH470" si="128">AW470/AW$25</f>
        <v>1.1940298507462686</v>
      </c>
      <c r="BD470" s="20">
        <f t="shared" si="128"/>
        <v>1.1695906432748537</v>
      </c>
      <c r="BE470" s="20">
        <f t="shared" si="128"/>
        <v>1.1142061281337048</v>
      </c>
      <c r="BF470" s="20">
        <f t="shared" si="128"/>
        <v>1.1560693641618498</v>
      </c>
      <c r="BG470" s="20">
        <f t="shared" si="128"/>
        <v>1.4450867052023122</v>
      </c>
      <c r="BH470" s="20">
        <f t="shared" si="128"/>
        <v>1.5909090909090908</v>
      </c>
      <c r="BJ470" s="23">
        <f>AVERAGE(BF470,BG470,BH470)</f>
        <v>1.3973550534244177</v>
      </c>
    </row>
    <row r="471" spans="1:62" s="5" customFormat="1" x14ac:dyDescent="0.25">
      <c r="A471" s="14"/>
      <c r="B471" s="6" t="s">
        <v>15</v>
      </c>
      <c r="C471" s="6" t="s">
        <v>6</v>
      </c>
      <c r="D471" s="8">
        <v>7000</v>
      </c>
      <c r="E471" s="8">
        <v>6336</v>
      </c>
      <c r="F471" s="8">
        <v>6804</v>
      </c>
      <c r="G471" s="8">
        <v>7892</v>
      </c>
      <c r="H471" s="8">
        <v>7000</v>
      </c>
      <c r="I471" s="8">
        <v>7430</v>
      </c>
      <c r="J471" s="8">
        <v>8200</v>
      </c>
      <c r="K471" s="8">
        <v>9000</v>
      </c>
      <c r="L471" s="8">
        <v>8400</v>
      </c>
      <c r="M471" s="8">
        <v>8300</v>
      </c>
      <c r="N471" s="8">
        <v>8000</v>
      </c>
      <c r="O471" s="8">
        <v>10700</v>
      </c>
      <c r="P471" s="8">
        <v>9500</v>
      </c>
      <c r="Q471" s="8">
        <v>8000</v>
      </c>
      <c r="R471" s="8">
        <v>8300</v>
      </c>
      <c r="S471" s="8">
        <v>11500</v>
      </c>
      <c r="T471" s="8">
        <v>13000</v>
      </c>
      <c r="U471" s="8">
        <v>13500</v>
      </c>
      <c r="V471" s="8">
        <v>13300</v>
      </c>
      <c r="W471" s="8">
        <v>13000</v>
      </c>
      <c r="X471" s="8">
        <v>13000</v>
      </c>
      <c r="Y471" s="8">
        <v>13200</v>
      </c>
      <c r="Z471" s="8">
        <v>13800</v>
      </c>
      <c r="AA471" s="8">
        <v>13300</v>
      </c>
      <c r="AB471" s="8">
        <v>13300</v>
      </c>
      <c r="AC471" s="8">
        <v>12700</v>
      </c>
      <c r="AD471" s="8">
        <v>14000</v>
      </c>
      <c r="AE471" s="8">
        <v>13000</v>
      </c>
      <c r="AF471" s="8">
        <v>16000</v>
      </c>
      <c r="AG471" s="8">
        <v>12500</v>
      </c>
      <c r="AH471" s="8">
        <v>16000</v>
      </c>
      <c r="AI471" s="8">
        <v>16500</v>
      </c>
      <c r="AJ471" s="8">
        <v>15500</v>
      </c>
      <c r="AK471" s="8">
        <v>16500</v>
      </c>
      <c r="AL471" s="8">
        <v>14700</v>
      </c>
      <c r="AM471" s="8">
        <v>15500</v>
      </c>
      <c r="AN471" s="8">
        <v>16000</v>
      </c>
      <c r="AO471" s="8">
        <v>16000</v>
      </c>
      <c r="AP471" s="8">
        <v>18000</v>
      </c>
      <c r="AQ471" s="8">
        <v>16500</v>
      </c>
      <c r="AR471" s="8">
        <v>18000</v>
      </c>
      <c r="AS471" s="8">
        <v>15500</v>
      </c>
      <c r="AT471" s="8">
        <v>16800</v>
      </c>
      <c r="AU471" s="8">
        <v>16800</v>
      </c>
      <c r="AV471" s="8">
        <v>18500</v>
      </c>
      <c r="AW471" s="8">
        <v>18500</v>
      </c>
      <c r="AX471" s="8">
        <v>17500</v>
      </c>
      <c r="AY471" s="8">
        <v>15500</v>
      </c>
      <c r="AZ471" s="8">
        <v>16800</v>
      </c>
      <c r="BA471" s="8">
        <v>18450</v>
      </c>
      <c r="BB471" s="8">
        <v>17000</v>
      </c>
      <c r="BC471" s="15">
        <v>0</v>
      </c>
      <c r="BD471" s="21">
        <f t="shared" ref="BD471:BI474" si="129">AW471/AW571</f>
        <v>2.9880349390117841E-2</v>
      </c>
      <c r="BE471" s="21">
        <f t="shared" si="129"/>
        <v>2.9349957149062564E-2</v>
      </c>
      <c r="BF471" s="21">
        <f t="shared" si="129"/>
        <v>2.5322866548493288E-2</v>
      </c>
      <c r="BG471" s="21">
        <f t="shared" si="129"/>
        <v>2.4626570310324104E-2</v>
      </c>
      <c r="BH471" s="21">
        <f t="shared" si="129"/>
        <v>2.6981297354370458E-2</v>
      </c>
      <c r="BI471" s="21">
        <f t="shared" si="129"/>
        <v>2.6267767440638707E-2</v>
      </c>
      <c r="BJ471" s="23">
        <f t="shared" ref="BJ471:BJ518" si="130">AVERAGE(BH471,BI471,BG471)</f>
        <v>2.5958545035111091E-2</v>
      </c>
    </row>
    <row r="472" spans="1:62" x14ac:dyDescent="0.25">
      <c r="A472" s="12"/>
      <c r="B472" s="2"/>
      <c r="C472" s="2" t="s">
        <v>7</v>
      </c>
      <c r="D472" s="4">
        <v>373</v>
      </c>
      <c r="E472" s="3">
        <v>1287</v>
      </c>
      <c r="F472" s="4">
        <v>583</v>
      </c>
      <c r="G472" s="4">
        <v>371</v>
      </c>
      <c r="H472" s="4">
        <v>276</v>
      </c>
      <c r="I472" s="4">
        <v>163</v>
      </c>
      <c r="J472" s="4">
        <v>308</v>
      </c>
      <c r="K472" s="4">
        <v>28</v>
      </c>
      <c r="L472" s="4">
        <v>504</v>
      </c>
      <c r="M472" s="4">
        <v>939</v>
      </c>
      <c r="N472" s="4">
        <v>898</v>
      </c>
      <c r="O472" s="4">
        <v>559</v>
      </c>
      <c r="P472" s="4">
        <v>26</v>
      </c>
      <c r="Q472" s="4">
        <v>519</v>
      </c>
      <c r="R472" s="3">
        <v>1059</v>
      </c>
      <c r="S472" s="4">
        <v>20</v>
      </c>
      <c r="T472" s="4">
        <v>0</v>
      </c>
      <c r="U472" s="4">
        <v>6</v>
      </c>
      <c r="V472" s="4">
        <v>0</v>
      </c>
      <c r="W472" s="4">
        <v>0</v>
      </c>
      <c r="X472" s="4">
        <v>0</v>
      </c>
      <c r="Y472" s="4">
        <v>748</v>
      </c>
      <c r="Z472" s="4">
        <v>49</v>
      </c>
      <c r="AA472" s="4">
        <v>350</v>
      </c>
      <c r="AB472" s="3">
        <v>1048</v>
      </c>
      <c r="AC472" s="4">
        <v>980</v>
      </c>
      <c r="AD472" s="4">
        <v>500</v>
      </c>
      <c r="AE472" s="4">
        <v>160</v>
      </c>
      <c r="AF472" s="4">
        <v>277</v>
      </c>
      <c r="AG472" s="3">
        <v>3698</v>
      </c>
      <c r="AH472" s="4">
        <v>291</v>
      </c>
      <c r="AI472" s="4">
        <v>172</v>
      </c>
      <c r="AJ472" s="4">
        <v>997</v>
      </c>
      <c r="AK472" s="4">
        <v>650</v>
      </c>
      <c r="AL472" s="4">
        <v>500</v>
      </c>
      <c r="AM472" s="3">
        <v>2100</v>
      </c>
      <c r="AN472" s="3">
        <v>2630</v>
      </c>
      <c r="AO472" s="3">
        <v>1775</v>
      </c>
      <c r="AP472" s="3">
        <v>1862</v>
      </c>
      <c r="AQ472" s="3">
        <v>1470</v>
      </c>
      <c r="AR472" s="4">
        <v>424</v>
      </c>
      <c r="AS472" s="3">
        <v>1037</v>
      </c>
      <c r="AT472" s="3">
        <v>1243</v>
      </c>
      <c r="AU472" s="3">
        <v>1089</v>
      </c>
      <c r="AV472" s="4">
        <v>390</v>
      </c>
      <c r="AW472" s="4">
        <v>125</v>
      </c>
      <c r="AX472" s="3">
        <v>1736</v>
      </c>
      <c r="AY472" s="3">
        <v>2160</v>
      </c>
      <c r="AZ472" s="3">
        <v>3468</v>
      </c>
      <c r="BA472" s="3">
        <v>3218</v>
      </c>
      <c r="BB472" s="3">
        <v>3000</v>
      </c>
      <c r="BC472" s="13">
        <v>0</v>
      </c>
      <c r="BD472" s="20">
        <f t="shared" si="129"/>
        <v>1.1203025713184616E-3</v>
      </c>
      <c r="BE472" s="20">
        <f t="shared" si="129"/>
        <v>1.522700161392183E-2</v>
      </c>
      <c r="BF472" s="20">
        <f t="shared" si="129"/>
        <v>1.8979833926453145E-2</v>
      </c>
      <c r="BG472" s="20">
        <f t="shared" si="129"/>
        <v>2.5326254445604785E-2</v>
      </c>
      <c r="BH472" s="20">
        <f t="shared" si="129"/>
        <v>2.4112996890337569E-2</v>
      </c>
      <c r="BI472" s="20">
        <f t="shared" si="129"/>
        <v>2.445505975186266E-2</v>
      </c>
      <c r="BJ472" s="23">
        <f t="shared" si="130"/>
        <v>2.463143702926834E-2</v>
      </c>
    </row>
    <row r="473" spans="1:62" s="5" customFormat="1" x14ac:dyDescent="0.25">
      <c r="A473" s="14"/>
      <c r="B473" s="6"/>
      <c r="C473" s="6" t="s">
        <v>8</v>
      </c>
      <c r="D473" s="7">
        <v>1</v>
      </c>
      <c r="E473" s="7">
        <v>1</v>
      </c>
      <c r="F473" s="7">
        <v>0</v>
      </c>
      <c r="G473" s="7">
        <v>0</v>
      </c>
      <c r="H473" s="7">
        <v>0</v>
      </c>
      <c r="I473" s="7">
        <v>0</v>
      </c>
      <c r="J473" s="7">
        <v>0</v>
      </c>
      <c r="K473" s="7">
        <v>0</v>
      </c>
      <c r="L473" s="7">
        <v>2</v>
      </c>
      <c r="M473" s="7">
        <v>0</v>
      </c>
      <c r="N473" s="7">
        <v>0</v>
      </c>
      <c r="O473" s="7">
        <v>17</v>
      </c>
      <c r="P473" s="7">
        <v>560</v>
      </c>
      <c r="Q473" s="7">
        <v>19</v>
      </c>
      <c r="R473" s="7">
        <v>0</v>
      </c>
      <c r="S473" s="7">
        <v>0</v>
      </c>
      <c r="T473" s="7">
        <v>52</v>
      </c>
      <c r="U473" s="8">
        <v>1149</v>
      </c>
      <c r="V473" s="8">
        <v>2023</v>
      </c>
      <c r="W473" s="7">
        <v>440</v>
      </c>
      <c r="X473" s="7">
        <v>530</v>
      </c>
      <c r="Y473" s="7">
        <v>337</v>
      </c>
      <c r="Z473" s="7">
        <v>573</v>
      </c>
      <c r="AA473" s="7">
        <v>600</v>
      </c>
      <c r="AB473" s="7">
        <v>517</v>
      </c>
      <c r="AC473" s="7">
        <v>112</v>
      </c>
      <c r="AD473" s="7">
        <v>52</v>
      </c>
      <c r="AE473" s="7">
        <v>933</v>
      </c>
      <c r="AF473" s="8">
        <v>1643</v>
      </c>
      <c r="AG473" s="7">
        <v>194</v>
      </c>
      <c r="AH473" s="7">
        <v>546</v>
      </c>
      <c r="AI473" s="8">
        <v>6241</v>
      </c>
      <c r="AJ473" s="8">
        <v>2019</v>
      </c>
      <c r="AK473" s="8">
        <v>1065</v>
      </c>
      <c r="AL473" s="8">
        <v>1810</v>
      </c>
      <c r="AM473" s="8">
        <v>1054</v>
      </c>
      <c r="AN473" s="7">
        <v>967</v>
      </c>
      <c r="AO473" s="8">
        <v>1324</v>
      </c>
      <c r="AP473" s="8">
        <v>2626</v>
      </c>
      <c r="AQ473" s="8">
        <v>2163</v>
      </c>
      <c r="AR473" s="8">
        <v>1601</v>
      </c>
      <c r="AS473" s="7">
        <v>753</v>
      </c>
      <c r="AT473" s="7">
        <v>794</v>
      </c>
      <c r="AU473" s="7">
        <v>839</v>
      </c>
      <c r="AV473" s="8">
        <v>2017</v>
      </c>
      <c r="AW473" s="8">
        <v>3214</v>
      </c>
      <c r="AX473" s="8">
        <v>2377</v>
      </c>
      <c r="AY473" s="8">
        <v>1722</v>
      </c>
      <c r="AZ473" s="8">
        <v>2238</v>
      </c>
      <c r="BA473" s="8">
        <v>4374</v>
      </c>
      <c r="BB473" s="8">
        <v>3000</v>
      </c>
      <c r="BC473" s="15">
        <v>0</v>
      </c>
      <c r="BD473" s="21">
        <f t="shared" si="129"/>
        <v>2.7473607727486429E-2</v>
      </c>
      <c r="BE473" s="21">
        <f t="shared" si="129"/>
        <v>2.1256427453610553E-2</v>
      </c>
      <c r="BF473" s="21">
        <f t="shared" si="129"/>
        <v>1.4682559983629202E-2</v>
      </c>
      <c r="BG473" s="21">
        <f t="shared" si="129"/>
        <v>1.5578449115968259E-2</v>
      </c>
      <c r="BH473" s="21">
        <f t="shared" si="129"/>
        <v>3.2208893896215784E-2</v>
      </c>
      <c r="BI473" s="21">
        <f t="shared" si="129"/>
        <v>2.4162954968306258E-2</v>
      </c>
      <c r="BJ473" s="23">
        <f t="shared" si="130"/>
        <v>2.3983432660163433E-2</v>
      </c>
    </row>
    <row r="474" spans="1:62" x14ac:dyDescent="0.25">
      <c r="A474" s="12"/>
      <c r="B474" s="2"/>
      <c r="C474" s="2" t="s">
        <v>9</v>
      </c>
      <c r="D474" s="3">
        <v>7010</v>
      </c>
      <c r="E474" s="3">
        <v>7517</v>
      </c>
      <c r="F474" s="3">
        <v>7345</v>
      </c>
      <c r="G474" s="3">
        <v>7494</v>
      </c>
      <c r="H474" s="3">
        <v>7703</v>
      </c>
      <c r="I474" s="3">
        <v>7959</v>
      </c>
      <c r="J474" s="3">
        <v>8210</v>
      </c>
      <c r="K474" s="3">
        <v>8680</v>
      </c>
      <c r="L474" s="3">
        <v>8916</v>
      </c>
      <c r="M474" s="3">
        <v>9351</v>
      </c>
      <c r="N474" s="3">
        <v>9198</v>
      </c>
      <c r="O474" s="3">
        <v>9642</v>
      </c>
      <c r="P474" s="3">
        <v>9666</v>
      </c>
      <c r="Q474" s="3">
        <v>9300</v>
      </c>
      <c r="R474" s="3">
        <v>9459</v>
      </c>
      <c r="S474" s="3">
        <v>10020</v>
      </c>
      <c r="T474" s="3">
        <v>10648</v>
      </c>
      <c r="U474" s="3">
        <v>11457</v>
      </c>
      <c r="V474" s="3">
        <v>11777</v>
      </c>
      <c r="W474" s="3">
        <v>12260</v>
      </c>
      <c r="X474" s="3">
        <v>12870</v>
      </c>
      <c r="Y474" s="3">
        <v>13411</v>
      </c>
      <c r="Z474" s="3">
        <v>13676</v>
      </c>
      <c r="AA474" s="3">
        <v>13750</v>
      </c>
      <c r="AB474" s="3">
        <v>13631</v>
      </c>
      <c r="AC474" s="3">
        <v>13768</v>
      </c>
      <c r="AD474" s="3">
        <v>14048</v>
      </c>
      <c r="AE474" s="3">
        <v>14027</v>
      </c>
      <c r="AF474" s="3">
        <v>14134</v>
      </c>
      <c r="AG474" s="3">
        <v>14196</v>
      </c>
      <c r="AH474" s="3">
        <v>14500</v>
      </c>
      <c r="AI474" s="3">
        <v>14764</v>
      </c>
      <c r="AJ474" s="3">
        <v>15097</v>
      </c>
      <c r="AK474" s="3">
        <v>15086</v>
      </c>
      <c r="AL474" s="3">
        <v>15190</v>
      </c>
      <c r="AM474" s="3">
        <v>16046</v>
      </c>
      <c r="AN474" s="3">
        <v>16363</v>
      </c>
      <c r="AO474" s="3">
        <v>16751</v>
      </c>
      <c r="AP474" s="3">
        <v>16886</v>
      </c>
      <c r="AQ474" s="3">
        <v>16777</v>
      </c>
      <c r="AR474" s="3">
        <v>16700</v>
      </c>
      <c r="AS474" s="3">
        <v>16501</v>
      </c>
      <c r="AT474" s="3">
        <v>16800</v>
      </c>
      <c r="AU474" s="3">
        <v>16800</v>
      </c>
      <c r="AV474" s="3">
        <v>16800</v>
      </c>
      <c r="AW474" s="3">
        <v>16100</v>
      </c>
      <c r="AX474" s="3">
        <v>16650</v>
      </c>
      <c r="AY474" s="3">
        <v>16800</v>
      </c>
      <c r="AZ474" s="3">
        <v>16900</v>
      </c>
      <c r="BA474" s="3">
        <v>17100</v>
      </c>
      <c r="BB474" s="3">
        <v>17200</v>
      </c>
      <c r="BC474" s="13">
        <v>0</v>
      </c>
      <c r="BD474" s="20">
        <f t="shared" si="129"/>
        <v>2.6106993268936084E-2</v>
      </c>
      <c r="BE474" s="20">
        <f t="shared" si="129"/>
        <v>2.692902382692967E-2</v>
      </c>
      <c r="BF474" s="20">
        <f t="shared" si="129"/>
        <v>2.7393686407513697E-2</v>
      </c>
      <c r="BG474" s="20">
        <f t="shared" si="129"/>
        <v>2.6624445652259535E-2</v>
      </c>
      <c r="BH474" s="20">
        <f t="shared" si="129"/>
        <v>2.6299236091779719E-2</v>
      </c>
      <c r="BI474" s="20">
        <f t="shared" si="129"/>
        <v>2.6030079876024178E-2</v>
      </c>
      <c r="BJ474" s="23">
        <f t="shared" si="130"/>
        <v>2.6317920540021144E-2</v>
      </c>
    </row>
    <row r="475" spans="1:62" s="5" customFormat="1" x14ac:dyDescent="0.25">
      <c r="A475" s="14" t="s">
        <v>33</v>
      </c>
      <c r="B475" s="6" t="s">
        <v>5</v>
      </c>
      <c r="C475" s="6" t="s">
        <v>6</v>
      </c>
      <c r="D475" s="7">
        <v>0</v>
      </c>
      <c r="E475" s="7">
        <v>0</v>
      </c>
      <c r="F475" s="7">
        <v>0</v>
      </c>
      <c r="G475" s="7">
        <v>0</v>
      </c>
      <c r="H475" s="7">
        <v>0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0</v>
      </c>
      <c r="O475" s="7">
        <v>0</v>
      </c>
      <c r="P475" s="7">
        <v>0</v>
      </c>
      <c r="Q475" s="7">
        <v>0</v>
      </c>
      <c r="R475" s="7">
        <v>0</v>
      </c>
      <c r="S475" s="7">
        <v>0</v>
      </c>
      <c r="T475" s="7">
        <v>0</v>
      </c>
      <c r="U475" s="7">
        <v>0</v>
      </c>
      <c r="V475" s="7">
        <v>0</v>
      </c>
      <c r="W475" s="7">
        <v>0</v>
      </c>
      <c r="X475" s="7">
        <v>0</v>
      </c>
      <c r="Y475" s="7">
        <v>0</v>
      </c>
      <c r="Z475" s="7">
        <v>0</v>
      </c>
      <c r="AA475" s="7">
        <v>0</v>
      </c>
      <c r="AB475" s="7">
        <v>0</v>
      </c>
      <c r="AC475" s="7">
        <v>0</v>
      </c>
      <c r="AD475" s="7">
        <v>0</v>
      </c>
      <c r="AE475" s="7">
        <v>421</v>
      </c>
      <c r="AF475" s="7">
        <v>520</v>
      </c>
      <c r="AG475" s="7">
        <v>460</v>
      </c>
      <c r="AH475" s="7">
        <v>431</v>
      </c>
      <c r="AI475" s="7">
        <v>431</v>
      </c>
      <c r="AJ475" s="7">
        <v>367</v>
      </c>
      <c r="AK475" s="7">
        <v>404</v>
      </c>
      <c r="AL475" s="7">
        <v>276</v>
      </c>
      <c r="AM475" s="7">
        <v>181</v>
      </c>
      <c r="AN475" s="7">
        <v>137</v>
      </c>
      <c r="AO475" s="7">
        <v>139</v>
      </c>
      <c r="AP475" s="7">
        <v>160</v>
      </c>
      <c r="AQ475" s="7">
        <v>165</v>
      </c>
      <c r="AR475" s="7">
        <v>55</v>
      </c>
      <c r="AS475" s="7">
        <v>30</v>
      </c>
      <c r="AT475" s="7">
        <v>150</v>
      </c>
      <c r="AU475" s="7">
        <v>145</v>
      </c>
      <c r="AV475" s="7">
        <v>155</v>
      </c>
      <c r="AW475" s="7">
        <v>160</v>
      </c>
      <c r="AX475" s="7">
        <v>160</v>
      </c>
      <c r="AY475" s="7">
        <v>160</v>
      </c>
      <c r="AZ475" s="7">
        <v>160</v>
      </c>
      <c r="BA475" s="7">
        <v>160</v>
      </c>
      <c r="BB475" s="7">
        <v>160</v>
      </c>
      <c r="BC475" s="15">
        <v>0</v>
      </c>
      <c r="BD475" s="21">
        <f t="shared" ref="BD475:BI482" si="131">AW475/AW547</f>
        <v>2.2874854530221972E-4</v>
      </c>
      <c r="BE475" s="21">
        <f t="shared" si="131"/>
        <v>2.2422435889350885E-4</v>
      </c>
      <c r="BF475" s="21">
        <f t="shared" si="131"/>
        <v>2.0139161606702312E-4</v>
      </c>
      <c r="BG475" s="21">
        <f t="shared" si="131"/>
        <v>2.0029443281623988E-4</v>
      </c>
      <c r="BH475" s="21">
        <f t="shared" si="131"/>
        <v>1.9694077129391317E-4</v>
      </c>
      <c r="BI475" s="21">
        <f t="shared" si="131"/>
        <v>1.963332314854695E-4</v>
      </c>
      <c r="BJ475" s="23">
        <f t="shared" si="130"/>
        <v>1.9785614519854085E-4</v>
      </c>
    </row>
    <row r="476" spans="1:62" x14ac:dyDescent="0.25">
      <c r="A476" s="12"/>
      <c r="B476" s="2"/>
      <c r="C476" s="2" t="s">
        <v>7</v>
      </c>
      <c r="D476" s="4">
        <v>0</v>
      </c>
      <c r="E476" s="4">
        <v>0</v>
      </c>
      <c r="F476" s="4">
        <v>0</v>
      </c>
      <c r="G476" s="4">
        <v>0</v>
      </c>
      <c r="H476" s="4">
        <v>0</v>
      </c>
      <c r="I476" s="4">
        <v>0</v>
      </c>
      <c r="J476" s="4">
        <v>0</v>
      </c>
      <c r="K476" s="4">
        <v>0</v>
      </c>
      <c r="L476" s="4">
        <v>0</v>
      </c>
      <c r="M476" s="4">
        <v>0</v>
      </c>
      <c r="N476" s="4">
        <v>0</v>
      </c>
      <c r="O476" s="4">
        <v>0</v>
      </c>
      <c r="P476" s="4">
        <v>0</v>
      </c>
      <c r="Q476" s="4">
        <v>0</v>
      </c>
      <c r="R476" s="4">
        <v>0</v>
      </c>
      <c r="S476" s="4">
        <v>0</v>
      </c>
      <c r="T476" s="4">
        <v>0</v>
      </c>
      <c r="U476" s="4">
        <v>0</v>
      </c>
      <c r="V476" s="4">
        <v>0</v>
      </c>
      <c r="W476" s="4">
        <v>0</v>
      </c>
      <c r="X476" s="4">
        <v>0</v>
      </c>
      <c r="Y476" s="4">
        <v>0</v>
      </c>
      <c r="Z476" s="4">
        <v>0</v>
      </c>
      <c r="AA476" s="4">
        <v>0</v>
      </c>
      <c r="AB476" s="4">
        <v>0</v>
      </c>
      <c r="AC476" s="4">
        <v>0</v>
      </c>
      <c r="AD476" s="4">
        <v>0</v>
      </c>
      <c r="AE476" s="4">
        <v>850</v>
      </c>
      <c r="AF476" s="4">
        <v>670</v>
      </c>
      <c r="AG476" s="4">
        <v>950</v>
      </c>
      <c r="AH476" s="4">
        <v>890</v>
      </c>
      <c r="AI476" s="4">
        <v>490</v>
      </c>
      <c r="AJ476" s="4">
        <v>200</v>
      </c>
      <c r="AK476" s="4">
        <v>43</v>
      </c>
      <c r="AL476" s="4">
        <v>0</v>
      </c>
      <c r="AM476" s="4">
        <v>0</v>
      </c>
      <c r="AN476" s="4">
        <v>0</v>
      </c>
      <c r="AO476" s="4">
        <v>0</v>
      </c>
      <c r="AP476" s="4">
        <v>0</v>
      </c>
      <c r="AQ476" s="4">
        <v>0</v>
      </c>
      <c r="AR476" s="4">
        <v>0</v>
      </c>
      <c r="AS476" s="4">
        <v>0</v>
      </c>
      <c r="AT476" s="4">
        <v>0</v>
      </c>
      <c r="AU476" s="4">
        <v>0</v>
      </c>
      <c r="AV476" s="4">
        <v>0</v>
      </c>
      <c r="AW476" s="4">
        <v>0</v>
      </c>
      <c r="AX476" s="4">
        <v>0</v>
      </c>
      <c r="AY476" s="4">
        <v>5</v>
      </c>
      <c r="AZ476" s="4">
        <v>25</v>
      </c>
      <c r="BA476" s="4">
        <v>10</v>
      </c>
      <c r="BB476" s="4">
        <v>10</v>
      </c>
      <c r="BC476" s="13">
        <v>0</v>
      </c>
      <c r="BD476" s="20">
        <f t="shared" si="131"/>
        <v>0</v>
      </c>
      <c r="BE476" s="20">
        <f t="shared" si="131"/>
        <v>0</v>
      </c>
      <c r="BF476" s="20">
        <f t="shared" si="131"/>
        <v>5.07526619771207E-5</v>
      </c>
      <c r="BG476" s="20">
        <f t="shared" si="131"/>
        <v>3.0271108043638829E-4</v>
      </c>
      <c r="BH476" s="20">
        <f t="shared" si="131"/>
        <v>1.1130651588343982E-4</v>
      </c>
      <c r="BI476" s="20">
        <f t="shared" si="131"/>
        <v>1.0904768655332977E-4</v>
      </c>
      <c r="BJ476" s="23">
        <f t="shared" si="130"/>
        <v>1.7435509429105265E-4</v>
      </c>
    </row>
    <row r="477" spans="1:62" s="5" customFormat="1" x14ac:dyDescent="0.25">
      <c r="A477" s="14"/>
      <c r="B477" s="6"/>
      <c r="C477" s="6" t="s">
        <v>8</v>
      </c>
      <c r="D477" s="7">
        <v>0</v>
      </c>
      <c r="E477" s="7">
        <v>0</v>
      </c>
      <c r="F477" s="7">
        <v>0</v>
      </c>
      <c r="G477" s="7">
        <v>0</v>
      </c>
      <c r="H477" s="7">
        <v>0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0</v>
      </c>
      <c r="Q477" s="7">
        <v>0</v>
      </c>
      <c r="R477" s="7">
        <v>0</v>
      </c>
      <c r="S477" s="7">
        <v>0</v>
      </c>
      <c r="T477" s="7">
        <v>0</v>
      </c>
      <c r="U477" s="7">
        <v>0</v>
      </c>
      <c r="V477" s="7">
        <v>0</v>
      </c>
      <c r="W477" s="7">
        <v>0</v>
      </c>
      <c r="X477" s="7">
        <v>0</v>
      </c>
      <c r="Y477" s="7">
        <v>0</v>
      </c>
      <c r="Z477" s="7">
        <v>0</v>
      </c>
      <c r="AA477" s="7">
        <v>0</v>
      </c>
      <c r="AB477" s="7">
        <v>0</v>
      </c>
      <c r="AC477" s="7">
        <v>0</v>
      </c>
      <c r="AD477" s="7">
        <v>0</v>
      </c>
      <c r="AE477" s="7">
        <v>0</v>
      </c>
      <c r="AF477" s="7">
        <v>0</v>
      </c>
      <c r="AG477" s="7">
        <v>0</v>
      </c>
      <c r="AH477" s="7">
        <v>0</v>
      </c>
      <c r="AI477" s="7">
        <v>0</v>
      </c>
      <c r="AJ477" s="7">
        <v>0</v>
      </c>
      <c r="AK477" s="7">
        <v>0</v>
      </c>
      <c r="AL477" s="7">
        <v>0</v>
      </c>
      <c r="AM477" s="7">
        <v>0</v>
      </c>
      <c r="AN477" s="7">
        <v>0</v>
      </c>
      <c r="AO477" s="7">
        <v>0</v>
      </c>
      <c r="AP477" s="7">
        <v>0</v>
      </c>
      <c r="AQ477" s="7">
        <v>0</v>
      </c>
      <c r="AR477" s="7">
        <v>7</v>
      </c>
      <c r="AS477" s="7">
        <v>0</v>
      </c>
      <c r="AT477" s="7">
        <v>0</v>
      </c>
      <c r="AU477" s="7">
        <v>0</v>
      </c>
      <c r="AV477" s="7">
        <v>0</v>
      </c>
      <c r="AW477" s="7">
        <v>0</v>
      </c>
      <c r="AX477" s="7">
        <v>0</v>
      </c>
      <c r="AY477" s="7">
        <v>0</v>
      </c>
      <c r="AZ477" s="7">
        <v>0</v>
      </c>
      <c r="BA477" s="7">
        <v>0</v>
      </c>
      <c r="BB477" s="7">
        <v>0</v>
      </c>
      <c r="BC477" s="15">
        <v>0</v>
      </c>
      <c r="BD477" s="21">
        <f t="shared" si="131"/>
        <v>0</v>
      </c>
      <c r="BE477" s="21">
        <f t="shared" si="131"/>
        <v>0</v>
      </c>
      <c r="BF477" s="21">
        <f t="shared" si="131"/>
        <v>0</v>
      </c>
      <c r="BG477" s="21">
        <f t="shared" si="131"/>
        <v>0</v>
      </c>
      <c r="BH477" s="21">
        <f t="shared" si="131"/>
        <v>0</v>
      </c>
      <c r="BI477" s="21">
        <f t="shared" si="131"/>
        <v>0</v>
      </c>
      <c r="BJ477" s="23">
        <f t="shared" si="130"/>
        <v>0</v>
      </c>
    </row>
    <row r="478" spans="1:62" x14ac:dyDescent="0.25">
      <c r="A478" s="12"/>
      <c r="B478" s="2"/>
      <c r="C478" s="2" t="s">
        <v>9</v>
      </c>
      <c r="D478" s="4">
        <v>0</v>
      </c>
      <c r="E478" s="4">
        <v>0</v>
      </c>
      <c r="F478" s="4">
        <v>0</v>
      </c>
      <c r="G478" s="4">
        <v>0</v>
      </c>
      <c r="H478" s="4">
        <v>0</v>
      </c>
      <c r="I478" s="4">
        <v>0</v>
      </c>
      <c r="J478" s="4">
        <v>0</v>
      </c>
      <c r="K478" s="4">
        <v>0</v>
      </c>
      <c r="L478" s="4">
        <v>0</v>
      </c>
      <c r="M478" s="4">
        <v>0</v>
      </c>
      <c r="N478" s="4">
        <v>0</v>
      </c>
      <c r="O478" s="4">
        <v>0</v>
      </c>
      <c r="P478" s="4">
        <v>0</v>
      </c>
      <c r="Q478" s="4">
        <v>0</v>
      </c>
      <c r="R478" s="4">
        <v>0</v>
      </c>
      <c r="S478" s="4">
        <v>0</v>
      </c>
      <c r="T478" s="4">
        <v>0</v>
      </c>
      <c r="U478" s="4">
        <v>0</v>
      </c>
      <c r="V478" s="4">
        <v>0</v>
      </c>
      <c r="W478" s="4">
        <v>0</v>
      </c>
      <c r="X478" s="4">
        <v>0</v>
      </c>
      <c r="Y478" s="4">
        <v>0</v>
      </c>
      <c r="Z478" s="4">
        <v>0</v>
      </c>
      <c r="AA478" s="4">
        <v>0</v>
      </c>
      <c r="AB478" s="4">
        <v>0</v>
      </c>
      <c r="AC478" s="4">
        <v>0</v>
      </c>
      <c r="AD478" s="4">
        <v>0</v>
      </c>
      <c r="AE478" s="3">
        <v>1314</v>
      </c>
      <c r="AF478" s="3">
        <v>1157</v>
      </c>
      <c r="AG478" s="3">
        <v>1397</v>
      </c>
      <c r="AH478" s="3">
        <v>1355</v>
      </c>
      <c r="AI478" s="4">
        <v>970</v>
      </c>
      <c r="AJ478" s="4">
        <v>567</v>
      </c>
      <c r="AK478" s="4">
        <v>467</v>
      </c>
      <c r="AL478" s="4">
        <v>276</v>
      </c>
      <c r="AM478" s="4">
        <v>181</v>
      </c>
      <c r="AN478" s="4">
        <v>137</v>
      </c>
      <c r="AO478" s="4">
        <v>136</v>
      </c>
      <c r="AP478" s="4">
        <v>155</v>
      </c>
      <c r="AQ478" s="4">
        <v>160</v>
      </c>
      <c r="AR478" s="4">
        <v>56</v>
      </c>
      <c r="AS478" s="4">
        <v>30</v>
      </c>
      <c r="AT478" s="4">
        <v>120</v>
      </c>
      <c r="AU478" s="4">
        <v>150</v>
      </c>
      <c r="AV478" s="4">
        <v>150</v>
      </c>
      <c r="AW478" s="4">
        <v>175</v>
      </c>
      <c r="AX478" s="4">
        <v>175</v>
      </c>
      <c r="AY478" s="4">
        <v>150</v>
      </c>
      <c r="AZ478" s="4">
        <v>175</v>
      </c>
      <c r="BA478" s="4">
        <v>175</v>
      </c>
      <c r="BB478" s="4">
        <v>175</v>
      </c>
      <c r="BC478" s="13">
        <v>0</v>
      </c>
      <c r="BD478" s="20">
        <f t="shared" si="131"/>
        <v>2.4788483412255144E-4</v>
      </c>
      <c r="BE478" s="20">
        <f t="shared" si="131"/>
        <v>2.4147523429997019E-4</v>
      </c>
      <c r="BF478" s="20">
        <f t="shared" si="131"/>
        <v>1.9423887496843617E-4</v>
      </c>
      <c r="BG478" s="20">
        <f t="shared" si="131"/>
        <v>2.2431727435284467E-4</v>
      </c>
      <c r="BH478" s="20">
        <f t="shared" si="131"/>
        <v>2.1643602831230606E-4</v>
      </c>
      <c r="BI478" s="20">
        <f t="shared" si="131"/>
        <v>2.0852622008691373E-4</v>
      </c>
      <c r="BJ478" s="23">
        <f t="shared" si="130"/>
        <v>2.164265075840215E-4</v>
      </c>
    </row>
    <row r="479" spans="1:62" s="5" customFormat="1" x14ac:dyDescent="0.25">
      <c r="A479" s="14"/>
      <c r="B479" s="6" t="s">
        <v>10</v>
      </c>
      <c r="C479" s="6" t="s">
        <v>6</v>
      </c>
      <c r="D479" s="7">
        <v>0</v>
      </c>
      <c r="E479" s="7">
        <v>0</v>
      </c>
      <c r="F479" s="7">
        <v>0</v>
      </c>
      <c r="G479" s="7">
        <v>0</v>
      </c>
      <c r="H479" s="7">
        <v>0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0</v>
      </c>
      <c r="P479" s="7">
        <v>0</v>
      </c>
      <c r="Q479" s="7">
        <v>0</v>
      </c>
      <c r="R479" s="7">
        <v>0</v>
      </c>
      <c r="S479" s="7">
        <v>0</v>
      </c>
      <c r="T479" s="7">
        <v>0</v>
      </c>
      <c r="U479" s="7">
        <v>0</v>
      </c>
      <c r="V479" s="7">
        <v>0</v>
      </c>
      <c r="W479" s="7">
        <v>0</v>
      </c>
      <c r="X479" s="7">
        <v>0</v>
      </c>
      <c r="Y479" s="7">
        <v>0</v>
      </c>
      <c r="Z479" s="7">
        <v>0</v>
      </c>
      <c r="AA479" s="7">
        <v>0</v>
      </c>
      <c r="AB479" s="7">
        <v>0</v>
      </c>
      <c r="AC479" s="7">
        <v>0</v>
      </c>
      <c r="AD479" s="7">
        <v>0</v>
      </c>
      <c r="AE479" s="8">
        <v>6912</v>
      </c>
      <c r="AF479" s="8">
        <v>7956</v>
      </c>
      <c r="AG479" s="8">
        <v>7605</v>
      </c>
      <c r="AH479" s="8">
        <v>7317</v>
      </c>
      <c r="AI479" s="8">
        <v>6628</v>
      </c>
      <c r="AJ479" s="8">
        <v>5851</v>
      </c>
      <c r="AK479" s="8">
        <v>6067</v>
      </c>
      <c r="AL479" s="8">
        <v>5778</v>
      </c>
      <c r="AM479" s="8">
        <v>5740</v>
      </c>
      <c r="AN479" s="8">
        <v>4813</v>
      </c>
      <c r="AO479" s="8">
        <v>5228</v>
      </c>
      <c r="AP479" s="8">
        <v>4600</v>
      </c>
      <c r="AQ479" s="8">
        <v>5180</v>
      </c>
      <c r="AR479" s="8">
        <v>4400</v>
      </c>
      <c r="AS479" s="8">
        <v>4900</v>
      </c>
      <c r="AT479" s="8">
        <v>4600</v>
      </c>
      <c r="AU479" s="8">
        <v>4100</v>
      </c>
      <c r="AV479" s="8">
        <v>5200</v>
      </c>
      <c r="AW479" s="8">
        <v>5550</v>
      </c>
      <c r="AX479" s="8">
        <v>5350</v>
      </c>
      <c r="AY479" s="8">
        <v>5350</v>
      </c>
      <c r="AZ479" s="8">
        <v>4600</v>
      </c>
      <c r="BA479" s="8">
        <v>3900</v>
      </c>
      <c r="BB479" s="8">
        <v>4650</v>
      </c>
      <c r="BC479" s="15">
        <v>0</v>
      </c>
      <c r="BD479" s="21">
        <f t="shared" si="131"/>
        <v>4.7666898559686685E-2</v>
      </c>
      <c r="BE479" s="21">
        <f t="shared" si="131"/>
        <v>4.3920139230946051E-2</v>
      </c>
      <c r="BF479" s="21">
        <f t="shared" si="131"/>
        <v>4.4701419583399481E-2</v>
      </c>
      <c r="BG479" s="21">
        <f t="shared" si="131"/>
        <v>4.2949711489981515E-2</v>
      </c>
      <c r="BH479" s="21">
        <f t="shared" si="131"/>
        <v>3.8482791285127882E-2</v>
      </c>
      <c r="BI479" s="21">
        <f t="shared" si="131"/>
        <v>4.0599652501899015E-2</v>
      </c>
      <c r="BJ479" s="23">
        <f t="shared" si="130"/>
        <v>4.0677385092336135E-2</v>
      </c>
    </row>
    <row r="480" spans="1:62" x14ac:dyDescent="0.25">
      <c r="A480" s="12"/>
      <c r="B480" s="2"/>
      <c r="C480" s="2" t="s">
        <v>7</v>
      </c>
      <c r="D480" s="4">
        <v>0</v>
      </c>
      <c r="E480" s="4">
        <v>0</v>
      </c>
      <c r="F480" s="4">
        <v>0</v>
      </c>
      <c r="G480" s="4">
        <v>0</v>
      </c>
      <c r="H480" s="4">
        <v>0</v>
      </c>
      <c r="I480" s="4">
        <v>0</v>
      </c>
      <c r="J480" s="4">
        <v>0</v>
      </c>
      <c r="K480" s="4">
        <v>0</v>
      </c>
      <c r="L480" s="4">
        <v>0</v>
      </c>
      <c r="M480" s="4">
        <v>0</v>
      </c>
      <c r="N480" s="4">
        <v>0</v>
      </c>
      <c r="O480" s="4">
        <v>0</v>
      </c>
      <c r="P480" s="4">
        <v>0</v>
      </c>
      <c r="Q480" s="4">
        <v>0</v>
      </c>
      <c r="R480" s="4">
        <v>0</v>
      </c>
      <c r="S480" s="4">
        <v>0</v>
      </c>
      <c r="T480" s="4">
        <v>0</v>
      </c>
      <c r="U480" s="4">
        <v>0</v>
      </c>
      <c r="V480" s="4">
        <v>0</v>
      </c>
      <c r="W480" s="4">
        <v>0</v>
      </c>
      <c r="X480" s="4">
        <v>0</v>
      </c>
      <c r="Y480" s="4">
        <v>0</v>
      </c>
      <c r="Z480" s="4">
        <v>0</v>
      </c>
      <c r="AA480" s="4">
        <v>0</v>
      </c>
      <c r="AB480" s="4">
        <v>0</v>
      </c>
      <c r="AC480" s="4">
        <v>0</v>
      </c>
      <c r="AD480" s="4">
        <v>0</v>
      </c>
      <c r="AE480" s="4">
        <v>13</v>
      </c>
      <c r="AF480" s="4">
        <v>13</v>
      </c>
      <c r="AG480" s="4">
        <v>12</v>
      </c>
      <c r="AH480" s="4">
        <v>11</v>
      </c>
      <c r="AI480" s="4">
        <v>10</v>
      </c>
      <c r="AJ480" s="4">
        <v>0</v>
      </c>
      <c r="AK480" s="4">
        <v>5</v>
      </c>
      <c r="AL480" s="4">
        <v>5</v>
      </c>
      <c r="AM480" s="4">
        <v>5</v>
      </c>
      <c r="AN480" s="4">
        <v>5</v>
      </c>
      <c r="AO480" s="4">
        <v>5</v>
      </c>
      <c r="AP480" s="4">
        <v>5</v>
      </c>
      <c r="AQ480" s="4">
        <v>5</v>
      </c>
      <c r="AR480" s="4">
        <v>5</v>
      </c>
      <c r="AS480" s="4">
        <v>0</v>
      </c>
      <c r="AT480" s="4">
        <v>0</v>
      </c>
      <c r="AU480" s="4">
        <v>5</v>
      </c>
      <c r="AV480" s="4">
        <v>0</v>
      </c>
      <c r="AW480" s="4">
        <v>0</v>
      </c>
      <c r="AX480" s="4">
        <v>0</v>
      </c>
      <c r="AY480" s="4">
        <v>0</v>
      </c>
      <c r="AZ480" s="4">
        <v>0</v>
      </c>
      <c r="BA480" s="4">
        <v>0</v>
      </c>
      <c r="BB480" s="4">
        <v>0</v>
      </c>
      <c r="BC480" s="13">
        <v>0</v>
      </c>
      <c r="BD480" s="20">
        <f t="shared" si="131"/>
        <v>0</v>
      </c>
      <c r="BE480" s="20">
        <f t="shared" si="131"/>
        <v>0</v>
      </c>
      <c r="BF480" s="20">
        <f t="shared" si="131"/>
        <v>0</v>
      </c>
      <c r="BG480" s="20">
        <f t="shared" si="131"/>
        <v>0</v>
      </c>
      <c r="BH480" s="20">
        <f t="shared" si="131"/>
        <v>0</v>
      </c>
      <c r="BI480" s="20">
        <f t="shared" si="131"/>
        <v>0</v>
      </c>
      <c r="BJ480" s="23">
        <f t="shared" si="130"/>
        <v>0</v>
      </c>
    </row>
    <row r="481" spans="1:62" s="5" customFormat="1" x14ac:dyDescent="0.25">
      <c r="A481" s="14"/>
      <c r="B481" s="6"/>
      <c r="C481" s="6" t="s">
        <v>8</v>
      </c>
      <c r="D481" s="7">
        <v>0</v>
      </c>
      <c r="E481" s="7">
        <v>0</v>
      </c>
      <c r="F481" s="7">
        <v>0</v>
      </c>
      <c r="G481" s="7">
        <v>0</v>
      </c>
      <c r="H481" s="7">
        <v>0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0</v>
      </c>
      <c r="P481" s="7">
        <v>0</v>
      </c>
      <c r="Q481" s="7">
        <v>0</v>
      </c>
      <c r="R481" s="7">
        <v>0</v>
      </c>
      <c r="S481" s="7">
        <v>0</v>
      </c>
      <c r="T481" s="7">
        <v>0</v>
      </c>
      <c r="U481" s="7">
        <v>0</v>
      </c>
      <c r="V481" s="7">
        <v>0</v>
      </c>
      <c r="W481" s="7">
        <v>0</v>
      </c>
      <c r="X481" s="7">
        <v>0</v>
      </c>
      <c r="Y481" s="7">
        <v>0</v>
      </c>
      <c r="Z481" s="7">
        <v>0</v>
      </c>
      <c r="AA481" s="7">
        <v>0</v>
      </c>
      <c r="AB481" s="7">
        <v>0</v>
      </c>
      <c r="AC481" s="7">
        <v>0</v>
      </c>
      <c r="AD481" s="7">
        <v>0</v>
      </c>
      <c r="AE481" s="8">
        <v>6284</v>
      </c>
      <c r="AF481" s="8">
        <v>7006</v>
      </c>
      <c r="AG481" s="8">
        <v>6810</v>
      </c>
      <c r="AH481" s="8">
        <v>5393</v>
      </c>
      <c r="AI481" s="8">
        <v>5200</v>
      </c>
      <c r="AJ481" s="8">
        <v>5500</v>
      </c>
      <c r="AK481" s="8">
        <v>5800</v>
      </c>
      <c r="AL481" s="8">
        <v>5006</v>
      </c>
      <c r="AM481" s="8">
        <v>4524</v>
      </c>
      <c r="AN481" s="8">
        <v>4550</v>
      </c>
      <c r="AO481" s="8">
        <v>4570</v>
      </c>
      <c r="AP481" s="8">
        <v>3812</v>
      </c>
      <c r="AQ481" s="8">
        <v>4200</v>
      </c>
      <c r="AR481" s="8">
        <v>3450</v>
      </c>
      <c r="AS481" s="8">
        <v>3500</v>
      </c>
      <c r="AT481" s="8">
        <v>3400</v>
      </c>
      <c r="AU481" s="8">
        <v>3100</v>
      </c>
      <c r="AV481" s="8">
        <v>3950</v>
      </c>
      <c r="AW481" s="8">
        <v>4800</v>
      </c>
      <c r="AX481" s="8">
        <v>4500</v>
      </c>
      <c r="AY481" s="8">
        <v>4200</v>
      </c>
      <c r="AZ481" s="8">
        <v>3000</v>
      </c>
      <c r="BA481" s="8">
        <v>3800</v>
      </c>
      <c r="BB481" s="8">
        <v>3500</v>
      </c>
      <c r="BC481" s="15">
        <v>0</v>
      </c>
      <c r="BD481" s="21">
        <f t="shared" si="131"/>
        <v>0.10701386721362643</v>
      </c>
      <c r="BE481" s="21">
        <f t="shared" si="131"/>
        <v>0.12007684918347743</v>
      </c>
      <c r="BF481" s="21">
        <f t="shared" si="131"/>
        <v>0.10767850275605692</v>
      </c>
      <c r="BG481" s="21">
        <f t="shared" si="131"/>
        <v>9.9783801762847166E-2</v>
      </c>
      <c r="BH481" s="21">
        <f t="shared" si="131"/>
        <v>0.10680157391793142</v>
      </c>
      <c r="BI481" s="21">
        <f t="shared" si="131"/>
        <v>9.1791240493050097E-2</v>
      </c>
      <c r="BJ481" s="23">
        <f t="shared" si="130"/>
        <v>9.9458872057942904E-2</v>
      </c>
    </row>
    <row r="482" spans="1:62" x14ac:dyDescent="0.25">
      <c r="A482" s="12"/>
      <c r="B482" s="2"/>
      <c r="C482" s="2" t="s">
        <v>9</v>
      </c>
      <c r="D482" s="4">
        <v>0</v>
      </c>
      <c r="E482" s="4">
        <v>0</v>
      </c>
      <c r="F482" s="4">
        <v>0</v>
      </c>
      <c r="G482" s="4">
        <v>0</v>
      </c>
      <c r="H482" s="4">
        <v>0</v>
      </c>
      <c r="I482" s="4">
        <v>0</v>
      </c>
      <c r="J482" s="4">
        <v>0</v>
      </c>
      <c r="K482" s="4">
        <v>0</v>
      </c>
      <c r="L482" s="4">
        <v>0</v>
      </c>
      <c r="M482" s="4">
        <v>0</v>
      </c>
      <c r="N482" s="4">
        <v>0</v>
      </c>
      <c r="O482" s="4">
        <v>0</v>
      </c>
      <c r="P482" s="4">
        <v>0</v>
      </c>
      <c r="Q482" s="4">
        <v>0</v>
      </c>
      <c r="R482" s="4">
        <v>0</v>
      </c>
      <c r="S482" s="4">
        <v>0</v>
      </c>
      <c r="T482" s="4">
        <v>0</v>
      </c>
      <c r="U482" s="4">
        <v>0</v>
      </c>
      <c r="V482" s="4">
        <v>0</v>
      </c>
      <c r="W482" s="4">
        <v>0</v>
      </c>
      <c r="X482" s="4">
        <v>0</v>
      </c>
      <c r="Y482" s="4">
        <v>0</v>
      </c>
      <c r="Z482" s="4">
        <v>0</v>
      </c>
      <c r="AA482" s="4">
        <v>0</v>
      </c>
      <c r="AB482" s="4">
        <v>0</v>
      </c>
      <c r="AC482" s="4">
        <v>0</v>
      </c>
      <c r="AD482" s="4">
        <v>0</v>
      </c>
      <c r="AE482" s="4">
        <v>796</v>
      </c>
      <c r="AF482" s="4">
        <v>787</v>
      </c>
      <c r="AG482" s="4">
        <v>820</v>
      </c>
      <c r="AH482" s="4">
        <v>840</v>
      </c>
      <c r="AI482" s="4">
        <v>860</v>
      </c>
      <c r="AJ482" s="4">
        <v>950</v>
      </c>
      <c r="AK482" s="4">
        <v>800</v>
      </c>
      <c r="AL482" s="4">
        <v>827</v>
      </c>
      <c r="AM482" s="4">
        <v>873</v>
      </c>
      <c r="AN482" s="4">
        <v>750</v>
      </c>
      <c r="AO482" s="4">
        <v>850</v>
      </c>
      <c r="AP482" s="4">
        <v>825</v>
      </c>
      <c r="AQ482" s="4">
        <v>850</v>
      </c>
      <c r="AR482" s="3">
        <v>1025</v>
      </c>
      <c r="AS482" s="3">
        <v>1150</v>
      </c>
      <c r="AT482" s="3">
        <v>1100</v>
      </c>
      <c r="AU482" s="3">
        <v>1100</v>
      </c>
      <c r="AV482" s="4">
        <v>875</v>
      </c>
      <c r="AW482" s="4">
        <v>800</v>
      </c>
      <c r="AX482" s="4">
        <v>900</v>
      </c>
      <c r="AY482" s="3">
        <v>1000</v>
      </c>
      <c r="AZ482" s="3">
        <v>1000</v>
      </c>
      <c r="BA482" s="3">
        <v>1100</v>
      </c>
      <c r="BB482" s="3">
        <v>1250</v>
      </c>
      <c r="BC482" s="13">
        <v>0</v>
      </c>
      <c r="BD482" s="20">
        <f t="shared" si="131"/>
        <v>6.9542238216937016E-3</v>
      </c>
      <c r="BE482" s="20">
        <f t="shared" si="131"/>
        <v>7.3778958241109633E-3</v>
      </c>
      <c r="BF482" s="20">
        <f t="shared" si="131"/>
        <v>8.2525273364968017E-3</v>
      </c>
      <c r="BG482" s="20">
        <f t="shared" si="131"/>
        <v>9.3117672803121297E-3</v>
      </c>
      <c r="BH482" s="20">
        <f t="shared" si="131"/>
        <v>9.2865404259989369E-3</v>
      </c>
      <c r="BI482" s="20">
        <f t="shared" si="131"/>
        <v>1.0686226736084395E-2</v>
      </c>
      <c r="BJ482" s="23">
        <f t="shared" si="130"/>
        <v>9.7615114807984866E-3</v>
      </c>
    </row>
    <row r="483" spans="1:62" s="5" customFormat="1" x14ac:dyDescent="0.25">
      <c r="A483" s="14"/>
      <c r="B483" s="6" t="s">
        <v>11</v>
      </c>
      <c r="C483" s="6" t="s">
        <v>7</v>
      </c>
      <c r="D483" s="7">
        <v>0</v>
      </c>
      <c r="E483" s="7">
        <v>0</v>
      </c>
      <c r="F483" s="7">
        <v>0</v>
      </c>
      <c r="G483" s="7">
        <v>0</v>
      </c>
      <c r="H483" s="7">
        <v>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0</v>
      </c>
      <c r="O483" s="7">
        <v>0</v>
      </c>
      <c r="P483" s="7">
        <v>0</v>
      </c>
      <c r="Q483" s="7">
        <v>0</v>
      </c>
      <c r="R483" s="7">
        <v>0</v>
      </c>
      <c r="S483" s="7">
        <v>0</v>
      </c>
      <c r="T483" s="7">
        <v>0</v>
      </c>
      <c r="U483" s="7">
        <v>0</v>
      </c>
      <c r="V483" s="7">
        <v>0</v>
      </c>
      <c r="W483" s="7">
        <v>0</v>
      </c>
      <c r="X483" s="7">
        <v>0</v>
      </c>
      <c r="Y483" s="7">
        <v>0</v>
      </c>
      <c r="Z483" s="7">
        <v>0</v>
      </c>
      <c r="AA483" s="7">
        <v>0</v>
      </c>
      <c r="AB483" s="7">
        <v>0</v>
      </c>
      <c r="AC483" s="7">
        <v>0</v>
      </c>
      <c r="AD483" s="7">
        <v>0</v>
      </c>
      <c r="AE483" s="7">
        <v>0</v>
      </c>
      <c r="AF483" s="7">
        <v>0</v>
      </c>
      <c r="AG483" s="7">
        <v>0</v>
      </c>
      <c r="AH483" s="7">
        <v>0</v>
      </c>
      <c r="AI483" s="7">
        <v>0</v>
      </c>
      <c r="AJ483" s="7">
        <v>0</v>
      </c>
      <c r="AK483" s="7">
        <v>0</v>
      </c>
      <c r="AL483" s="7">
        <v>0</v>
      </c>
      <c r="AM483" s="7">
        <v>100</v>
      </c>
      <c r="AN483" s="7">
        <v>100</v>
      </c>
      <c r="AO483" s="7">
        <v>175</v>
      </c>
      <c r="AP483" s="7">
        <v>120</v>
      </c>
      <c r="AQ483" s="7">
        <v>33</v>
      </c>
      <c r="AR483" s="7">
        <v>54</v>
      </c>
      <c r="AS483" s="7">
        <v>65</v>
      </c>
      <c r="AT483" s="7">
        <v>70</v>
      </c>
      <c r="AU483" s="7">
        <v>1</v>
      </c>
      <c r="AV483" s="7">
        <v>10</v>
      </c>
      <c r="AW483" s="7">
        <v>1</v>
      </c>
      <c r="AX483" s="7">
        <v>5</v>
      </c>
      <c r="AY483" s="7">
        <v>5</v>
      </c>
      <c r="AZ483" s="7">
        <v>5</v>
      </c>
      <c r="BA483" s="7">
        <v>5</v>
      </c>
      <c r="BB483" s="7">
        <v>5</v>
      </c>
      <c r="BC483" s="15">
        <v>0</v>
      </c>
      <c r="BD483" s="21">
        <f t="shared" ref="BD483:BI483" si="132">AW483/AW556</f>
        <v>1.5593569212056949E-5</v>
      </c>
      <c r="BE483" s="21">
        <f t="shared" si="132"/>
        <v>7.2397665899251408E-5</v>
      </c>
      <c r="BF483" s="21">
        <f t="shared" si="132"/>
        <v>6.4011470855577314E-5</v>
      </c>
      <c r="BG483" s="21">
        <f t="shared" si="132"/>
        <v>6.4619520264681555E-5</v>
      </c>
      <c r="BH483" s="21">
        <f t="shared" si="132"/>
        <v>5.7660151069595805E-5</v>
      </c>
      <c r="BI483" s="21">
        <f t="shared" si="132"/>
        <v>5.2427388067526476E-5</v>
      </c>
      <c r="BJ483" s="23">
        <f t="shared" si="130"/>
        <v>5.8235686467267945E-5</v>
      </c>
    </row>
    <row r="484" spans="1:62" x14ac:dyDescent="0.25">
      <c r="A484" s="12"/>
      <c r="B484" s="2"/>
      <c r="C484" s="2" t="s">
        <v>9</v>
      </c>
      <c r="D484" s="4">
        <v>0</v>
      </c>
      <c r="E484" s="4">
        <v>0</v>
      </c>
      <c r="F484" s="4">
        <v>0</v>
      </c>
      <c r="G484" s="4">
        <v>0</v>
      </c>
      <c r="H484" s="4">
        <v>0</v>
      </c>
      <c r="I484" s="4">
        <v>0</v>
      </c>
      <c r="J484" s="4">
        <v>0</v>
      </c>
      <c r="K484" s="4">
        <v>0</v>
      </c>
      <c r="L484" s="4">
        <v>0</v>
      </c>
      <c r="M484" s="4">
        <v>0</v>
      </c>
      <c r="N484" s="4">
        <v>0</v>
      </c>
      <c r="O484" s="4">
        <v>0</v>
      </c>
      <c r="P484" s="4">
        <v>0</v>
      </c>
      <c r="Q484" s="4">
        <v>0</v>
      </c>
      <c r="R484" s="4">
        <v>0</v>
      </c>
      <c r="S484" s="4">
        <v>0</v>
      </c>
      <c r="T484" s="4">
        <v>0</v>
      </c>
      <c r="U484" s="4">
        <v>0</v>
      </c>
      <c r="V484" s="4">
        <v>0</v>
      </c>
      <c r="W484" s="4">
        <v>0</v>
      </c>
      <c r="X484" s="4">
        <v>0</v>
      </c>
      <c r="Y484" s="4">
        <v>0</v>
      </c>
      <c r="Z484" s="4">
        <v>0</v>
      </c>
      <c r="AA484" s="4">
        <v>0</v>
      </c>
      <c r="AB484" s="4">
        <v>0</v>
      </c>
      <c r="AC484" s="4">
        <v>0</v>
      </c>
      <c r="AD484" s="4">
        <v>0</v>
      </c>
      <c r="AE484" s="4">
        <v>0</v>
      </c>
      <c r="AF484" s="4">
        <v>0</v>
      </c>
      <c r="AG484" s="4">
        <v>0</v>
      </c>
      <c r="AH484" s="4">
        <v>0</v>
      </c>
      <c r="AI484" s="4">
        <v>0</v>
      </c>
      <c r="AJ484" s="4">
        <v>0</v>
      </c>
      <c r="AK484" s="4">
        <v>0</v>
      </c>
      <c r="AL484" s="4">
        <v>0</v>
      </c>
      <c r="AM484" s="4">
        <v>100</v>
      </c>
      <c r="AN484" s="4">
        <v>100</v>
      </c>
      <c r="AO484" s="4">
        <v>175</v>
      </c>
      <c r="AP484" s="4">
        <v>120</v>
      </c>
      <c r="AQ484" s="4">
        <v>33</v>
      </c>
      <c r="AR484" s="4">
        <v>54</v>
      </c>
      <c r="AS484" s="4">
        <v>65</v>
      </c>
      <c r="AT484" s="4">
        <v>70</v>
      </c>
      <c r="AU484" s="4">
        <v>1</v>
      </c>
      <c r="AV484" s="4">
        <v>5</v>
      </c>
      <c r="AW484" s="4">
        <v>6</v>
      </c>
      <c r="AX484" s="4">
        <v>5</v>
      </c>
      <c r="AY484" s="4">
        <v>5</v>
      </c>
      <c r="AZ484" s="4">
        <v>5</v>
      </c>
      <c r="BA484" s="4">
        <v>5</v>
      </c>
      <c r="BB484" s="4">
        <v>5</v>
      </c>
      <c r="BC484" s="13">
        <v>0</v>
      </c>
      <c r="BD484" s="20">
        <f t="shared" ref="BD484:BI488" si="133">AW484/AW558</f>
        <v>2.7760299070955323E-5</v>
      </c>
      <c r="BE484" s="20">
        <f t="shared" si="133"/>
        <v>2.2165478597013866E-5</v>
      </c>
      <c r="BF484" s="20">
        <f t="shared" si="133"/>
        <v>2.1687457709457467E-5</v>
      </c>
      <c r="BG484" s="20">
        <f t="shared" si="133"/>
        <v>2.2589987214067238E-5</v>
      </c>
      <c r="BH484" s="20">
        <f t="shared" si="133"/>
        <v>2.1011581583768973E-5</v>
      </c>
      <c r="BI484" s="20">
        <f t="shared" si="133"/>
        <v>1.9548660525780773E-5</v>
      </c>
      <c r="BJ484" s="23">
        <f t="shared" si="130"/>
        <v>2.105007644120566E-5</v>
      </c>
    </row>
    <row r="485" spans="1:62" s="5" customFormat="1" x14ac:dyDescent="0.25">
      <c r="A485" s="14"/>
      <c r="B485" s="6" t="s">
        <v>12</v>
      </c>
      <c r="C485" s="6" t="s">
        <v>6</v>
      </c>
      <c r="D485" s="7">
        <v>0</v>
      </c>
      <c r="E485" s="7">
        <v>0</v>
      </c>
      <c r="F485" s="7">
        <v>0</v>
      </c>
      <c r="G485" s="7">
        <v>0</v>
      </c>
      <c r="H485" s="7">
        <v>0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0</v>
      </c>
      <c r="O485" s="7">
        <v>0</v>
      </c>
      <c r="P485" s="7">
        <v>0</v>
      </c>
      <c r="Q485" s="7">
        <v>0</v>
      </c>
      <c r="R485" s="7">
        <v>0</v>
      </c>
      <c r="S485" s="7">
        <v>0</v>
      </c>
      <c r="T485" s="7">
        <v>0</v>
      </c>
      <c r="U485" s="7">
        <v>0</v>
      </c>
      <c r="V485" s="7">
        <v>0</v>
      </c>
      <c r="W485" s="7">
        <v>0</v>
      </c>
      <c r="X485" s="7">
        <v>0</v>
      </c>
      <c r="Y485" s="7">
        <v>0</v>
      </c>
      <c r="Z485" s="7">
        <v>0</v>
      </c>
      <c r="AA485" s="7">
        <v>0</v>
      </c>
      <c r="AB485" s="7">
        <v>0</v>
      </c>
      <c r="AC485" s="7">
        <v>0</v>
      </c>
      <c r="AD485" s="7">
        <v>0</v>
      </c>
      <c r="AE485" s="7">
        <v>329</v>
      </c>
      <c r="AF485" s="7">
        <v>378</v>
      </c>
      <c r="AG485" s="7">
        <v>315</v>
      </c>
      <c r="AH485" s="7">
        <v>351</v>
      </c>
      <c r="AI485" s="7">
        <v>327</v>
      </c>
      <c r="AJ485" s="7">
        <v>338</v>
      </c>
      <c r="AK485" s="7">
        <v>268</v>
      </c>
      <c r="AL485" s="7">
        <v>281</v>
      </c>
      <c r="AM485" s="7">
        <v>191</v>
      </c>
      <c r="AN485" s="7">
        <v>284</v>
      </c>
      <c r="AO485" s="7">
        <v>225</v>
      </c>
      <c r="AP485" s="7">
        <v>206</v>
      </c>
      <c r="AQ485" s="7">
        <v>248</v>
      </c>
      <c r="AR485" s="7">
        <v>99</v>
      </c>
      <c r="AS485" s="7">
        <v>44</v>
      </c>
      <c r="AT485" s="7">
        <v>114</v>
      </c>
      <c r="AU485" s="7">
        <v>217</v>
      </c>
      <c r="AV485" s="7">
        <v>118</v>
      </c>
      <c r="AW485" s="7">
        <v>108</v>
      </c>
      <c r="AX485" s="7">
        <v>143</v>
      </c>
      <c r="AY485" s="7">
        <v>130</v>
      </c>
      <c r="AZ485" s="7">
        <v>58</v>
      </c>
      <c r="BA485" s="7">
        <v>75</v>
      </c>
      <c r="BB485" s="7">
        <v>75</v>
      </c>
      <c r="BC485" s="15">
        <v>0</v>
      </c>
      <c r="BD485" s="21">
        <f t="shared" si="133"/>
        <v>2.5800040133395764E-4</v>
      </c>
      <c r="BE485" s="21">
        <f t="shared" si="133"/>
        <v>3.4024288107202679E-4</v>
      </c>
      <c r="BF485" s="21">
        <f t="shared" si="133"/>
        <v>2.9981342380011209E-4</v>
      </c>
      <c r="BG485" s="21">
        <f t="shared" si="133"/>
        <v>1.2944377118804832E-4</v>
      </c>
      <c r="BH485" s="21">
        <f t="shared" si="133"/>
        <v>1.7031790404516378E-4</v>
      </c>
      <c r="BI485" s="21">
        <f t="shared" si="133"/>
        <v>1.6641482556397985E-4</v>
      </c>
      <c r="BJ485" s="23">
        <f t="shared" si="130"/>
        <v>1.5539216693239731E-4</v>
      </c>
    </row>
    <row r="486" spans="1:62" x14ac:dyDescent="0.25">
      <c r="A486" s="12"/>
      <c r="B486" s="2"/>
      <c r="C486" s="2" t="s">
        <v>7</v>
      </c>
      <c r="D486" s="4">
        <v>0</v>
      </c>
      <c r="E486" s="4">
        <v>0</v>
      </c>
      <c r="F486" s="4">
        <v>0</v>
      </c>
      <c r="G486" s="4">
        <v>0</v>
      </c>
      <c r="H486" s="4">
        <v>0</v>
      </c>
      <c r="I486" s="4">
        <v>0</v>
      </c>
      <c r="J486" s="4">
        <v>0</v>
      </c>
      <c r="K486" s="4">
        <v>0</v>
      </c>
      <c r="L486" s="4">
        <v>0</v>
      </c>
      <c r="M486" s="4">
        <v>0</v>
      </c>
      <c r="N486" s="4">
        <v>0</v>
      </c>
      <c r="O486" s="4">
        <v>0</v>
      </c>
      <c r="P486" s="4">
        <v>0</v>
      </c>
      <c r="Q486" s="4">
        <v>0</v>
      </c>
      <c r="R486" s="4">
        <v>0</v>
      </c>
      <c r="S486" s="4">
        <v>0</v>
      </c>
      <c r="T486" s="4">
        <v>0</v>
      </c>
      <c r="U486" s="4">
        <v>0</v>
      </c>
      <c r="V486" s="4">
        <v>0</v>
      </c>
      <c r="W486" s="4">
        <v>0</v>
      </c>
      <c r="X486" s="4">
        <v>0</v>
      </c>
      <c r="Y486" s="4">
        <v>0</v>
      </c>
      <c r="Z486" s="4">
        <v>0</v>
      </c>
      <c r="AA486" s="4">
        <v>0</v>
      </c>
      <c r="AB486" s="4">
        <v>0</v>
      </c>
      <c r="AC486" s="4">
        <v>0</v>
      </c>
      <c r="AD486" s="4">
        <v>0</v>
      </c>
      <c r="AE486" s="4">
        <v>25</v>
      </c>
      <c r="AF486" s="4">
        <v>50</v>
      </c>
      <c r="AG486" s="4">
        <v>25</v>
      </c>
      <c r="AH486" s="4">
        <v>25</v>
      </c>
      <c r="AI486" s="4">
        <v>10</v>
      </c>
      <c r="AJ486" s="4">
        <v>0</v>
      </c>
      <c r="AK486" s="4">
        <v>0</v>
      </c>
      <c r="AL486" s="4">
        <v>0</v>
      </c>
      <c r="AM486" s="4">
        <v>29</v>
      </c>
      <c r="AN486" s="4">
        <v>2</v>
      </c>
      <c r="AO486" s="4">
        <v>0</v>
      </c>
      <c r="AP486" s="4">
        <v>40</v>
      </c>
      <c r="AQ486" s="4">
        <v>30</v>
      </c>
      <c r="AR486" s="4">
        <v>142</v>
      </c>
      <c r="AS486" s="4">
        <v>65</v>
      </c>
      <c r="AT486" s="4">
        <v>25</v>
      </c>
      <c r="AU486" s="4">
        <v>25</v>
      </c>
      <c r="AV486" s="4">
        <v>25</v>
      </c>
      <c r="AW486" s="4">
        <v>25</v>
      </c>
      <c r="AX486" s="4">
        <v>1</v>
      </c>
      <c r="AY486" s="4">
        <v>9</v>
      </c>
      <c r="AZ486" s="4">
        <v>16</v>
      </c>
      <c r="BA486" s="4">
        <v>1</v>
      </c>
      <c r="BB486" s="4">
        <v>20</v>
      </c>
      <c r="BC486" s="13">
        <v>0</v>
      </c>
      <c r="BD486" s="20">
        <f t="shared" si="133"/>
        <v>9.4339622641509435E-4</v>
      </c>
      <c r="BE486" s="20">
        <f t="shared" si="133"/>
        <v>3.5428328491461775E-5</v>
      </c>
      <c r="BF486" s="20">
        <f t="shared" si="133"/>
        <v>3.0573767707307132E-4</v>
      </c>
      <c r="BG486" s="20">
        <f t="shared" si="133"/>
        <v>5.8934030719363516E-4</v>
      </c>
      <c r="BH486" s="20">
        <f t="shared" si="133"/>
        <v>3.5618878005342832E-5</v>
      </c>
      <c r="BI486" s="20">
        <f t="shared" si="133"/>
        <v>6.8418171866447728E-4</v>
      </c>
      <c r="BJ486" s="23">
        <f t="shared" si="130"/>
        <v>4.3638030128781842E-4</v>
      </c>
    </row>
    <row r="487" spans="1:62" s="5" customFormat="1" x14ac:dyDescent="0.25">
      <c r="A487" s="14"/>
      <c r="B487" s="6"/>
      <c r="C487" s="6" t="s">
        <v>8</v>
      </c>
      <c r="D487" s="7">
        <v>0</v>
      </c>
      <c r="E487" s="7">
        <v>0</v>
      </c>
      <c r="F487" s="7">
        <v>0</v>
      </c>
      <c r="G487" s="7">
        <v>0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0</v>
      </c>
      <c r="O487" s="7">
        <v>0</v>
      </c>
      <c r="P487" s="7">
        <v>0</v>
      </c>
      <c r="Q487" s="7">
        <v>0</v>
      </c>
      <c r="R487" s="7">
        <v>0</v>
      </c>
      <c r="S487" s="7">
        <v>0</v>
      </c>
      <c r="T487" s="7">
        <v>0</v>
      </c>
      <c r="U487" s="7">
        <v>0</v>
      </c>
      <c r="V487" s="7">
        <v>0</v>
      </c>
      <c r="W487" s="7">
        <v>0</v>
      </c>
      <c r="X487" s="7">
        <v>0</v>
      </c>
      <c r="Y487" s="7">
        <v>0</v>
      </c>
      <c r="Z487" s="7">
        <v>0</v>
      </c>
      <c r="AA487" s="7">
        <v>0</v>
      </c>
      <c r="AB487" s="7">
        <v>0</v>
      </c>
      <c r="AC487" s="7">
        <v>0</v>
      </c>
      <c r="AD487" s="7">
        <v>0</v>
      </c>
      <c r="AE487" s="7">
        <v>0</v>
      </c>
      <c r="AF487" s="7">
        <v>0</v>
      </c>
      <c r="AG487" s="7">
        <v>0</v>
      </c>
      <c r="AH487" s="7">
        <v>0</v>
      </c>
      <c r="AI487" s="7">
        <v>0</v>
      </c>
      <c r="AJ487" s="7">
        <v>0</v>
      </c>
      <c r="AK487" s="7">
        <v>0</v>
      </c>
      <c r="AL487" s="7">
        <v>24</v>
      </c>
      <c r="AM487" s="7">
        <v>0</v>
      </c>
      <c r="AN487" s="7">
        <v>0</v>
      </c>
      <c r="AO487" s="7">
        <v>0</v>
      </c>
      <c r="AP487" s="7">
        <v>0</v>
      </c>
      <c r="AQ487" s="7">
        <v>0</v>
      </c>
      <c r="AR487" s="7">
        <v>0</v>
      </c>
      <c r="AS487" s="7">
        <v>0</v>
      </c>
      <c r="AT487" s="7">
        <v>0</v>
      </c>
      <c r="AU487" s="7">
        <v>0</v>
      </c>
      <c r="AV487" s="7">
        <v>0</v>
      </c>
      <c r="AW487" s="7">
        <v>0</v>
      </c>
      <c r="AX487" s="7">
        <v>0</v>
      </c>
      <c r="AY487" s="7">
        <v>0</v>
      </c>
      <c r="AZ487" s="7">
        <v>0</v>
      </c>
      <c r="BA487" s="7">
        <v>0</v>
      </c>
      <c r="BB487" s="7">
        <v>0</v>
      </c>
      <c r="BC487" s="15">
        <v>0</v>
      </c>
      <c r="BD487" s="21">
        <f t="shared" si="133"/>
        <v>0</v>
      </c>
      <c r="BE487" s="21">
        <f t="shared" si="133"/>
        <v>0</v>
      </c>
      <c r="BF487" s="21">
        <f t="shared" si="133"/>
        <v>0</v>
      </c>
      <c r="BG487" s="21">
        <f t="shared" si="133"/>
        <v>0</v>
      </c>
      <c r="BH487" s="21">
        <f t="shared" si="133"/>
        <v>0</v>
      </c>
      <c r="BI487" s="21">
        <f t="shared" si="133"/>
        <v>0</v>
      </c>
      <c r="BJ487" s="23">
        <f t="shared" si="130"/>
        <v>0</v>
      </c>
    </row>
    <row r="488" spans="1:62" x14ac:dyDescent="0.25">
      <c r="A488" s="12"/>
      <c r="B488" s="2"/>
      <c r="C488" s="2" t="s">
        <v>9</v>
      </c>
      <c r="D488" s="4">
        <v>0</v>
      </c>
      <c r="E488" s="4">
        <v>0</v>
      </c>
      <c r="F488" s="4">
        <v>0</v>
      </c>
      <c r="G488" s="4">
        <v>0</v>
      </c>
      <c r="H488" s="4">
        <v>0</v>
      </c>
      <c r="I488" s="4">
        <v>0</v>
      </c>
      <c r="J488" s="4">
        <v>0</v>
      </c>
      <c r="K488" s="4">
        <v>0</v>
      </c>
      <c r="L488" s="4">
        <v>0</v>
      </c>
      <c r="M488" s="4">
        <v>0</v>
      </c>
      <c r="N488" s="4">
        <v>0</v>
      </c>
      <c r="O488" s="4">
        <v>0</v>
      </c>
      <c r="P488" s="4">
        <v>0</v>
      </c>
      <c r="Q488" s="4">
        <v>0</v>
      </c>
      <c r="R488" s="4">
        <v>0</v>
      </c>
      <c r="S488" s="4">
        <v>0</v>
      </c>
      <c r="T488" s="4">
        <v>0</v>
      </c>
      <c r="U488" s="4">
        <v>0</v>
      </c>
      <c r="V488" s="4">
        <v>0</v>
      </c>
      <c r="W488" s="4">
        <v>0</v>
      </c>
      <c r="X488" s="4">
        <v>0</v>
      </c>
      <c r="Y488" s="4">
        <v>0</v>
      </c>
      <c r="Z488" s="4">
        <v>0</v>
      </c>
      <c r="AA488" s="4">
        <v>0</v>
      </c>
      <c r="AB488" s="4">
        <v>0</v>
      </c>
      <c r="AC488" s="4">
        <v>0</v>
      </c>
      <c r="AD488" s="4">
        <v>0</v>
      </c>
      <c r="AE488" s="4">
        <v>354</v>
      </c>
      <c r="AF488" s="4">
        <v>428</v>
      </c>
      <c r="AG488" s="4">
        <v>340</v>
      </c>
      <c r="AH488" s="4">
        <v>376</v>
      </c>
      <c r="AI488" s="4">
        <v>337</v>
      </c>
      <c r="AJ488" s="4">
        <v>338</v>
      </c>
      <c r="AK488" s="4">
        <v>268</v>
      </c>
      <c r="AL488" s="4">
        <v>257</v>
      </c>
      <c r="AM488" s="4">
        <v>220</v>
      </c>
      <c r="AN488" s="4">
        <v>286</v>
      </c>
      <c r="AO488" s="4">
        <v>225</v>
      </c>
      <c r="AP488" s="4">
        <v>246</v>
      </c>
      <c r="AQ488" s="4">
        <v>278</v>
      </c>
      <c r="AR488" s="4">
        <v>241</v>
      </c>
      <c r="AS488" s="4">
        <v>101</v>
      </c>
      <c r="AT488" s="4">
        <v>137</v>
      </c>
      <c r="AU488" s="4">
        <v>237</v>
      </c>
      <c r="AV488" s="4">
        <v>148</v>
      </c>
      <c r="AW488" s="4">
        <v>133</v>
      </c>
      <c r="AX488" s="4">
        <v>144</v>
      </c>
      <c r="AY488" s="4">
        <v>139</v>
      </c>
      <c r="AZ488" s="4">
        <v>74</v>
      </c>
      <c r="BA488" s="4">
        <v>76</v>
      </c>
      <c r="BB488" s="4">
        <v>95</v>
      </c>
      <c r="BC488" s="13">
        <v>0</v>
      </c>
      <c r="BD488" s="20">
        <f t="shared" si="133"/>
        <v>3.2208614956905844E-4</v>
      </c>
      <c r="BE488" s="20">
        <f t="shared" si="133"/>
        <v>3.4402272461219797E-4</v>
      </c>
      <c r="BF488" s="20">
        <f t="shared" si="133"/>
        <v>3.2607905188410352E-4</v>
      </c>
      <c r="BG488" s="20">
        <f t="shared" si="133"/>
        <v>1.7007193583231826E-4</v>
      </c>
      <c r="BH488" s="20">
        <f t="shared" si="133"/>
        <v>1.745974494988364E-4</v>
      </c>
      <c r="BI488" s="20">
        <f t="shared" si="133"/>
        <v>2.1289374137220101E-4</v>
      </c>
      <c r="BJ488" s="23">
        <f t="shared" si="130"/>
        <v>1.8585437556778523E-4</v>
      </c>
    </row>
    <row r="489" spans="1:62" s="5" customFormat="1" x14ac:dyDescent="0.25">
      <c r="A489" s="14"/>
      <c r="B489" s="6" t="s">
        <v>14</v>
      </c>
      <c r="C489" s="6" t="s">
        <v>42</v>
      </c>
      <c r="D489" s="7">
        <v>0</v>
      </c>
      <c r="E489" s="7">
        <v>0</v>
      </c>
      <c r="F489" s="7">
        <v>0</v>
      </c>
      <c r="G489" s="7">
        <v>0</v>
      </c>
      <c r="H489" s="7">
        <v>0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0</v>
      </c>
      <c r="P489" s="7">
        <v>0</v>
      </c>
      <c r="Q489" s="7">
        <v>0</v>
      </c>
      <c r="R489" s="7">
        <v>0</v>
      </c>
      <c r="S489" s="7">
        <v>0</v>
      </c>
      <c r="T489" s="7">
        <v>0</v>
      </c>
      <c r="U489" s="7">
        <v>0</v>
      </c>
      <c r="V489" s="7">
        <v>0</v>
      </c>
      <c r="W489" s="7">
        <v>0</v>
      </c>
      <c r="X489" s="7">
        <v>0</v>
      </c>
      <c r="Y489" s="7">
        <v>0</v>
      </c>
      <c r="Z489" s="7">
        <v>0</v>
      </c>
      <c r="AA489" s="7">
        <v>0</v>
      </c>
      <c r="AB489" s="7">
        <v>0</v>
      </c>
      <c r="AC489" s="7">
        <v>0</v>
      </c>
      <c r="AD489" s="7">
        <v>0</v>
      </c>
      <c r="AE489" s="7">
        <v>0</v>
      </c>
      <c r="AF489" s="7">
        <v>0</v>
      </c>
      <c r="AG489" s="7">
        <v>0</v>
      </c>
      <c r="AH489" s="7">
        <v>0</v>
      </c>
      <c r="AI489" s="7">
        <v>0</v>
      </c>
      <c r="AJ489" s="7">
        <v>0</v>
      </c>
      <c r="AK489" s="7">
        <v>0</v>
      </c>
      <c r="AL489" s="7">
        <v>0</v>
      </c>
      <c r="AM489" s="7">
        <v>0</v>
      </c>
      <c r="AN489" s="7">
        <v>2</v>
      </c>
      <c r="AO489" s="7">
        <v>0</v>
      </c>
      <c r="AP489" s="7">
        <v>8</v>
      </c>
      <c r="AQ489" s="7">
        <v>23</v>
      </c>
      <c r="AR489" s="7">
        <v>11</v>
      </c>
      <c r="AS489" s="7">
        <v>11</v>
      </c>
      <c r="AT489" s="7">
        <v>11</v>
      </c>
      <c r="AU489" s="7">
        <v>11</v>
      </c>
      <c r="AV489" s="7">
        <v>11</v>
      </c>
      <c r="AW489" s="7">
        <v>11</v>
      </c>
      <c r="AX489" s="7">
        <v>11</v>
      </c>
      <c r="AY489" s="7">
        <v>11</v>
      </c>
      <c r="AZ489" s="7">
        <v>11</v>
      </c>
      <c r="BA489" s="7">
        <v>11</v>
      </c>
      <c r="BB489" s="15">
        <v>11</v>
      </c>
      <c r="BC489" s="21">
        <f t="shared" ref="BC489:BH489" si="134">AW489/AX$83</f>
        <v>1.375515818431912E-3</v>
      </c>
      <c r="BD489" s="21">
        <f t="shared" si="134"/>
        <v>1.6243354991139988E-3</v>
      </c>
      <c r="BE489" s="21">
        <f t="shared" si="134"/>
        <v>1.7179447134155865E-3</v>
      </c>
      <c r="BF489" s="21">
        <f t="shared" si="134"/>
        <v>1.5436429974740387E-3</v>
      </c>
      <c r="BG489" s="21">
        <f t="shared" si="134"/>
        <v>1.6923076923076924E-3</v>
      </c>
      <c r="BH489" s="21" t="e">
        <f t="shared" si="134"/>
        <v>#DIV/0!</v>
      </c>
      <c r="BJ489" s="23" t="e">
        <f>AVERAGE(BF489,BG489,BH489)</f>
        <v>#DIV/0!</v>
      </c>
    </row>
    <row r="490" spans="1:62" x14ac:dyDescent="0.25">
      <c r="A490" s="14"/>
      <c r="B490" s="2"/>
      <c r="C490" s="2" t="s">
        <v>45</v>
      </c>
      <c r="D490" s="4">
        <v>0</v>
      </c>
      <c r="E490" s="4">
        <v>0</v>
      </c>
      <c r="F490" s="4">
        <v>0</v>
      </c>
      <c r="G490" s="4">
        <v>0</v>
      </c>
      <c r="H490" s="4">
        <v>0</v>
      </c>
      <c r="I490" s="4">
        <v>0</v>
      </c>
      <c r="J490" s="4">
        <v>0</v>
      </c>
      <c r="K490" s="4">
        <v>0</v>
      </c>
      <c r="L490" s="4">
        <v>0</v>
      </c>
      <c r="M490" s="4">
        <v>0</v>
      </c>
      <c r="N490" s="4">
        <v>0</v>
      </c>
      <c r="O490" s="4">
        <v>0</v>
      </c>
      <c r="P490" s="4">
        <v>0</v>
      </c>
      <c r="Q490" s="4">
        <v>0</v>
      </c>
      <c r="R490" s="4">
        <v>0</v>
      </c>
      <c r="S490" s="4">
        <v>0</v>
      </c>
      <c r="T490" s="4">
        <v>0</v>
      </c>
      <c r="U490" s="4">
        <v>0</v>
      </c>
      <c r="V490" s="4">
        <v>0</v>
      </c>
      <c r="W490" s="4">
        <v>0</v>
      </c>
      <c r="X490" s="4">
        <v>0</v>
      </c>
      <c r="Y490" s="4">
        <v>0</v>
      </c>
      <c r="Z490" s="4">
        <v>0</v>
      </c>
      <c r="AA490" s="4">
        <v>0</v>
      </c>
      <c r="AB490" s="4">
        <v>0</v>
      </c>
      <c r="AC490" s="4">
        <v>0</v>
      </c>
      <c r="AD490" s="4">
        <v>0</v>
      </c>
      <c r="AE490" s="4">
        <v>0</v>
      </c>
      <c r="AF490" s="4">
        <v>0</v>
      </c>
      <c r="AG490" s="4">
        <v>539</v>
      </c>
      <c r="AH490" s="4">
        <v>523</v>
      </c>
      <c r="AI490" s="4">
        <v>481</v>
      </c>
      <c r="AJ490" s="4">
        <v>500</v>
      </c>
      <c r="AK490" s="4">
        <v>450</v>
      </c>
      <c r="AL490" s="4">
        <v>430</v>
      </c>
      <c r="AM490" s="4">
        <v>410</v>
      </c>
      <c r="AN490" s="4">
        <v>443</v>
      </c>
      <c r="AO490" s="4">
        <v>440</v>
      </c>
      <c r="AP490" s="4">
        <v>440</v>
      </c>
      <c r="AQ490" s="4">
        <v>434</v>
      </c>
      <c r="AR490" s="4">
        <v>387</v>
      </c>
      <c r="AS490" s="4">
        <v>380</v>
      </c>
      <c r="AT490" s="4">
        <v>405</v>
      </c>
      <c r="AU490" s="4">
        <v>460</v>
      </c>
      <c r="AV490" s="4">
        <v>500</v>
      </c>
      <c r="AW490" s="4">
        <v>505</v>
      </c>
      <c r="AX490" s="4">
        <v>515</v>
      </c>
      <c r="AY490" s="4">
        <v>515</v>
      </c>
      <c r="AZ490" s="4">
        <v>515</v>
      </c>
      <c r="BA490" s="4">
        <v>520</v>
      </c>
      <c r="BB490" s="13">
        <v>520</v>
      </c>
      <c r="BC490" s="21">
        <f t="shared" ref="BC490:BH490" si="135">AW490/AX$63</f>
        <v>0.98058252427184467</v>
      </c>
      <c r="BD490" s="21">
        <f t="shared" si="135"/>
        <v>3.1402439024390243</v>
      </c>
      <c r="BE490" s="21">
        <f t="shared" si="135"/>
        <v>10.3</v>
      </c>
      <c r="BF490" s="21">
        <f t="shared" si="135"/>
        <v>3.4105960264900661</v>
      </c>
      <c r="BG490" s="21">
        <f t="shared" si="135"/>
        <v>0.8</v>
      </c>
      <c r="BH490" s="21" t="e">
        <f t="shared" si="135"/>
        <v>#DIV/0!</v>
      </c>
      <c r="BI490" s="5"/>
      <c r="BJ490" s="23" t="e">
        <f>AVERAGE(BF490,BG490,BH490)</f>
        <v>#DIV/0!</v>
      </c>
    </row>
    <row r="491" spans="1:62" s="5" customFormat="1" ht="30" x14ac:dyDescent="0.25">
      <c r="A491" s="14"/>
      <c r="B491" s="6"/>
      <c r="C491" s="6" t="s">
        <v>43</v>
      </c>
      <c r="D491" s="7">
        <v>0</v>
      </c>
      <c r="E491" s="7">
        <v>0</v>
      </c>
      <c r="F491" s="7">
        <v>0</v>
      </c>
      <c r="G491" s="7">
        <v>0</v>
      </c>
      <c r="H491" s="7">
        <v>0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0</v>
      </c>
      <c r="O491" s="7">
        <v>0</v>
      </c>
      <c r="P491" s="7">
        <v>0</v>
      </c>
      <c r="Q491" s="7">
        <v>0</v>
      </c>
      <c r="R491" s="7">
        <v>0</v>
      </c>
      <c r="S491" s="7">
        <v>0</v>
      </c>
      <c r="T491" s="7">
        <v>0</v>
      </c>
      <c r="U491" s="7">
        <v>0</v>
      </c>
      <c r="V491" s="7">
        <v>0</v>
      </c>
      <c r="W491" s="7">
        <v>0</v>
      </c>
      <c r="X491" s="7">
        <v>0</v>
      </c>
      <c r="Y491" s="7">
        <v>0</v>
      </c>
      <c r="Z491" s="7">
        <v>0</v>
      </c>
      <c r="AA491" s="7">
        <v>0</v>
      </c>
      <c r="AB491" s="7">
        <v>0</v>
      </c>
      <c r="AC491" s="7">
        <v>0</v>
      </c>
      <c r="AD491" s="7">
        <v>0</v>
      </c>
      <c r="AE491" s="7">
        <v>0</v>
      </c>
      <c r="AF491" s="7">
        <v>0</v>
      </c>
      <c r="AG491" s="7">
        <v>544</v>
      </c>
      <c r="AH491" s="7">
        <v>541</v>
      </c>
      <c r="AI491" s="7">
        <v>500</v>
      </c>
      <c r="AJ491" s="7">
        <v>468</v>
      </c>
      <c r="AK491" s="7">
        <v>450</v>
      </c>
      <c r="AL491" s="7">
        <v>450</v>
      </c>
      <c r="AM491" s="7">
        <v>430</v>
      </c>
      <c r="AN491" s="7">
        <v>435</v>
      </c>
      <c r="AO491" s="7">
        <v>445</v>
      </c>
      <c r="AP491" s="7">
        <v>445</v>
      </c>
      <c r="AQ491" s="7">
        <v>455</v>
      </c>
      <c r="AR491" s="7">
        <v>395</v>
      </c>
      <c r="AS491" s="7">
        <v>400</v>
      </c>
      <c r="AT491" s="7">
        <v>405</v>
      </c>
      <c r="AU491" s="7">
        <v>420</v>
      </c>
      <c r="AV491" s="7">
        <v>490</v>
      </c>
      <c r="AW491" s="7">
        <v>510</v>
      </c>
      <c r="AX491" s="7">
        <v>518</v>
      </c>
      <c r="AY491" s="7">
        <v>515</v>
      </c>
      <c r="AZ491" s="7">
        <v>515</v>
      </c>
      <c r="BA491" s="7">
        <v>515</v>
      </c>
      <c r="BB491" s="15">
        <v>515</v>
      </c>
      <c r="BC491" s="20">
        <f t="shared" ref="BC491:BH491" si="136">AW491/AW$25</f>
        <v>0.30447761194029849</v>
      </c>
      <c r="BD491" s="20">
        <f t="shared" si="136"/>
        <v>0.30292397660818715</v>
      </c>
      <c r="BE491" s="20">
        <f t="shared" si="136"/>
        <v>0.28690807799442897</v>
      </c>
      <c r="BF491" s="20">
        <f t="shared" si="136"/>
        <v>0.29768786127167629</v>
      </c>
      <c r="BG491" s="20">
        <f t="shared" si="136"/>
        <v>0.29768786127167629</v>
      </c>
      <c r="BH491" s="20">
        <f t="shared" si="136"/>
        <v>0.29261363636363635</v>
      </c>
      <c r="BI491"/>
      <c r="BJ491" s="23">
        <f>AVERAGE(BF491,BG491,BH491)</f>
        <v>0.29599645296899629</v>
      </c>
    </row>
    <row r="492" spans="1:62" s="5" customFormat="1" x14ac:dyDescent="0.25">
      <c r="A492" s="14"/>
      <c r="B492" s="6" t="s">
        <v>15</v>
      </c>
      <c r="C492" s="6" t="s">
        <v>6</v>
      </c>
      <c r="D492" s="7">
        <v>0</v>
      </c>
      <c r="E492" s="7">
        <v>0</v>
      </c>
      <c r="F492" s="7">
        <v>0</v>
      </c>
      <c r="G492" s="7">
        <v>0</v>
      </c>
      <c r="H492" s="7">
        <v>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0</v>
      </c>
      <c r="O492" s="7">
        <v>0</v>
      </c>
      <c r="P492" s="7">
        <v>0</v>
      </c>
      <c r="Q492" s="7">
        <v>0</v>
      </c>
      <c r="R492" s="7">
        <v>0</v>
      </c>
      <c r="S492" s="7">
        <v>0</v>
      </c>
      <c r="T492" s="7">
        <v>0</v>
      </c>
      <c r="U492" s="7">
        <v>0</v>
      </c>
      <c r="V492" s="7">
        <v>0</v>
      </c>
      <c r="W492" s="7">
        <v>0</v>
      </c>
      <c r="X492" s="7">
        <v>0</v>
      </c>
      <c r="Y492" s="7">
        <v>0</v>
      </c>
      <c r="Z492" s="7">
        <v>0</v>
      </c>
      <c r="AA492" s="7">
        <v>0</v>
      </c>
      <c r="AB492" s="7">
        <v>0</v>
      </c>
      <c r="AC492" s="7">
        <v>0</v>
      </c>
      <c r="AD492" s="7">
        <v>0</v>
      </c>
      <c r="AE492" s="7">
        <v>495</v>
      </c>
      <c r="AF492" s="7">
        <v>563</v>
      </c>
      <c r="AG492" s="7">
        <v>342</v>
      </c>
      <c r="AH492" s="7">
        <v>553</v>
      </c>
      <c r="AI492" s="7">
        <v>610</v>
      </c>
      <c r="AJ492" s="7">
        <v>950</v>
      </c>
      <c r="AK492" s="7">
        <v>800</v>
      </c>
      <c r="AL492" s="8">
        <v>1350</v>
      </c>
      <c r="AM492" s="8">
        <v>2350</v>
      </c>
      <c r="AN492" s="8">
        <v>2700</v>
      </c>
      <c r="AO492" s="8">
        <v>3100</v>
      </c>
      <c r="AP492" s="8">
        <v>3600</v>
      </c>
      <c r="AQ492" s="8">
        <v>3700</v>
      </c>
      <c r="AR492" s="8">
        <v>3600</v>
      </c>
      <c r="AS492" s="8">
        <v>3400</v>
      </c>
      <c r="AT492" s="8">
        <v>5000</v>
      </c>
      <c r="AU492" s="8">
        <v>5400</v>
      </c>
      <c r="AV492" s="8">
        <v>5250</v>
      </c>
      <c r="AW492" s="8">
        <v>5800</v>
      </c>
      <c r="AX492" s="8">
        <v>5850</v>
      </c>
      <c r="AY492" s="8">
        <v>6200</v>
      </c>
      <c r="AZ492" s="8">
        <v>6000</v>
      </c>
      <c r="BA492" s="8">
        <v>6200</v>
      </c>
      <c r="BB492" s="8">
        <v>6500</v>
      </c>
      <c r="BC492" s="15">
        <v>0</v>
      </c>
      <c r="BD492" s="21">
        <f t="shared" ref="BD492:BI495" si="137">AW492/AW571</f>
        <v>9.367893322307216E-3</v>
      </c>
      <c r="BE492" s="21">
        <f t="shared" si="137"/>
        <v>9.8112713898294845E-3</v>
      </c>
      <c r="BF492" s="21">
        <f t="shared" si="137"/>
        <v>1.0129146619397315E-2</v>
      </c>
      <c r="BG492" s="21">
        <f t="shared" si="137"/>
        <v>8.7952036822586087E-3</v>
      </c>
      <c r="BH492" s="21">
        <f t="shared" si="137"/>
        <v>9.0668858318209665E-3</v>
      </c>
      <c r="BI492" s="21">
        <f t="shared" si="137"/>
        <v>1.0043558139067741E-2</v>
      </c>
      <c r="BJ492" s="23">
        <f t="shared" si="130"/>
        <v>9.3018825510491048E-3</v>
      </c>
    </row>
    <row r="493" spans="1:62" x14ac:dyDescent="0.25">
      <c r="A493" s="12"/>
      <c r="B493" s="2"/>
      <c r="C493" s="2" t="s">
        <v>7</v>
      </c>
      <c r="D493" s="4">
        <v>0</v>
      </c>
      <c r="E493" s="4">
        <v>0</v>
      </c>
      <c r="F493" s="4">
        <v>0</v>
      </c>
      <c r="G493" s="4">
        <v>0</v>
      </c>
      <c r="H493" s="4">
        <v>0</v>
      </c>
      <c r="I493" s="4">
        <v>0</v>
      </c>
      <c r="J493" s="4">
        <v>0</v>
      </c>
      <c r="K493" s="4">
        <v>0</v>
      </c>
      <c r="L493" s="4">
        <v>0</v>
      </c>
      <c r="M493" s="4">
        <v>0</v>
      </c>
      <c r="N493" s="4">
        <v>0</v>
      </c>
      <c r="O493" s="4">
        <v>0</v>
      </c>
      <c r="P493" s="4">
        <v>0</v>
      </c>
      <c r="Q493" s="4">
        <v>0</v>
      </c>
      <c r="R493" s="4">
        <v>0</v>
      </c>
      <c r="S493" s="4">
        <v>0</v>
      </c>
      <c r="T493" s="4">
        <v>0</v>
      </c>
      <c r="U493" s="4">
        <v>0</v>
      </c>
      <c r="V493" s="4">
        <v>0</v>
      </c>
      <c r="W493" s="4">
        <v>0</v>
      </c>
      <c r="X493" s="4">
        <v>0</v>
      </c>
      <c r="Y493" s="4">
        <v>0</v>
      </c>
      <c r="Z493" s="4">
        <v>0</v>
      </c>
      <c r="AA493" s="4">
        <v>0</v>
      </c>
      <c r="AB493" s="4">
        <v>0</v>
      </c>
      <c r="AC493" s="4">
        <v>0</v>
      </c>
      <c r="AD493" s="4">
        <v>0</v>
      </c>
      <c r="AE493" s="3">
        <v>3575</v>
      </c>
      <c r="AF493" s="3">
        <v>3200</v>
      </c>
      <c r="AG493" s="3">
        <v>3250</v>
      </c>
      <c r="AH493" s="3">
        <v>3325</v>
      </c>
      <c r="AI493" s="3">
        <v>3100</v>
      </c>
      <c r="AJ493" s="3">
        <v>3200</v>
      </c>
      <c r="AK493" s="3">
        <v>3500</v>
      </c>
      <c r="AL493" s="3">
        <v>2000</v>
      </c>
      <c r="AM493" s="3">
        <v>1321</v>
      </c>
      <c r="AN493" s="3">
        <v>1036</v>
      </c>
      <c r="AO493" s="4">
        <v>732</v>
      </c>
      <c r="AP493" s="4">
        <v>380</v>
      </c>
      <c r="AQ493" s="4">
        <v>550</v>
      </c>
      <c r="AR493" s="4">
        <v>550</v>
      </c>
      <c r="AS493" s="4">
        <v>481</v>
      </c>
      <c r="AT493" s="4">
        <v>254</v>
      </c>
      <c r="AU493" s="4">
        <v>199</v>
      </c>
      <c r="AV493" s="4">
        <v>445</v>
      </c>
      <c r="AW493" s="4">
        <v>623</v>
      </c>
      <c r="AX493" s="3">
        <v>1010</v>
      </c>
      <c r="AY493" s="3">
        <v>1062</v>
      </c>
      <c r="AZ493" s="3">
        <v>1372</v>
      </c>
      <c r="BA493" s="3">
        <v>1677</v>
      </c>
      <c r="BB493" s="3">
        <v>1300</v>
      </c>
      <c r="BC493" s="13">
        <v>0</v>
      </c>
      <c r="BD493" s="20">
        <f t="shared" si="137"/>
        <v>5.5835880154512128E-3</v>
      </c>
      <c r="BE493" s="20">
        <f t="shared" si="137"/>
        <v>8.8590274366711109E-3</v>
      </c>
      <c r="BF493" s="20">
        <f t="shared" si="137"/>
        <v>9.3317516805061281E-3</v>
      </c>
      <c r="BG493" s="20">
        <f t="shared" si="137"/>
        <v>1.0019498586900162E-2</v>
      </c>
      <c r="BH493" s="20">
        <f t="shared" si="137"/>
        <v>1.2566033494436328E-2</v>
      </c>
      <c r="BI493" s="20">
        <f t="shared" si="137"/>
        <v>1.0597192559140486E-2</v>
      </c>
      <c r="BJ493" s="23">
        <f t="shared" si="130"/>
        <v>1.1060908213492324E-2</v>
      </c>
    </row>
    <row r="494" spans="1:62" s="5" customFormat="1" x14ac:dyDescent="0.25">
      <c r="A494" s="14"/>
      <c r="B494" s="6"/>
      <c r="C494" s="6" t="s">
        <v>8</v>
      </c>
      <c r="D494" s="7">
        <v>0</v>
      </c>
      <c r="E494" s="7">
        <v>0</v>
      </c>
      <c r="F494" s="7">
        <v>0</v>
      </c>
      <c r="G494" s="7">
        <v>0</v>
      </c>
      <c r="H494" s="7">
        <v>0</v>
      </c>
      <c r="I494" s="7">
        <v>0</v>
      </c>
      <c r="J494" s="7">
        <v>0</v>
      </c>
      <c r="K494" s="7">
        <v>0</v>
      </c>
      <c r="L494" s="7">
        <v>0</v>
      </c>
      <c r="M494" s="7">
        <v>0</v>
      </c>
      <c r="N494" s="7">
        <v>0</v>
      </c>
      <c r="O494" s="7">
        <v>0</v>
      </c>
      <c r="P494" s="7">
        <v>0</v>
      </c>
      <c r="Q494" s="7">
        <v>0</v>
      </c>
      <c r="R494" s="7">
        <v>0</v>
      </c>
      <c r="S494" s="7">
        <v>0</v>
      </c>
      <c r="T494" s="7">
        <v>0</v>
      </c>
      <c r="U494" s="7">
        <v>0</v>
      </c>
      <c r="V494" s="7">
        <v>0</v>
      </c>
      <c r="W494" s="7">
        <v>0</v>
      </c>
      <c r="X494" s="7">
        <v>0</v>
      </c>
      <c r="Y494" s="7">
        <v>0</v>
      </c>
      <c r="Z494" s="7">
        <v>0</v>
      </c>
      <c r="AA494" s="7">
        <v>0</v>
      </c>
      <c r="AB494" s="7">
        <v>0</v>
      </c>
      <c r="AC494" s="7">
        <v>0</v>
      </c>
      <c r="AD494" s="7">
        <v>0</v>
      </c>
      <c r="AE494" s="7">
        <v>0</v>
      </c>
      <c r="AF494" s="7">
        <v>0</v>
      </c>
      <c r="AG494" s="7">
        <v>0</v>
      </c>
      <c r="AH494" s="7">
        <v>0</v>
      </c>
      <c r="AI494" s="7">
        <v>0</v>
      </c>
      <c r="AJ494" s="7">
        <v>0</v>
      </c>
      <c r="AK494" s="7">
        <v>1</v>
      </c>
      <c r="AL494" s="7">
        <v>12</v>
      </c>
      <c r="AM494" s="7">
        <v>2</v>
      </c>
      <c r="AN494" s="7">
        <v>0</v>
      </c>
      <c r="AO494" s="7">
        <v>0</v>
      </c>
      <c r="AP494" s="7">
        <v>0</v>
      </c>
      <c r="AQ494" s="7">
        <v>0</v>
      </c>
      <c r="AR494" s="7">
        <v>0</v>
      </c>
      <c r="AS494" s="7">
        <v>0</v>
      </c>
      <c r="AT494" s="7">
        <v>0</v>
      </c>
      <c r="AU494" s="7">
        <v>450</v>
      </c>
      <c r="AV494" s="7">
        <v>100</v>
      </c>
      <c r="AW494" s="7">
        <v>100</v>
      </c>
      <c r="AX494" s="7">
        <v>200</v>
      </c>
      <c r="AY494" s="7">
        <v>200</v>
      </c>
      <c r="AZ494" s="7">
        <v>200</v>
      </c>
      <c r="BA494" s="7">
        <v>400</v>
      </c>
      <c r="BB494" s="7">
        <v>400</v>
      </c>
      <c r="BC494" s="15">
        <v>0</v>
      </c>
      <c r="BD494" s="21">
        <f t="shared" si="137"/>
        <v>8.5481044578364753E-4</v>
      </c>
      <c r="BE494" s="21">
        <f t="shared" si="137"/>
        <v>1.788508830762352E-3</v>
      </c>
      <c r="BF494" s="21">
        <f t="shared" si="137"/>
        <v>1.7052915195852731E-3</v>
      </c>
      <c r="BG494" s="21">
        <f t="shared" si="137"/>
        <v>1.3921759710427398E-3</v>
      </c>
      <c r="BH494" s="21">
        <f t="shared" si="137"/>
        <v>2.9454864102620745E-3</v>
      </c>
      <c r="BI494" s="21">
        <f t="shared" si="137"/>
        <v>3.221727329107501E-3</v>
      </c>
      <c r="BJ494" s="23">
        <f t="shared" si="130"/>
        <v>2.5197965701374385E-3</v>
      </c>
    </row>
    <row r="495" spans="1:62" x14ac:dyDescent="0.25">
      <c r="A495" s="12"/>
      <c r="B495" s="2"/>
      <c r="C495" s="2" t="s">
        <v>9</v>
      </c>
      <c r="D495" s="4">
        <v>0</v>
      </c>
      <c r="E495" s="4">
        <v>0</v>
      </c>
      <c r="F495" s="4">
        <v>0</v>
      </c>
      <c r="G495" s="4">
        <v>0</v>
      </c>
      <c r="H495" s="4">
        <v>0</v>
      </c>
      <c r="I495" s="4">
        <v>0</v>
      </c>
      <c r="J495" s="4">
        <v>0</v>
      </c>
      <c r="K495" s="4">
        <v>0</v>
      </c>
      <c r="L495" s="4">
        <v>0</v>
      </c>
      <c r="M495" s="4">
        <v>0</v>
      </c>
      <c r="N495" s="4">
        <v>0</v>
      </c>
      <c r="O495" s="4">
        <v>0</v>
      </c>
      <c r="P495" s="4">
        <v>0</v>
      </c>
      <c r="Q495" s="4">
        <v>0</v>
      </c>
      <c r="R495" s="4">
        <v>0</v>
      </c>
      <c r="S495" s="4">
        <v>0</v>
      </c>
      <c r="T495" s="4">
        <v>0</v>
      </c>
      <c r="U495" s="4">
        <v>0</v>
      </c>
      <c r="V495" s="4">
        <v>0</v>
      </c>
      <c r="W495" s="4">
        <v>0</v>
      </c>
      <c r="X495" s="4">
        <v>0</v>
      </c>
      <c r="Y495" s="4">
        <v>0</v>
      </c>
      <c r="Z495" s="4">
        <v>0</v>
      </c>
      <c r="AA495" s="4">
        <v>0</v>
      </c>
      <c r="AB495" s="4">
        <v>0</v>
      </c>
      <c r="AC495" s="4">
        <v>0</v>
      </c>
      <c r="AD495" s="4">
        <v>0</v>
      </c>
      <c r="AE495" s="3">
        <v>3975</v>
      </c>
      <c r="AF495" s="3">
        <v>3749</v>
      </c>
      <c r="AG495" s="3">
        <v>3639</v>
      </c>
      <c r="AH495" s="3">
        <v>3829</v>
      </c>
      <c r="AI495" s="3">
        <v>3727</v>
      </c>
      <c r="AJ495" s="3">
        <v>4057</v>
      </c>
      <c r="AK495" s="3">
        <v>4196</v>
      </c>
      <c r="AL495" s="3">
        <v>3728</v>
      </c>
      <c r="AM495" s="3">
        <v>3769</v>
      </c>
      <c r="AN495" s="3">
        <v>3736</v>
      </c>
      <c r="AO495" s="3">
        <v>3832</v>
      </c>
      <c r="AP495" s="3">
        <v>3980</v>
      </c>
      <c r="AQ495" s="3">
        <v>4250</v>
      </c>
      <c r="AR495" s="3">
        <v>4150</v>
      </c>
      <c r="AS495" s="3">
        <v>3831</v>
      </c>
      <c r="AT495" s="3">
        <v>4904</v>
      </c>
      <c r="AU495" s="3">
        <v>5179</v>
      </c>
      <c r="AV495" s="3">
        <v>5700</v>
      </c>
      <c r="AW495" s="3">
        <v>6118</v>
      </c>
      <c r="AX495" s="3">
        <v>6500</v>
      </c>
      <c r="AY495" s="3">
        <v>6800</v>
      </c>
      <c r="AZ495" s="3">
        <v>7050</v>
      </c>
      <c r="BA495" s="3">
        <v>7350</v>
      </c>
      <c r="BB495" s="3">
        <v>7550</v>
      </c>
      <c r="BC495" s="13">
        <v>0</v>
      </c>
      <c r="BD495" s="20">
        <f t="shared" si="137"/>
        <v>9.9206574421957117E-3</v>
      </c>
      <c r="BE495" s="20">
        <f t="shared" si="137"/>
        <v>1.0512832124627199E-2</v>
      </c>
      <c r="BF495" s="20">
        <f t="shared" si="137"/>
        <v>1.1087920688755543E-2</v>
      </c>
      <c r="BG495" s="20">
        <f t="shared" si="137"/>
        <v>1.1106647446652646E-2</v>
      </c>
      <c r="BH495" s="20">
        <f t="shared" si="137"/>
        <v>1.1304057618396547E-2</v>
      </c>
      <c r="BI495" s="20">
        <f t="shared" si="137"/>
        <v>1.1425994364185031E-2</v>
      </c>
      <c r="BJ495" s="23">
        <f t="shared" si="130"/>
        <v>1.1278899809744744E-2</v>
      </c>
    </row>
    <row r="496" spans="1:62" s="5" customFormat="1" x14ac:dyDescent="0.25">
      <c r="A496" s="14" t="s">
        <v>34</v>
      </c>
      <c r="B496" s="6" t="s">
        <v>5</v>
      </c>
      <c r="C496" s="6" t="s">
        <v>6</v>
      </c>
      <c r="D496" s="7">
        <v>27</v>
      </c>
      <c r="E496" s="7">
        <v>32</v>
      </c>
      <c r="F496" s="7">
        <v>38</v>
      </c>
      <c r="G496" s="7">
        <v>37</v>
      </c>
      <c r="H496" s="7">
        <v>46</v>
      </c>
      <c r="I496" s="7">
        <v>44</v>
      </c>
      <c r="J496" s="7">
        <v>35</v>
      </c>
      <c r="K496" s="7">
        <v>34</v>
      </c>
      <c r="L496" s="7">
        <v>32</v>
      </c>
      <c r="M496" s="7">
        <v>31</v>
      </c>
      <c r="N496" s="7">
        <v>31</v>
      </c>
      <c r="O496" s="7">
        <v>34</v>
      </c>
      <c r="P496" s="7">
        <v>42</v>
      </c>
      <c r="Q496" s="7">
        <v>51</v>
      </c>
      <c r="R496" s="7">
        <v>50</v>
      </c>
      <c r="S496" s="7">
        <v>250</v>
      </c>
      <c r="T496" s="7">
        <v>250</v>
      </c>
      <c r="U496" s="7">
        <v>408</v>
      </c>
      <c r="V496" s="7">
        <v>485</v>
      </c>
      <c r="W496" s="7">
        <v>475</v>
      </c>
      <c r="X496" s="7">
        <v>418</v>
      </c>
      <c r="Y496" s="7">
        <v>416</v>
      </c>
      <c r="Z496" s="7">
        <v>437</v>
      </c>
      <c r="AA496" s="7">
        <v>467</v>
      </c>
      <c r="AB496" s="7">
        <v>525</v>
      </c>
      <c r="AC496" s="7">
        <v>525</v>
      </c>
      <c r="AD496" s="7">
        <v>570</v>
      </c>
      <c r="AE496" s="7">
        <v>561</v>
      </c>
      <c r="AF496" s="7">
        <v>815</v>
      </c>
      <c r="AG496" s="7">
        <v>838</v>
      </c>
      <c r="AH496" s="7">
        <v>671</v>
      </c>
      <c r="AI496" s="7">
        <v>672</v>
      </c>
      <c r="AJ496" s="7">
        <v>748</v>
      </c>
      <c r="AK496" s="7">
        <v>882</v>
      </c>
      <c r="AL496" s="8">
        <v>1144</v>
      </c>
      <c r="AM496" s="8">
        <v>1177</v>
      </c>
      <c r="AN496" s="8">
        <v>1537</v>
      </c>
      <c r="AO496" s="8">
        <v>1650</v>
      </c>
      <c r="AP496" s="8">
        <v>1612</v>
      </c>
      <c r="AQ496" s="8">
        <v>1750</v>
      </c>
      <c r="AR496" s="8">
        <v>2005</v>
      </c>
      <c r="AS496" s="8">
        <v>2112</v>
      </c>
      <c r="AT496" s="8">
        <v>2313</v>
      </c>
      <c r="AU496" s="8">
        <v>2800</v>
      </c>
      <c r="AV496" s="8">
        <v>3757</v>
      </c>
      <c r="AW496" s="8">
        <v>3818</v>
      </c>
      <c r="AX496" s="8">
        <v>4251</v>
      </c>
      <c r="AY496" s="8">
        <v>4600</v>
      </c>
      <c r="AZ496" s="8">
        <v>4432</v>
      </c>
      <c r="BA496" s="8">
        <v>5280</v>
      </c>
      <c r="BB496" s="8">
        <v>5500</v>
      </c>
      <c r="BC496" s="15">
        <v>0</v>
      </c>
      <c r="BD496" s="21">
        <f t="shared" ref="BD496:BI511" si="138">AW496/AW547</f>
        <v>5.4585121622742179E-3</v>
      </c>
      <c r="BE496" s="21">
        <f t="shared" si="138"/>
        <v>5.9573609353519132E-3</v>
      </c>
      <c r="BF496" s="21">
        <f t="shared" si="138"/>
        <v>5.790008961926915E-3</v>
      </c>
      <c r="BG496" s="21">
        <f t="shared" si="138"/>
        <v>5.5481557890098444E-3</v>
      </c>
      <c r="BH496" s="21">
        <f t="shared" si="138"/>
        <v>6.4990454526991344E-3</v>
      </c>
      <c r="BI496" s="21">
        <f t="shared" si="138"/>
        <v>6.7489548323130142E-3</v>
      </c>
      <c r="BJ496" s="23">
        <f t="shared" si="130"/>
        <v>6.2653853580073304E-3</v>
      </c>
    </row>
    <row r="497" spans="1:62" x14ac:dyDescent="0.25">
      <c r="A497" s="12"/>
      <c r="B497" s="2"/>
      <c r="C497" s="2" t="s">
        <v>7</v>
      </c>
      <c r="D497" s="4">
        <v>0</v>
      </c>
      <c r="E497" s="4">
        <v>0</v>
      </c>
      <c r="F497" s="4">
        <v>57</v>
      </c>
      <c r="G497" s="4">
        <v>62</v>
      </c>
      <c r="H497" s="4">
        <v>47</v>
      </c>
      <c r="I497" s="4">
        <v>30</v>
      </c>
      <c r="J497" s="4">
        <v>40</v>
      </c>
      <c r="K497" s="4">
        <v>0</v>
      </c>
      <c r="L497" s="4">
        <v>43</v>
      </c>
      <c r="M497" s="4">
        <v>131</v>
      </c>
      <c r="N497" s="4">
        <v>80</v>
      </c>
      <c r="O497" s="4">
        <v>90</v>
      </c>
      <c r="P497" s="4">
        <v>80</v>
      </c>
      <c r="Q497" s="4">
        <v>45</v>
      </c>
      <c r="R497" s="4">
        <v>50</v>
      </c>
      <c r="S497" s="4">
        <v>60</v>
      </c>
      <c r="T497" s="4">
        <v>60</v>
      </c>
      <c r="U497" s="4">
        <v>96</v>
      </c>
      <c r="V497" s="4">
        <v>105</v>
      </c>
      <c r="W497" s="4">
        <v>110</v>
      </c>
      <c r="X497" s="4">
        <v>110</v>
      </c>
      <c r="Y497" s="4">
        <v>110</v>
      </c>
      <c r="Z497" s="4">
        <v>110</v>
      </c>
      <c r="AA497" s="4">
        <v>0</v>
      </c>
      <c r="AB497" s="4">
        <v>0</v>
      </c>
      <c r="AC497" s="4">
        <v>0</v>
      </c>
      <c r="AD497" s="4">
        <v>0</v>
      </c>
      <c r="AE497" s="4">
        <v>0</v>
      </c>
      <c r="AF497" s="4">
        <v>0</v>
      </c>
      <c r="AG497" s="4">
        <v>0</v>
      </c>
      <c r="AH497" s="4">
        <v>0</v>
      </c>
      <c r="AI497" s="4">
        <v>0</v>
      </c>
      <c r="AJ497" s="4">
        <v>40</v>
      </c>
      <c r="AK497" s="4">
        <v>13</v>
      </c>
      <c r="AL497" s="4">
        <v>25</v>
      </c>
      <c r="AM497" s="4">
        <v>32</v>
      </c>
      <c r="AN497" s="4">
        <v>17</v>
      </c>
      <c r="AO497" s="4">
        <v>77</v>
      </c>
      <c r="AP497" s="4">
        <v>107</v>
      </c>
      <c r="AQ497" s="4">
        <v>200</v>
      </c>
      <c r="AR497" s="4">
        <v>50</v>
      </c>
      <c r="AS497" s="4">
        <v>122</v>
      </c>
      <c r="AT497" s="4">
        <v>311</v>
      </c>
      <c r="AU497" s="4">
        <v>204</v>
      </c>
      <c r="AV497" s="4">
        <v>206</v>
      </c>
      <c r="AW497" s="4">
        <v>475</v>
      </c>
      <c r="AX497" s="4">
        <v>650</v>
      </c>
      <c r="AY497" s="4">
        <v>500</v>
      </c>
      <c r="AZ497" s="3">
        <v>1100</v>
      </c>
      <c r="BA497" s="3">
        <v>1500</v>
      </c>
      <c r="BB497" s="3">
        <v>1300</v>
      </c>
      <c r="BC497" s="13">
        <v>0</v>
      </c>
      <c r="BD497" s="20">
        <f t="shared" si="138"/>
        <v>5.8908152888359749E-3</v>
      </c>
      <c r="BE497" s="20">
        <f t="shared" si="138"/>
        <v>7.1764524035595207E-3</v>
      </c>
      <c r="BF497" s="20">
        <f t="shared" si="138"/>
        <v>5.07526619771207E-3</v>
      </c>
      <c r="BG497" s="20">
        <f t="shared" si="138"/>
        <v>1.3319287539201086E-2</v>
      </c>
      <c r="BH497" s="20">
        <f t="shared" si="138"/>
        <v>1.6695977382515971E-2</v>
      </c>
      <c r="BI497" s="20">
        <f t="shared" si="138"/>
        <v>1.4176199251932871E-2</v>
      </c>
      <c r="BJ497" s="23">
        <f t="shared" si="130"/>
        <v>1.4730488057883309E-2</v>
      </c>
    </row>
    <row r="498" spans="1:62" s="5" customFormat="1" x14ac:dyDescent="0.25">
      <c r="A498" s="14"/>
      <c r="B498" s="6"/>
      <c r="C498" s="6" t="s">
        <v>8</v>
      </c>
      <c r="D498" s="7">
        <v>18</v>
      </c>
      <c r="E498" s="7">
        <v>2</v>
      </c>
      <c r="F498" s="7">
        <v>0</v>
      </c>
      <c r="G498" s="7">
        <v>0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0</v>
      </c>
      <c r="Q498" s="7">
        <v>0</v>
      </c>
      <c r="R498" s="7">
        <v>0</v>
      </c>
      <c r="S498" s="7">
        <v>0</v>
      </c>
      <c r="T498" s="7">
        <v>0</v>
      </c>
      <c r="U498" s="7">
        <v>0</v>
      </c>
      <c r="V498" s="7">
        <v>0</v>
      </c>
      <c r="W498" s="7">
        <v>0</v>
      </c>
      <c r="X498" s="7">
        <v>0</v>
      </c>
      <c r="Y498" s="7">
        <v>0</v>
      </c>
      <c r="Z498" s="7">
        <v>5</v>
      </c>
      <c r="AA498" s="7">
        <v>50</v>
      </c>
      <c r="AB498" s="7">
        <v>25</v>
      </c>
      <c r="AC498" s="7">
        <v>45</v>
      </c>
      <c r="AD498" s="7">
        <v>8</v>
      </c>
      <c r="AE498" s="7">
        <v>27</v>
      </c>
      <c r="AF498" s="7">
        <v>92</v>
      </c>
      <c r="AG498" s="7">
        <v>49</v>
      </c>
      <c r="AH498" s="7">
        <v>25</v>
      </c>
      <c r="AI498" s="7">
        <v>54</v>
      </c>
      <c r="AJ498" s="7">
        <v>52</v>
      </c>
      <c r="AK498" s="7">
        <v>94</v>
      </c>
      <c r="AL498" s="7">
        <v>30</v>
      </c>
      <c r="AM498" s="7">
        <v>66</v>
      </c>
      <c r="AN498" s="7">
        <v>19</v>
      </c>
      <c r="AO498" s="7">
        <v>4</v>
      </c>
      <c r="AP498" s="7">
        <v>0</v>
      </c>
      <c r="AQ498" s="7">
        <v>0</v>
      </c>
      <c r="AR498" s="7">
        <v>98</v>
      </c>
      <c r="AS498" s="7">
        <v>17</v>
      </c>
      <c r="AT498" s="7">
        <v>1</v>
      </c>
      <c r="AU498" s="7">
        <v>43</v>
      </c>
      <c r="AV498" s="7">
        <v>41</v>
      </c>
      <c r="AW498" s="7">
        <v>1</v>
      </c>
      <c r="AX498" s="7">
        <v>1</v>
      </c>
      <c r="AY498" s="7">
        <v>1</v>
      </c>
      <c r="AZ498" s="7">
        <v>10</v>
      </c>
      <c r="BA498" s="7">
        <v>0</v>
      </c>
      <c r="BB498" s="7">
        <v>0</v>
      </c>
      <c r="BC498" s="15">
        <v>0</v>
      </c>
      <c r="BD498" s="21">
        <f t="shared" si="138"/>
        <v>1.233471482139333E-5</v>
      </c>
      <c r="BE498" s="21">
        <f t="shared" si="138"/>
        <v>1.0631850898922994E-5</v>
      </c>
      <c r="BF498" s="21">
        <f t="shared" si="138"/>
        <v>1.0138697380160598E-5</v>
      </c>
      <c r="BG498" s="21">
        <f t="shared" si="138"/>
        <v>1.1838943019167248E-4</v>
      </c>
      <c r="BH498" s="21">
        <f t="shared" si="138"/>
        <v>0</v>
      </c>
      <c r="BI498" s="21">
        <f t="shared" si="138"/>
        <v>0</v>
      </c>
      <c r="BJ498" s="23">
        <f t="shared" si="130"/>
        <v>3.946314339722416E-5</v>
      </c>
    </row>
    <row r="499" spans="1:62" x14ac:dyDescent="0.25">
      <c r="A499" s="12"/>
      <c r="B499" s="2"/>
      <c r="C499" s="2" t="s">
        <v>9</v>
      </c>
      <c r="D499" s="4">
        <v>9</v>
      </c>
      <c r="E499" s="4">
        <v>30</v>
      </c>
      <c r="F499" s="4">
        <v>95</v>
      </c>
      <c r="G499" s="4">
        <v>99</v>
      </c>
      <c r="H499" s="4">
        <v>93</v>
      </c>
      <c r="I499" s="4">
        <v>74</v>
      </c>
      <c r="J499" s="4">
        <v>75</v>
      </c>
      <c r="K499" s="4">
        <v>34</v>
      </c>
      <c r="L499" s="4">
        <v>75</v>
      </c>
      <c r="M499" s="4">
        <v>162</v>
      </c>
      <c r="N499" s="4">
        <v>111</v>
      </c>
      <c r="O499" s="4">
        <v>124</v>
      </c>
      <c r="P499" s="4">
        <v>122</v>
      </c>
      <c r="Q499" s="4">
        <v>96</v>
      </c>
      <c r="R499" s="4">
        <v>100</v>
      </c>
      <c r="S499" s="4">
        <v>310</v>
      </c>
      <c r="T499" s="4">
        <v>310</v>
      </c>
      <c r="U499" s="4">
        <v>504</v>
      </c>
      <c r="V499" s="4">
        <v>590</v>
      </c>
      <c r="W499" s="4">
        <v>585</v>
      </c>
      <c r="X499" s="4">
        <v>528</v>
      </c>
      <c r="Y499" s="4">
        <v>526</v>
      </c>
      <c r="Z499" s="4">
        <v>542</v>
      </c>
      <c r="AA499" s="4">
        <v>417</v>
      </c>
      <c r="AB499" s="4">
        <v>500</v>
      </c>
      <c r="AC499" s="4">
        <v>480</v>
      </c>
      <c r="AD499" s="4">
        <v>562</v>
      </c>
      <c r="AE499" s="4">
        <v>534</v>
      </c>
      <c r="AF499" s="4">
        <v>723</v>
      </c>
      <c r="AG499" s="4">
        <v>789</v>
      </c>
      <c r="AH499" s="4">
        <v>646</v>
      </c>
      <c r="AI499" s="4">
        <v>618</v>
      </c>
      <c r="AJ499" s="4">
        <v>736</v>
      </c>
      <c r="AK499" s="4">
        <v>801</v>
      </c>
      <c r="AL499" s="3">
        <v>1139</v>
      </c>
      <c r="AM499" s="3">
        <v>1143</v>
      </c>
      <c r="AN499" s="3">
        <v>1535</v>
      </c>
      <c r="AO499" s="3">
        <v>1723</v>
      </c>
      <c r="AP499" s="3">
        <v>1719</v>
      </c>
      <c r="AQ499" s="3">
        <v>1950</v>
      </c>
      <c r="AR499" s="3">
        <v>1957</v>
      </c>
      <c r="AS499" s="3">
        <v>2217</v>
      </c>
      <c r="AT499" s="3">
        <v>2600</v>
      </c>
      <c r="AU499" s="3">
        <v>2650</v>
      </c>
      <c r="AV499" s="3">
        <v>3900</v>
      </c>
      <c r="AW499" s="3">
        <v>4250</v>
      </c>
      <c r="AX499" s="3">
        <v>4900</v>
      </c>
      <c r="AY499" s="3">
        <v>5200</v>
      </c>
      <c r="AZ499" s="3">
        <v>5400</v>
      </c>
      <c r="BA499" s="3">
        <v>6300</v>
      </c>
      <c r="BB499" s="3">
        <v>6600</v>
      </c>
      <c r="BC499" s="13">
        <v>0</v>
      </c>
      <c r="BD499" s="20">
        <f t="shared" si="138"/>
        <v>6.0200602572619633E-3</v>
      </c>
      <c r="BE499" s="20">
        <f t="shared" si="138"/>
        <v>6.7613065603991654E-3</v>
      </c>
      <c r="BF499" s="20">
        <f t="shared" si="138"/>
        <v>6.7336143322391214E-3</v>
      </c>
      <c r="BG499" s="20">
        <f t="shared" si="138"/>
        <v>6.9217901800306351E-3</v>
      </c>
      <c r="BH499" s="20">
        <f t="shared" si="138"/>
        <v>7.791697019243018E-3</v>
      </c>
      <c r="BI499" s="20">
        <f t="shared" si="138"/>
        <v>7.8644174432778886E-3</v>
      </c>
      <c r="BJ499" s="23">
        <f t="shared" si="130"/>
        <v>7.5259682141838478E-3</v>
      </c>
    </row>
    <row r="500" spans="1:62" s="5" customFormat="1" x14ac:dyDescent="0.25">
      <c r="A500" s="14"/>
      <c r="B500" s="6" t="s">
        <v>10</v>
      </c>
      <c r="C500" s="6" t="s">
        <v>6</v>
      </c>
      <c r="D500" s="7">
        <v>9</v>
      </c>
      <c r="E500" s="7">
        <v>10</v>
      </c>
      <c r="F500" s="7">
        <v>9</v>
      </c>
      <c r="G500" s="7">
        <v>9</v>
      </c>
      <c r="H500" s="7">
        <v>8</v>
      </c>
      <c r="I500" s="7">
        <v>8</v>
      </c>
      <c r="J500" s="7">
        <v>6</v>
      </c>
      <c r="K500" s="7">
        <v>8</v>
      </c>
      <c r="L500" s="7">
        <v>8</v>
      </c>
      <c r="M500" s="7">
        <v>8</v>
      </c>
      <c r="N500" s="7">
        <v>5</v>
      </c>
      <c r="O500" s="7">
        <v>3</v>
      </c>
      <c r="P500" s="7">
        <v>8</v>
      </c>
      <c r="Q500" s="7">
        <v>8</v>
      </c>
      <c r="R500" s="7">
        <v>8</v>
      </c>
      <c r="S500" s="7">
        <v>3</v>
      </c>
      <c r="T500" s="7">
        <v>3</v>
      </c>
      <c r="U500" s="7">
        <v>4</v>
      </c>
      <c r="V500" s="7">
        <v>5</v>
      </c>
      <c r="W500" s="7">
        <v>3</v>
      </c>
      <c r="X500" s="7">
        <v>3</v>
      </c>
      <c r="Y500" s="7">
        <v>3</v>
      </c>
      <c r="Z500" s="7">
        <v>5</v>
      </c>
      <c r="AA500" s="7">
        <v>6</v>
      </c>
      <c r="AB500" s="7">
        <v>7</v>
      </c>
      <c r="AC500" s="7">
        <v>7</v>
      </c>
      <c r="AD500" s="7">
        <v>7</v>
      </c>
      <c r="AE500" s="7">
        <v>6</v>
      </c>
      <c r="AF500" s="7">
        <v>6</v>
      </c>
      <c r="AG500" s="7">
        <v>5</v>
      </c>
      <c r="AH500" s="7">
        <v>4</v>
      </c>
      <c r="AI500" s="7">
        <v>13</v>
      </c>
      <c r="AJ500" s="7">
        <v>19</v>
      </c>
      <c r="AK500" s="7">
        <v>8</v>
      </c>
      <c r="AL500" s="7">
        <v>13</v>
      </c>
      <c r="AM500" s="7">
        <v>20</v>
      </c>
      <c r="AN500" s="7">
        <v>17</v>
      </c>
      <c r="AO500" s="7">
        <v>21</v>
      </c>
      <c r="AP500" s="7">
        <v>31</v>
      </c>
      <c r="AQ500" s="7">
        <v>35</v>
      </c>
      <c r="AR500" s="7">
        <v>43</v>
      </c>
      <c r="AS500" s="7">
        <v>48</v>
      </c>
      <c r="AT500" s="7">
        <v>52</v>
      </c>
      <c r="AU500" s="7">
        <v>57</v>
      </c>
      <c r="AV500" s="7">
        <v>47</v>
      </c>
      <c r="AW500" s="7">
        <v>48</v>
      </c>
      <c r="AX500" s="7">
        <v>49</v>
      </c>
      <c r="AY500" s="7">
        <v>26</v>
      </c>
      <c r="AZ500" s="7">
        <v>12</v>
      </c>
      <c r="BA500" s="7">
        <v>17</v>
      </c>
      <c r="BB500" s="7">
        <v>20</v>
      </c>
      <c r="BC500" s="15">
        <v>0</v>
      </c>
      <c r="BD500" s="21">
        <f t="shared" si="138"/>
        <v>4.1225425781350647E-4</v>
      </c>
      <c r="BE500" s="21">
        <f t="shared" si="138"/>
        <v>4.0225921912455257E-4</v>
      </c>
      <c r="BF500" s="21">
        <f t="shared" si="138"/>
        <v>2.1724054376979186E-4</v>
      </c>
      <c r="BG500" s="21">
        <f t="shared" si="138"/>
        <v>1.1204272562603873E-4</v>
      </c>
      <c r="BH500" s="21">
        <f t="shared" si="138"/>
        <v>1.6774550047363436E-4</v>
      </c>
      <c r="BI500" s="21">
        <f t="shared" si="138"/>
        <v>1.7462216129849039E-4</v>
      </c>
      <c r="BJ500" s="23">
        <f t="shared" si="130"/>
        <v>1.5147012913272116E-4</v>
      </c>
    </row>
    <row r="501" spans="1:62" x14ac:dyDescent="0.25">
      <c r="A501" s="12"/>
      <c r="B501" s="2"/>
      <c r="C501" s="2" t="s">
        <v>7</v>
      </c>
      <c r="D501" s="4">
        <v>30</v>
      </c>
      <c r="E501" s="4">
        <v>30</v>
      </c>
      <c r="F501" s="4">
        <v>35</v>
      </c>
      <c r="G501" s="4">
        <v>75</v>
      </c>
      <c r="H501" s="4">
        <v>60</v>
      </c>
      <c r="I501" s="4">
        <v>65</v>
      </c>
      <c r="J501" s="4">
        <v>105</v>
      </c>
      <c r="K501" s="4">
        <v>40</v>
      </c>
      <c r="L501" s="4">
        <v>95</v>
      </c>
      <c r="M501" s="4">
        <v>125</v>
      </c>
      <c r="N501" s="4">
        <v>150</v>
      </c>
      <c r="O501" s="4">
        <v>150</v>
      </c>
      <c r="P501" s="4">
        <v>145</v>
      </c>
      <c r="Q501" s="4">
        <v>120</v>
      </c>
      <c r="R501" s="4">
        <v>75</v>
      </c>
      <c r="S501" s="4">
        <v>95</v>
      </c>
      <c r="T501" s="4">
        <v>110</v>
      </c>
      <c r="U501" s="4">
        <v>125</v>
      </c>
      <c r="V501" s="4">
        <v>170</v>
      </c>
      <c r="W501" s="4">
        <v>170</v>
      </c>
      <c r="X501" s="4">
        <v>140</v>
      </c>
      <c r="Y501" s="4">
        <v>180</v>
      </c>
      <c r="Z501" s="4">
        <v>192</v>
      </c>
      <c r="AA501" s="4">
        <v>194</v>
      </c>
      <c r="AB501" s="4">
        <v>207</v>
      </c>
      <c r="AC501" s="4">
        <v>239</v>
      </c>
      <c r="AD501" s="4">
        <v>276</v>
      </c>
      <c r="AE501" s="4">
        <v>294</v>
      </c>
      <c r="AF501" s="4">
        <v>261</v>
      </c>
      <c r="AG501" s="4">
        <v>257</v>
      </c>
      <c r="AH501" s="4">
        <v>202</v>
      </c>
      <c r="AI501" s="4">
        <v>83</v>
      </c>
      <c r="AJ501" s="4">
        <v>46</v>
      </c>
      <c r="AK501" s="4">
        <v>110</v>
      </c>
      <c r="AL501" s="4">
        <v>165</v>
      </c>
      <c r="AM501" s="4">
        <v>161</v>
      </c>
      <c r="AN501" s="4">
        <v>165</v>
      </c>
      <c r="AO501" s="4">
        <v>170</v>
      </c>
      <c r="AP501" s="4">
        <v>270</v>
      </c>
      <c r="AQ501" s="4">
        <v>330</v>
      </c>
      <c r="AR501" s="4">
        <v>400</v>
      </c>
      <c r="AS501" s="4">
        <v>435</v>
      </c>
      <c r="AT501" s="4">
        <v>400</v>
      </c>
      <c r="AU501" s="4">
        <v>540</v>
      </c>
      <c r="AV501" s="4">
        <v>690</v>
      </c>
      <c r="AW501" s="4">
        <v>694</v>
      </c>
      <c r="AX501" s="4">
        <v>978</v>
      </c>
      <c r="AY501" s="3">
        <v>1208</v>
      </c>
      <c r="AZ501" s="3">
        <v>1251</v>
      </c>
      <c r="BA501" s="3">
        <v>1690</v>
      </c>
      <c r="BB501" s="3">
        <v>1650</v>
      </c>
      <c r="BC501" s="13">
        <v>0</v>
      </c>
      <c r="BD501" s="20">
        <f t="shared" si="138"/>
        <v>1.5501105626409953E-2</v>
      </c>
      <c r="BE501" s="20">
        <f t="shared" si="138"/>
        <v>2.5717215808987878E-2</v>
      </c>
      <c r="BF501" s="20">
        <f t="shared" si="138"/>
        <v>3.1006956030698939E-2</v>
      </c>
      <c r="BG501" s="20">
        <f t="shared" si="138"/>
        <v>4.1502172975483531E-2</v>
      </c>
      <c r="BH501" s="20">
        <f t="shared" si="138"/>
        <v>4.6731556243778345E-2</v>
      </c>
      <c r="BI501" s="20">
        <f t="shared" si="138"/>
        <v>4.3275283256399497E-2</v>
      </c>
      <c r="BJ501" s="23">
        <f t="shared" si="130"/>
        <v>4.3836337491887124E-2</v>
      </c>
    </row>
    <row r="502" spans="1:62" s="5" customFormat="1" x14ac:dyDescent="0.25">
      <c r="A502" s="14"/>
      <c r="B502" s="6"/>
      <c r="C502" s="6" t="s">
        <v>8</v>
      </c>
      <c r="D502" s="7">
        <v>0</v>
      </c>
      <c r="E502" s="7">
        <v>0</v>
      </c>
      <c r="F502" s="7">
        <v>0</v>
      </c>
      <c r="G502" s="7">
        <v>0</v>
      </c>
      <c r="H502" s="7">
        <v>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0</v>
      </c>
      <c r="Q502" s="7">
        <v>0</v>
      </c>
      <c r="R502" s="7">
        <v>0</v>
      </c>
      <c r="S502" s="7">
        <v>0</v>
      </c>
      <c r="T502" s="7">
        <v>0</v>
      </c>
      <c r="U502" s="7">
        <v>0</v>
      </c>
      <c r="V502" s="7">
        <v>0</v>
      </c>
      <c r="W502" s="7">
        <v>0</v>
      </c>
      <c r="X502" s="7">
        <v>0</v>
      </c>
      <c r="Y502" s="7">
        <v>0</v>
      </c>
      <c r="Z502" s="7">
        <v>0</v>
      </c>
      <c r="AA502" s="7">
        <v>0</v>
      </c>
      <c r="AB502" s="7">
        <v>0</v>
      </c>
      <c r="AC502" s="7">
        <v>5</v>
      </c>
      <c r="AD502" s="7">
        <v>15</v>
      </c>
      <c r="AE502" s="7">
        <v>20</v>
      </c>
      <c r="AF502" s="7">
        <v>20</v>
      </c>
      <c r="AG502" s="7">
        <v>0</v>
      </c>
      <c r="AH502" s="7">
        <v>0</v>
      </c>
      <c r="AI502" s="7">
        <v>0</v>
      </c>
      <c r="AJ502" s="7">
        <v>0</v>
      </c>
      <c r="AK502" s="7">
        <v>0</v>
      </c>
      <c r="AL502" s="7">
        <v>0</v>
      </c>
      <c r="AM502" s="7">
        <v>0</v>
      </c>
      <c r="AN502" s="7">
        <v>0</v>
      </c>
      <c r="AO502" s="7">
        <v>0</v>
      </c>
      <c r="AP502" s="7">
        <v>0</v>
      </c>
      <c r="AQ502" s="7">
        <v>0</v>
      </c>
      <c r="AR502" s="7">
        <v>0</v>
      </c>
      <c r="AS502" s="7">
        <v>0</v>
      </c>
      <c r="AT502" s="7">
        <v>0</v>
      </c>
      <c r="AU502" s="7">
        <v>0</v>
      </c>
      <c r="AV502" s="7">
        <v>0</v>
      </c>
      <c r="AW502" s="7">
        <v>0</v>
      </c>
      <c r="AX502" s="7">
        <v>0</v>
      </c>
      <c r="AY502" s="7">
        <v>0</v>
      </c>
      <c r="AZ502" s="7">
        <v>0</v>
      </c>
      <c r="BA502" s="7">
        <v>0</v>
      </c>
      <c r="BB502" s="7">
        <v>0</v>
      </c>
      <c r="BC502" s="15">
        <v>0</v>
      </c>
      <c r="BD502" s="21">
        <f t="shared" si="138"/>
        <v>0</v>
      </c>
      <c r="BE502" s="21">
        <f t="shared" si="138"/>
        <v>0</v>
      </c>
      <c r="BF502" s="21">
        <f t="shared" si="138"/>
        <v>0</v>
      </c>
      <c r="BG502" s="21">
        <f t="shared" si="138"/>
        <v>0</v>
      </c>
      <c r="BH502" s="21">
        <f t="shared" si="138"/>
        <v>0</v>
      </c>
      <c r="BI502" s="21">
        <f t="shared" si="138"/>
        <v>0</v>
      </c>
      <c r="BJ502" s="23">
        <f t="shared" si="130"/>
        <v>0</v>
      </c>
    </row>
    <row r="503" spans="1:62" x14ac:dyDescent="0.25">
      <c r="A503" s="12"/>
      <c r="B503" s="2"/>
      <c r="C503" s="2" t="s">
        <v>9</v>
      </c>
      <c r="D503" s="4">
        <v>33</v>
      </c>
      <c r="E503" s="4">
        <v>41</v>
      </c>
      <c r="F503" s="4">
        <v>43</v>
      </c>
      <c r="G503" s="4">
        <v>73</v>
      </c>
      <c r="H503" s="4">
        <v>70</v>
      </c>
      <c r="I503" s="4">
        <v>85</v>
      </c>
      <c r="J503" s="4">
        <v>80</v>
      </c>
      <c r="K503" s="4">
        <v>65</v>
      </c>
      <c r="L503" s="4">
        <v>103</v>
      </c>
      <c r="M503" s="4">
        <v>115</v>
      </c>
      <c r="N503" s="4">
        <v>147</v>
      </c>
      <c r="O503" s="4">
        <v>145</v>
      </c>
      <c r="P503" s="4">
        <v>150</v>
      </c>
      <c r="Q503" s="4">
        <v>155</v>
      </c>
      <c r="R503" s="4">
        <v>100</v>
      </c>
      <c r="S503" s="4">
        <v>100</v>
      </c>
      <c r="T503" s="4">
        <v>105</v>
      </c>
      <c r="U503" s="4">
        <v>115</v>
      </c>
      <c r="V503" s="4">
        <v>145</v>
      </c>
      <c r="W503" s="4">
        <v>165</v>
      </c>
      <c r="X503" s="4">
        <v>165</v>
      </c>
      <c r="Y503" s="4">
        <v>179</v>
      </c>
      <c r="Z503" s="4">
        <v>185</v>
      </c>
      <c r="AA503" s="4">
        <v>200</v>
      </c>
      <c r="AB503" s="4">
        <v>215</v>
      </c>
      <c r="AC503" s="4">
        <v>239</v>
      </c>
      <c r="AD503" s="4">
        <v>261</v>
      </c>
      <c r="AE503" s="4">
        <v>271</v>
      </c>
      <c r="AF503" s="4">
        <v>261</v>
      </c>
      <c r="AG503" s="4">
        <v>261</v>
      </c>
      <c r="AH503" s="4">
        <v>188</v>
      </c>
      <c r="AI503" s="4">
        <v>115</v>
      </c>
      <c r="AJ503" s="4">
        <v>83</v>
      </c>
      <c r="AK503" s="4">
        <v>119</v>
      </c>
      <c r="AL503" s="4">
        <v>161</v>
      </c>
      <c r="AM503" s="4">
        <v>170</v>
      </c>
      <c r="AN503" s="4">
        <v>184</v>
      </c>
      <c r="AO503" s="4">
        <v>207</v>
      </c>
      <c r="AP503" s="4">
        <v>301</v>
      </c>
      <c r="AQ503" s="4">
        <v>350</v>
      </c>
      <c r="AR503" s="4">
        <v>430</v>
      </c>
      <c r="AS503" s="4">
        <v>460</v>
      </c>
      <c r="AT503" s="4">
        <v>450</v>
      </c>
      <c r="AU503" s="4">
        <v>575</v>
      </c>
      <c r="AV503" s="4">
        <v>700</v>
      </c>
      <c r="AW503" s="4">
        <v>750</v>
      </c>
      <c r="AX503" s="4">
        <v>975</v>
      </c>
      <c r="AY503" s="3">
        <v>1200</v>
      </c>
      <c r="AZ503" s="3">
        <v>1250</v>
      </c>
      <c r="BA503" s="3">
        <v>1600</v>
      </c>
      <c r="BB503" s="3">
        <v>1725</v>
      </c>
      <c r="BC503" s="13">
        <v>0</v>
      </c>
      <c r="BD503" s="20">
        <f t="shared" si="138"/>
        <v>6.5195848328378448E-3</v>
      </c>
      <c r="BE503" s="20">
        <f t="shared" si="138"/>
        <v>7.992720476120211E-3</v>
      </c>
      <c r="BF503" s="20">
        <f t="shared" si="138"/>
        <v>9.9030328037961624E-3</v>
      </c>
      <c r="BG503" s="20">
        <f t="shared" si="138"/>
        <v>1.1639709100390163E-2</v>
      </c>
      <c r="BH503" s="20">
        <f t="shared" si="138"/>
        <v>1.3507695165089362E-2</v>
      </c>
      <c r="BI503" s="20">
        <f t="shared" si="138"/>
        <v>1.4746992895796465E-2</v>
      </c>
      <c r="BJ503" s="23">
        <f t="shared" si="130"/>
        <v>1.3298132387091996E-2</v>
      </c>
    </row>
    <row r="504" spans="1:62" s="5" customFormat="1" x14ac:dyDescent="0.25">
      <c r="A504" s="14"/>
      <c r="B504" s="6" t="s">
        <v>11</v>
      </c>
      <c r="C504" s="6" t="s">
        <v>6</v>
      </c>
      <c r="D504" s="7">
        <v>0</v>
      </c>
      <c r="E504" s="7">
        <v>0</v>
      </c>
      <c r="F504" s="7">
        <v>0</v>
      </c>
      <c r="G504" s="7">
        <v>0</v>
      </c>
      <c r="H504" s="7">
        <v>0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0</v>
      </c>
      <c r="P504" s="7">
        <v>15</v>
      </c>
      <c r="Q504" s="7">
        <v>15</v>
      </c>
      <c r="R504" s="7">
        <v>15</v>
      </c>
      <c r="S504" s="7">
        <v>22</v>
      </c>
      <c r="T504" s="7">
        <v>20</v>
      </c>
      <c r="U504" s="7">
        <v>24</v>
      </c>
      <c r="V504" s="7">
        <v>20</v>
      </c>
      <c r="W504" s="7">
        <v>32</v>
      </c>
      <c r="X504" s="7">
        <v>56</v>
      </c>
      <c r="Y504" s="7">
        <v>76</v>
      </c>
      <c r="Z504" s="7">
        <v>64</v>
      </c>
      <c r="AA504" s="7">
        <v>67</v>
      </c>
      <c r="AB504" s="7">
        <v>86</v>
      </c>
      <c r="AC504" s="7">
        <v>79</v>
      </c>
      <c r="AD504" s="7">
        <v>85</v>
      </c>
      <c r="AE504" s="7">
        <v>96</v>
      </c>
      <c r="AF504" s="7">
        <v>85</v>
      </c>
      <c r="AG504" s="7">
        <v>82</v>
      </c>
      <c r="AH504" s="7">
        <v>87</v>
      </c>
      <c r="AI504" s="7">
        <v>80</v>
      </c>
      <c r="AJ504" s="7">
        <v>80</v>
      </c>
      <c r="AK504" s="7">
        <v>106</v>
      </c>
      <c r="AL504" s="7">
        <v>125</v>
      </c>
      <c r="AM504" s="7">
        <v>126</v>
      </c>
      <c r="AN504" s="7">
        <v>114</v>
      </c>
      <c r="AO504" s="7">
        <v>113</v>
      </c>
      <c r="AP504" s="7">
        <v>147</v>
      </c>
      <c r="AQ504" s="7">
        <v>147</v>
      </c>
      <c r="AR504" s="7">
        <v>149</v>
      </c>
      <c r="AS504" s="7">
        <v>174</v>
      </c>
      <c r="AT504" s="7">
        <v>206</v>
      </c>
      <c r="AU504" s="7">
        <v>220</v>
      </c>
      <c r="AV504" s="7">
        <v>246</v>
      </c>
      <c r="AW504" s="7">
        <v>292</v>
      </c>
      <c r="AX504" s="7">
        <v>258</v>
      </c>
      <c r="AY504" s="7">
        <v>276</v>
      </c>
      <c r="AZ504" s="7">
        <v>269</v>
      </c>
      <c r="BA504" s="7">
        <v>300</v>
      </c>
      <c r="BB504" s="7">
        <v>300</v>
      </c>
      <c r="BC504" s="15">
        <v>0</v>
      </c>
      <c r="BD504" s="21">
        <f t="shared" si="138"/>
        <v>1.3232728343869668E-3</v>
      </c>
      <c r="BE504" s="21">
        <f t="shared" si="138"/>
        <v>1.0921420800650205E-3</v>
      </c>
      <c r="BF504" s="21">
        <f t="shared" si="138"/>
        <v>1.2522686025408349E-3</v>
      </c>
      <c r="BG504" s="21">
        <f t="shared" si="138"/>
        <v>1.2691552804408545E-3</v>
      </c>
      <c r="BH504" s="21">
        <f t="shared" si="138"/>
        <v>1.1528617872432001E-3</v>
      </c>
      <c r="BI504" s="21">
        <f t="shared" si="138"/>
        <v>1.1495486105789128E-3</v>
      </c>
      <c r="BJ504" s="23">
        <f t="shared" si="130"/>
        <v>1.1905218927543224E-3</v>
      </c>
    </row>
    <row r="505" spans="1:62" x14ac:dyDescent="0.25">
      <c r="A505" s="12"/>
      <c r="B505" s="2"/>
      <c r="C505" s="2" t="s">
        <v>7</v>
      </c>
      <c r="D505" s="4">
        <v>0</v>
      </c>
      <c r="E505" s="4">
        <v>0</v>
      </c>
      <c r="F505" s="4">
        <v>0</v>
      </c>
      <c r="G505" s="4">
        <v>0</v>
      </c>
      <c r="H505" s="4">
        <v>0</v>
      </c>
      <c r="I505" s="4">
        <v>0</v>
      </c>
      <c r="J505" s="4">
        <v>0</v>
      </c>
      <c r="K505" s="4">
        <v>0</v>
      </c>
      <c r="L505" s="4">
        <v>0</v>
      </c>
      <c r="M505" s="4">
        <v>0</v>
      </c>
      <c r="N505" s="4">
        <v>0</v>
      </c>
      <c r="O505" s="4">
        <v>0</v>
      </c>
      <c r="P505" s="4">
        <v>0</v>
      </c>
      <c r="Q505" s="4">
        <v>0</v>
      </c>
      <c r="R505" s="4">
        <v>2</v>
      </c>
      <c r="S505" s="4">
        <v>2</v>
      </c>
      <c r="T505" s="4">
        <v>2</v>
      </c>
      <c r="U505" s="4">
        <v>0</v>
      </c>
      <c r="V505" s="4">
        <v>0</v>
      </c>
      <c r="W505" s="4">
        <v>0</v>
      </c>
      <c r="X505" s="4">
        <v>0</v>
      </c>
      <c r="Y505" s="4">
        <v>3</v>
      </c>
      <c r="Z505" s="4">
        <v>0</v>
      </c>
      <c r="AA505" s="4">
        <v>0</v>
      </c>
      <c r="AB505" s="4">
        <v>0</v>
      </c>
      <c r="AC505" s="4">
        <v>0</v>
      </c>
      <c r="AD505" s="4">
        <v>0</v>
      </c>
      <c r="AE505" s="4">
        <v>0</v>
      </c>
      <c r="AF505" s="4">
        <v>0</v>
      </c>
      <c r="AG505" s="4">
        <v>0</v>
      </c>
      <c r="AH505" s="4">
        <v>0</v>
      </c>
      <c r="AI505" s="4">
        <v>0</v>
      </c>
      <c r="AJ505" s="4">
        <v>0</v>
      </c>
      <c r="AK505" s="4">
        <v>0</v>
      </c>
      <c r="AL505" s="4">
        <v>24</v>
      </c>
      <c r="AM505" s="4">
        <v>30</v>
      </c>
      <c r="AN505" s="4">
        <v>30</v>
      </c>
      <c r="AO505" s="4">
        <v>30</v>
      </c>
      <c r="AP505" s="4">
        <v>50</v>
      </c>
      <c r="AQ505" s="4">
        <v>50</v>
      </c>
      <c r="AR505" s="4">
        <v>32</v>
      </c>
      <c r="AS505" s="4">
        <v>27</v>
      </c>
      <c r="AT505" s="4">
        <v>34</v>
      </c>
      <c r="AU505" s="4">
        <v>39</v>
      </c>
      <c r="AV505" s="4">
        <v>6</v>
      </c>
      <c r="AW505" s="4">
        <v>46</v>
      </c>
      <c r="AX505" s="4">
        <v>74</v>
      </c>
      <c r="AY505" s="4">
        <v>120</v>
      </c>
      <c r="AZ505" s="4">
        <v>184</v>
      </c>
      <c r="BA505" s="4">
        <v>220</v>
      </c>
      <c r="BB505" s="4">
        <v>400</v>
      </c>
      <c r="BC505" s="13">
        <v>0</v>
      </c>
      <c r="BD505" s="20">
        <f t="shared" si="138"/>
        <v>7.1730418375461958E-4</v>
      </c>
      <c r="BE505" s="20">
        <f t="shared" si="138"/>
        <v>1.0714854553089208E-3</v>
      </c>
      <c r="BF505" s="20">
        <f t="shared" si="138"/>
        <v>1.5362753005338558E-3</v>
      </c>
      <c r="BG505" s="20">
        <f t="shared" si="138"/>
        <v>2.3779983457402811E-3</v>
      </c>
      <c r="BH505" s="20">
        <f t="shared" si="138"/>
        <v>2.5370466470622153E-3</v>
      </c>
      <c r="BI505" s="20">
        <f t="shared" si="138"/>
        <v>4.1941910454021177E-3</v>
      </c>
      <c r="BJ505" s="23">
        <f t="shared" si="130"/>
        <v>3.0364120127348714E-3</v>
      </c>
    </row>
    <row r="506" spans="1:62" s="5" customFormat="1" x14ac:dyDescent="0.25">
      <c r="A506" s="14"/>
      <c r="B506" s="6"/>
      <c r="C506" s="6" t="s">
        <v>8</v>
      </c>
      <c r="D506" s="7">
        <v>0</v>
      </c>
      <c r="E506" s="7">
        <v>0</v>
      </c>
      <c r="F506" s="7">
        <v>0</v>
      </c>
      <c r="G506" s="7">
        <v>0</v>
      </c>
      <c r="H506" s="7">
        <v>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0</v>
      </c>
      <c r="Q506" s="7">
        <v>0</v>
      </c>
      <c r="R506" s="7">
        <v>0</v>
      </c>
      <c r="S506" s="7">
        <v>0</v>
      </c>
      <c r="T506" s="7">
        <v>0</v>
      </c>
      <c r="U506" s="7">
        <v>0</v>
      </c>
      <c r="V506" s="7">
        <v>0</v>
      </c>
      <c r="W506" s="7">
        <v>0</v>
      </c>
      <c r="X506" s="7">
        <v>0</v>
      </c>
      <c r="Y506" s="7">
        <v>11</v>
      </c>
      <c r="Z506" s="7">
        <v>17</v>
      </c>
      <c r="AA506" s="7">
        <v>5</v>
      </c>
      <c r="AB506" s="7">
        <v>25</v>
      </c>
      <c r="AC506" s="7">
        <v>40</v>
      </c>
      <c r="AD506" s="7">
        <v>25</v>
      </c>
      <c r="AE506" s="7">
        <v>44</v>
      </c>
      <c r="AF506" s="7">
        <v>56</v>
      </c>
      <c r="AG506" s="7">
        <v>50</v>
      </c>
      <c r="AH506" s="7">
        <v>58</v>
      </c>
      <c r="AI506" s="7">
        <v>9</v>
      </c>
      <c r="AJ506" s="7">
        <v>3</v>
      </c>
      <c r="AK506" s="7">
        <v>26</v>
      </c>
      <c r="AL506" s="7">
        <v>42</v>
      </c>
      <c r="AM506" s="7">
        <v>50</v>
      </c>
      <c r="AN506" s="7">
        <v>37</v>
      </c>
      <c r="AO506" s="7">
        <v>30</v>
      </c>
      <c r="AP506" s="7">
        <v>15</v>
      </c>
      <c r="AQ506" s="7">
        <v>1</v>
      </c>
      <c r="AR506" s="7">
        <v>2</v>
      </c>
      <c r="AS506" s="7">
        <v>4</v>
      </c>
      <c r="AT506" s="7">
        <v>5</v>
      </c>
      <c r="AU506" s="7">
        <v>0</v>
      </c>
      <c r="AV506" s="7">
        <v>0</v>
      </c>
      <c r="AW506" s="7">
        <v>0</v>
      </c>
      <c r="AX506" s="7">
        <v>0</v>
      </c>
      <c r="AY506" s="7">
        <v>0</v>
      </c>
      <c r="AZ506" s="7">
        <v>0</v>
      </c>
      <c r="BA506" s="7">
        <v>0</v>
      </c>
      <c r="BB506" s="7">
        <v>0</v>
      </c>
      <c r="BC506" s="15">
        <v>0</v>
      </c>
      <c r="BD506" s="21">
        <f t="shared" si="138"/>
        <v>0</v>
      </c>
      <c r="BE506" s="21">
        <f t="shared" si="138"/>
        <v>0</v>
      </c>
      <c r="BF506" s="21">
        <f t="shared" si="138"/>
        <v>0</v>
      </c>
      <c r="BG506" s="21">
        <f t="shared" si="138"/>
        <v>0</v>
      </c>
      <c r="BH506" s="21">
        <f t="shared" si="138"/>
        <v>0</v>
      </c>
      <c r="BI506" s="21">
        <f t="shared" si="138"/>
        <v>0</v>
      </c>
      <c r="BJ506" s="23">
        <f t="shared" si="130"/>
        <v>0</v>
      </c>
    </row>
    <row r="507" spans="1:62" x14ac:dyDescent="0.25">
      <c r="A507" s="12"/>
      <c r="B507" s="2"/>
      <c r="C507" s="2" t="s">
        <v>9</v>
      </c>
      <c r="D507" s="4">
        <v>0</v>
      </c>
      <c r="E507" s="4">
        <v>0</v>
      </c>
      <c r="F507" s="4">
        <v>0</v>
      </c>
      <c r="G507" s="4">
        <v>0</v>
      </c>
      <c r="H507" s="4">
        <v>0</v>
      </c>
      <c r="I507" s="4">
        <v>0</v>
      </c>
      <c r="J507" s="4">
        <v>0</v>
      </c>
      <c r="K507" s="4">
        <v>0</v>
      </c>
      <c r="L507" s="4">
        <v>0</v>
      </c>
      <c r="M507" s="4">
        <v>0</v>
      </c>
      <c r="N507" s="4">
        <v>0</v>
      </c>
      <c r="O507" s="4">
        <v>0</v>
      </c>
      <c r="P507" s="4">
        <v>15</v>
      </c>
      <c r="Q507" s="4">
        <v>15</v>
      </c>
      <c r="R507" s="4">
        <v>17</v>
      </c>
      <c r="S507" s="4">
        <v>24</v>
      </c>
      <c r="T507" s="4">
        <v>22</v>
      </c>
      <c r="U507" s="4">
        <v>24</v>
      </c>
      <c r="V507" s="4">
        <v>20</v>
      </c>
      <c r="W507" s="4">
        <v>32</v>
      </c>
      <c r="X507" s="4">
        <v>56</v>
      </c>
      <c r="Y507" s="4">
        <v>68</v>
      </c>
      <c r="Z507" s="4">
        <v>47</v>
      </c>
      <c r="AA507" s="4">
        <v>62</v>
      </c>
      <c r="AB507" s="4">
        <v>61</v>
      </c>
      <c r="AC507" s="4">
        <v>39</v>
      </c>
      <c r="AD507" s="4">
        <v>60</v>
      </c>
      <c r="AE507" s="4">
        <v>52</v>
      </c>
      <c r="AF507" s="4">
        <v>29</v>
      </c>
      <c r="AG507" s="4">
        <v>32</v>
      </c>
      <c r="AH507" s="4">
        <v>29</v>
      </c>
      <c r="AI507" s="4">
        <v>71</v>
      </c>
      <c r="AJ507" s="4">
        <v>77</v>
      </c>
      <c r="AK507" s="4">
        <v>80</v>
      </c>
      <c r="AL507" s="4">
        <v>107</v>
      </c>
      <c r="AM507" s="4">
        <v>106</v>
      </c>
      <c r="AN507" s="4">
        <v>107</v>
      </c>
      <c r="AO507" s="4">
        <v>113</v>
      </c>
      <c r="AP507" s="4">
        <v>182</v>
      </c>
      <c r="AQ507" s="4">
        <v>196</v>
      </c>
      <c r="AR507" s="4">
        <v>179</v>
      </c>
      <c r="AS507" s="4">
        <v>197</v>
      </c>
      <c r="AT507" s="4">
        <v>235</v>
      </c>
      <c r="AU507" s="4">
        <v>259</v>
      </c>
      <c r="AV507" s="4">
        <v>252</v>
      </c>
      <c r="AW507" s="4">
        <v>318</v>
      </c>
      <c r="AX507" s="4">
        <v>329</v>
      </c>
      <c r="AY507" s="4">
        <v>414</v>
      </c>
      <c r="AZ507" s="4">
        <v>445</v>
      </c>
      <c r="BA507" s="4">
        <v>505</v>
      </c>
      <c r="BB507" s="4">
        <v>620</v>
      </c>
      <c r="BC507" s="13">
        <v>0</v>
      </c>
      <c r="BD507" s="20">
        <f t="shared" si="138"/>
        <v>1.4712958507606321E-3</v>
      </c>
      <c r="BE507" s="20">
        <f t="shared" si="138"/>
        <v>1.4584884916835125E-3</v>
      </c>
      <c r="BF507" s="20">
        <f t="shared" si="138"/>
        <v>1.7957214983430783E-3</v>
      </c>
      <c r="BG507" s="20">
        <f t="shared" si="138"/>
        <v>2.0105088620519839E-3</v>
      </c>
      <c r="BH507" s="20">
        <f t="shared" si="138"/>
        <v>2.1221697399606662E-3</v>
      </c>
      <c r="BI507" s="20">
        <f t="shared" si="138"/>
        <v>2.4240339051968159E-3</v>
      </c>
      <c r="BJ507" s="23">
        <f t="shared" si="130"/>
        <v>2.1855708357364887E-3</v>
      </c>
    </row>
    <row r="508" spans="1:62" s="5" customFormat="1" x14ac:dyDescent="0.25">
      <c r="A508" s="14"/>
      <c r="B508" s="6" t="s">
        <v>12</v>
      </c>
      <c r="C508" s="6" t="s">
        <v>6</v>
      </c>
      <c r="D508" s="8">
        <v>5959</v>
      </c>
      <c r="E508" s="8">
        <v>6018</v>
      </c>
      <c r="F508" s="8">
        <v>6335</v>
      </c>
      <c r="G508" s="8">
        <v>6255</v>
      </c>
      <c r="H508" s="8">
        <v>6303</v>
      </c>
      <c r="I508" s="8">
        <v>6066</v>
      </c>
      <c r="J508" s="8">
        <v>5483</v>
      </c>
      <c r="K508" s="8">
        <v>5647</v>
      </c>
      <c r="L508" s="8">
        <v>5308</v>
      </c>
      <c r="M508" s="8">
        <v>5925</v>
      </c>
      <c r="N508" s="8">
        <v>6445</v>
      </c>
      <c r="O508" s="8">
        <v>6646</v>
      </c>
      <c r="P508" s="8">
        <v>6986</v>
      </c>
      <c r="Q508" s="8">
        <v>7231</v>
      </c>
      <c r="R508" s="8">
        <v>7165</v>
      </c>
      <c r="S508" s="8">
        <v>6850</v>
      </c>
      <c r="T508" s="8">
        <v>7849</v>
      </c>
      <c r="U508" s="8">
        <v>7075</v>
      </c>
      <c r="V508" s="8">
        <v>6526</v>
      </c>
      <c r="W508" s="8">
        <v>6993</v>
      </c>
      <c r="X508" s="8">
        <v>7697</v>
      </c>
      <c r="Y508" s="8">
        <v>8605</v>
      </c>
      <c r="Z508" s="8">
        <v>9901</v>
      </c>
      <c r="AA508" s="8">
        <v>10145</v>
      </c>
      <c r="AB508" s="8">
        <v>10633</v>
      </c>
      <c r="AC508" s="8">
        <v>10371</v>
      </c>
      <c r="AD508" s="8">
        <v>9688</v>
      </c>
      <c r="AE508" s="8">
        <v>11502</v>
      </c>
      <c r="AF508" s="8">
        <v>12044</v>
      </c>
      <c r="AG508" s="8">
        <v>12771</v>
      </c>
      <c r="AH508" s="8">
        <v>12393</v>
      </c>
      <c r="AI508" s="8">
        <v>14638</v>
      </c>
      <c r="AJ508" s="8">
        <v>14641</v>
      </c>
      <c r="AK508" s="8">
        <v>16049</v>
      </c>
      <c r="AL508" s="8">
        <v>16246</v>
      </c>
      <c r="AM508" s="8">
        <v>17683</v>
      </c>
      <c r="AN508" s="8">
        <v>18003</v>
      </c>
      <c r="AO508" s="8">
        <v>19094</v>
      </c>
      <c r="AP508" s="8">
        <v>20108</v>
      </c>
      <c r="AQ508" s="8">
        <v>20926</v>
      </c>
      <c r="AR508" s="8">
        <v>20473</v>
      </c>
      <c r="AS508" s="8">
        <v>21036</v>
      </c>
      <c r="AT508" s="8">
        <v>21527</v>
      </c>
      <c r="AU508" s="8">
        <v>22082</v>
      </c>
      <c r="AV508" s="8">
        <v>22716</v>
      </c>
      <c r="AW508" s="8">
        <v>22772</v>
      </c>
      <c r="AX508" s="8">
        <v>22922</v>
      </c>
      <c r="AY508" s="8">
        <v>24375</v>
      </c>
      <c r="AZ508" s="8">
        <v>24393</v>
      </c>
      <c r="BA508" s="8">
        <v>24979</v>
      </c>
      <c r="BB508" s="8">
        <v>24983</v>
      </c>
      <c r="BC508" s="15">
        <v>0</v>
      </c>
      <c r="BD508" s="21">
        <f t="shared" si="138"/>
        <v>5.4399862399785955E-2</v>
      </c>
      <c r="BE508" s="21">
        <f t="shared" si="138"/>
        <v>5.4538792447083907E-2</v>
      </c>
      <c r="BF508" s="21">
        <f t="shared" si="138"/>
        <v>5.6215016962521014E-2</v>
      </c>
      <c r="BG508" s="21">
        <f t="shared" si="138"/>
        <v>5.4440032941207979E-2</v>
      </c>
      <c r="BH508" s="21">
        <f t="shared" si="138"/>
        <v>5.6724945668588607E-2</v>
      </c>
      <c r="BI508" s="21">
        <f t="shared" si="138"/>
        <v>5.5433887827532113E-2</v>
      </c>
      <c r="BJ508" s="23">
        <f t="shared" si="130"/>
        <v>5.5532955479109559E-2</v>
      </c>
    </row>
    <row r="509" spans="1:62" x14ac:dyDescent="0.25">
      <c r="A509" s="12"/>
      <c r="B509" s="2"/>
      <c r="C509" s="2" t="s">
        <v>7</v>
      </c>
      <c r="D509" s="4">
        <v>12</v>
      </c>
      <c r="E509" s="4">
        <v>52</v>
      </c>
      <c r="F509" s="4">
        <v>10</v>
      </c>
      <c r="G509" s="4">
        <v>20</v>
      </c>
      <c r="H509" s="4">
        <v>170</v>
      </c>
      <c r="I509" s="4">
        <v>449</v>
      </c>
      <c r="J509" s="4">
        <v>775</v>
      </c>
      <c r="K509" s="4">
        <v>703</v>
      </c>
      <c r="L509" s="4">
        <v>900</v>
      </c>
      <c r="M509" s="3">
        <v>1075</v>
      </c>
      <c r="N509" s="4">
        <v>600</v>
      </c>
      <c r="O509" s="4">
        <v>910</v>
      </c>
      <c r="P509" s="4">
        <v>760</v>
      </c>
      <c r="Q509" s="4">
        <v>865</v>
      </c>
      <c r="R509" s="4">
        <v>640</v>
      </c>
      <c r="S509" s="4">
        <v>805</v>
      </c>
      <c r="T509" s="4">
        <v>265</v>
      </c>
      <c r="U509" s="4">
        <v>71</v>
      </c>
      <c r="V509" s="4">
        <v>247</v>
      </c>
      <c r="W509" s="4">
        <v>200</v>
      </c>
      <c r="X509" s="4">
        <v>30</v>
      </c>
      <c r="Y509" s="4">
        <v>150</v>
      </c>
      <c r="Z509" s="4">
        <v>30</v>
      </c>
      <c r="AA509" s="4">
        <v>322</v>
      </c>
      <c r="AB509" s="4">
        <v>336</v>
      </c>
      <c r="AC509" s="4">
        <v>482</v>
      </c>
      <c r="AD509" s="4">
        <v>150</v>
      </c>
      <c r="AE509" s="4">
        <v>11</v>
      </c>
      <c r="AF509" s="4">
        <v>2</v>
      </c>
      <c r="AG509" s="4">
        <v>0</v>
      </c>
      <c r="AH509" s="4">
        <v>0</v>
      </c>
      <c r="AI509" s="4">
        <v>0</v>
      </c>
      <c r="AJ509" s="4">
        <v>0</v>
      </c>
      <c r="AK509" s="4">
        <v>0</v>
      </c>
      <c r="AL509" s="4">
        <v>10</v>
      </c>
      <c r="AM509" s="4">
        <v>1</v>
      </c>
      <c r="AN509" s="4">
        <v>1</v>
      </c>
      <c r="AO509" s="4">
        <v>0</v>
      </c>
      <c r="AP509" s="4">
        <v>60</v>
      </c>
      <c r="AQ509" s="4">
        <v>40</v>
      </c>
      <c r="AR509" s="4">
        <v>40</v>
      </c>
      <c r="AS509" s="4">
        <v>40</v>
      </c>
      <c r="AT509" s="4">
        <v>40</v>
      </c>
      <c r="AU509" s="4">
        <v>300</v>
      </c>
      <c r="AV509" s="4">
        <v>320</v>
      </c>
      <c r="AW509" s="4">
        <v>350</v>
      </c>
      <c r="AX509" s="4">
        <v>450</v>
      </c>
      <c r="AY509" s="4">
        <v>300</v>
      </c>
      <c r="AZ509" s="4">
        <v>500</v>
      </c>
      <c r="BA509" s="4">
        <v>400</v>
      </c>
      <c r="BB509" s="4">
        <v>600</v>
      </c>
      <c r="BC509" s="13">
        <v>0</v>
      </c>
      <c r="BD509" s="20">
        <f t="shared" si="138"/>
        <v>1.3207547169811321E-2</v>
      </c>
      <c r="BE509" s="20">
        <f t="shared" si="138"/>
        <v>1.5942747821157798E-2</v>
      </c>
      <c r="BF509" s="20">
        <f t="shared" si="138"/>
        <v>1.0191255902435711E-2</v>
      </c>
      <c r="BG509" s="20">
        <f t="shared" si="138"/>
        <v>1.8416884599801099E-2</v>
      </c>
      <c r="BH509" s="20">
        <f t="shared" si="138"/>
        <v>1.4247551202137132E-2</v>
      </c>
      <c r="BI509" s="20">
        <f t="shared" si="138"/>
        <v>2.0525451559934318E-2</v>
      </c>
      <c r="BJ509" s="23">
        <f t="shared" si="130"/>
        <v>1.7729962453957516E-2</v>
      </c>
    </row>
    <row r="510" spans="1:62" s="5" customFormat="1" x14ac:dyDescent="0.25">
      <c r="A510" s="14"/>
      <c r="B510" s="6"/>
      <c r="C510" s="6" t="s">
        <v>8</v>
      </c>
      <c r="D510" s="7">
        <v>182</v>
      </c>
      <c r="E510" s="7">
        <v>90</v>
      </c>
      <c r="F510" s="7">
        <v>330</v>
      </c>
      <c r="G510" s="7">
        <v>60</v>
      </c>
      <c r="H510" s="7">
        <v>6</v>
      </c>
      <c r="I510" s="7">
        <v>13</v>
      </c>
      <c r="J510" s="7">
        <v>3</v>
      </c>
      <c r="K510" s="7">
        <v>2</v>
      </c>
      <c r="L510" s="7">
        <v>20</v>
      </c>
      <c r="M510" s="7">
        <v>18</v>
      </c>
      <c r="N510" s="7">
        <v>3</v>
      </c>
      <c r="O510" s="7">
        <v>3</v>
      </c>
      <c r="P510" s="7">
        <v>0</v>
      </c>
      <c r="Q510" s="7">
        <v>0</v>
      </c>
      <c r="R510" s="7">
        <v>1</v>
      </c>
      <c r="S510" s="7">
        <v>2</v>
      </c>
      <c r="T510" s="7">
        <v>6</v>
      </c>
      <c r="U510" s="7">
        <v>5</v>
      </c>
      <c r="V510" s="7">
        <v>0</v>
      </c>
      <c r="W510" s="7">
        <v>33</v>
      </c>
      <c r="X510" s="7">
        <v>5</v>
      </c>
      <c r="Y510" s="7">
        <v>15</v>
      </c>
      <c r="Z510" s="7">
        <v>140</v>
      </c>
      <c r="AA510" s="7">
        <v>83</v>
      </c>
      <c r="AB510" s="7">
        <v>60</v>
      </c>
      <c r="AC510" s="7">
        <v>125</v>
      </c>
      <c r="AD510" s="7">
        <v>153</v>
      </c>
      <c r="AE510" s="7">
        <v>97</v>
      </c>
      <c r="AF510" s="8">
        <v>1383</v>
      </c>
      <c r="AG510" s="8">
        <v>1670</v>
      </c>
      <c r="AH510" s="8">
        <v>1048</v>
      </c>
      <c r="AI510" s="8">
        <v>1914</v>
      </c>
      <c r="AJ510" s="8">
        <v>1592</v>
      </c>
      <c r="AK510" s="8">
        <v>2264</v>
      </c>
      <c r="AL510" s="8">
        <v>2314</v>
      </c>
      <c r="AM510" s="8">
        <v>3040</v>
      </c>
      <c r="AN510" s="8">
        <v>3327</v>
      </c>
      <c r="AO510" s="8">
        <v>3776</v>
      </c>
      <c r="AP510" s="8">
        <v>4555</v>
      </c>
      <c r="AQ510" s="8">
        <v>3370</v>
      </c>
      <c r="AR510" s="8">
        <v>3528</v>
      </c>
      <c r="AS510" s="8">
        <v>3245</v>
      </c>
      <c r="AT510" s="8">
        <v>3795</v>
      </c>
      <c r="AU510" s="8">
        <v>4295</v>
      </c>
      <c r="AV510" s="8">
        <v>5174</v>
      </c>
      <c r="AW510" s="8">
        <v>4705</v>
      </c>
      <c r="AX510" s="8">
        <v>4522</v>
      </c>
      <c r="AY510" s="8">
        <v>4649</v>
      </c>
      <c r="AZ510" s="8">
        <v>5950</v>
      </c>
      <c r="BA510" s="8">
        <v>6734</v>
      </c>
      <c r="BB510" s="8">
        <v>6000</v>
      </c>
      <c r="BC510" s="15">
        <v>0</v>
      </c>
      <c r="BD510" s="21">
        <f t="shared" si="138"/>
        <v>0.15850289718366797</v>
      </c>
      <c r="BE510" s="21">
        <f t="shared" si="138"/>
        <v>0.14403567447045709</v>
      </c>
      <c r="BF510" s="21">
        <f t="shared" si="138"/>
        <v>0.14882991324390946</v>
      </c>
      <c r="BG510" s="21">
        <f t="shared" si="138"/>
        <v>0.20579690094078584</v>
      </c>
      <c r="BH510" s="21">
        <f t="shared" si="138"/>
        <v>0.21852993671913029</v>
      </c>
      <c r="BI510" s="21">
        <f t="shared" si="138"/>
        <v>0.19737491364847529</v>
      </c>
      <c r="BJ510" s="23">
        <f t="shared" si="130"/>
        <v>0.20723391710279715</v>
      </c>
    </row>
    <row r="511" spans="1:62" x14ac:dyDescent="0.25">
      <c r="A511" s="12"/>
      <c r="B511" s="2"/>
      <c r="C511" s="2" t="s">
        <v>9</v>
      </c>
      <c r="D511" s="3">
        <v>5789</v>
      </c>
      <c r="E511" s="3">
        <v>5980</v>
      </c>
      <c r="F511" s="3">
        <v>6015</v>
      </c>
      <c r="G511" s="3">
        <v>6215</v>
      </c>
      <c r="H511" s="3">
        <v>6467</v>
      </c>
      <c r="I511" s="3">
        <v>6502</v>
      </c>
      <c r="J511" s="3">
        <v>6255</v>
      </c>
      <c r="K511" s="3">
        <v>6348</v>
      </c>
      <c r="L511" s="3">
        <v>6188</v>
      </c>
      <c r="M511" s="3">
        <v>6982</v>
      </c>
      <c r="N511" s="3">
        <v>7042</v>
      </c>
      <c r="O511" s="3">
        <v>7553</v>
      </c>
      <c r="P511" s="3">
        <v>7746</v>
      </c>
      <c r="Q511" s="3">
        <v>8096</v>
      </c>
      <c r="R511" s="3">
        <v>7804</v>
      </c>
      <c r="S511" s="3">
        <v>7653</v>
      </c>
      <c r="T511" s="3">
        <v>8108</v>
      </c>
      <c r="U511" s="3">
        <v>7141</v>
      </c>
      <c r="V511" s="3">
        <v>6773</v>
      </c>
      <c r="W511" s="3">
        <v>7160</v>
      </c>
      <c r="X511" s="3">
        <v>7722</v>
      </c>
      <c r="Y511" s="3">
        <v>8740</v>
      </c>
      <c r="Z511" s="3">
        <v>9791</v>
      </c>
      <c r="AA511" s="3">
        <v>10384</v>
      </c>
      <c r="AB511" s="3">
        <v>10909</v>
      </c>
      <c r="AC511" s="3">
        <v>10728</v>
      </c>
      <c r="AD511" s="3">
        <v>9685</v>
      </c>
      <c r="AE511" s="3">
        <v>11416</v>
      </c>
      <c r="AF511" s="3">
        <v>10663</v>
      </c>
      <c r="AG511" s="3">
        <v>11101</v>
      </c>
      <c r="AH511" s="3">
        <v>11345</v>
      </c>
      <c r="AI511" s="3">
        <v>12724</v>
      </c>
      <c r="AJ511" s="3">
        <v>13049</v>
      </c>
      <c r="AK511" s="3">
        <v>13785</v>
      </c>
      <c r="AL511" s="3">
        <v>13942</v>
      </c>
      <c r="AM511" s="3">
        <v>14394</v>
      </c>
      <c r="AN511" s="3">
        <v>14477</v>
      </c>
      <c r="AO511" s="3">
        <v>15000</v>
      </c>
      <c r="AP511" s="3">
        <v>15500</v>
      </c>
      <c r="AQ511" s="3">
        <v>17552</v>
      </c>
      <c r="AR511" s="3">
        <v>16932</v>
      </c>
      <c r="AS511" s="3">
        <v>17966</v>
      </c>
      <c r="AT511" s="3">
        <v>17447</v>
      </c>
      <c r="AU511" s="3">
        <v>18230</v>
      </c>
      <c r="AV511" s="3">
        <v>17595</v>
      </c>
      <c r="AW511" s="3">
        <v>18392</v>
      </c>
      <c r="AX511" s="3">
        <v>18775</v>
      </c>
      <c r="AY511" s="3">
        <v>19400</v>
      </c>
      <c r="AZ511" s="3">
        <v>19000</v>
      </c>
      <c r="BA511" s="3">
        <v>19150</v>
      </c>
      <c r="BB511" s="3">
        <v>19300</v>
      </c>
      <c r="BC511" s="13">
        <v>0</v>
      </c>
      <c r="BD511" s="20">
        <f t="shared" si="138"/>
        <v>4.4539913254692649E-2</v>
      </c>
      <c r="BE511" s="20">
        <f t="shared" si="138"/>
        <v>4.4854351768014007E-2</v>
      </c>
      <c r="BF511" s="20">
        <f t="shared" si="138"/>
        <v>4.5510313716198625E-2</v>
      </c>
      <c r="BG511" s="20">
        <f t="shared" si="138"/>
        <v>4.3667118659649284E-2</v>
      </c>
      <c r="BH511" s="20">
        <f t="shared" si="138"/>
        <v>4.3993962603983118E-2</v>
      </c>
      <c r="BI511" s="20">
        <f t="shared" si="138"/>
        <v>4.3251044299826097E-2</v>
      </c>
      <c r="BJ511" s="23">
        <f t="shared" si="130"/>
        <v>4.3637375187819495E-2</v>
      </c>
    </row>
    <row r="512" spans="1:62" s="5" customFormat="1" x14ac:dyDescent="0.25">
      <c r="A512" s="12"/>
      <c r="B512" s="2" t="s">
        <v>14</v>
      </c>
      <c r="C512" s="2" t="s">
        <v>42</v>
      </c>
      <c r="D512" s="4">
        <v>0</v>
      </c>
      <c r="E512" s="4">
        <v>0</v>
      </c>
      <c r="F512" s="4">
        <v>0</v>
      </c>
      <c r="G512" s="4">
        <v>0</v>
      </c>
      <c r="H512" s="4">
        <v>0</v>
      </c>
      <c r="I512" s="4">
        <v>0</v>
      </c>
      <c r="J512" s="4">
        <v>0</v>
      </c>
      <c r="K512" s="4">
        <v>0</v>
      </c>
      <c r="L512" s="4">
        <v>0</v>
      </c>
      <c r="M512" s="4">
        <v>0</v>
      </c>
      <c r="N512" s="4">
        <v>0</v>
      </c>
      <c r="O512" s="4">
        <v>0</v>
      </c>
      <c r="P512" s="4">
        <v>134</v>
      </c>
      <c r="Q512" s="4">
        <v>30</v>
      </c>
      <c r="R512" s="4">
        <v>30</v>
      </c>
      <c r="S512" s="4">
        <v>30</v>
      </c>
      <c r="T512" s="4">
        <v>31</v>
      </c>
      <c r="U512" s="4">
        <v>40</v>
      </c>
      <c r="V512" s="4">
        <v>45</v>
      </c>
      <c r="W512" s="4">
        <v>45</v>
      </c>
      <c r="X512" s="4">
        <v>160</v>
      </c>
      <c r="Y512" s="4">
        <v>160</v>
      </c>
      <c r="Z512" s="4">
        <v>160</v>
      </c>
      <c r="AA512" s="4">
        <v>200</v>
      </c>
      <c r="AB512" s="4">
        <v>225</v>
      </c>
      <c r="AC512" s="4">
        <v>300</v>
      </c>
      <c r="AD512" s="4">
        <v>350</v>
      </c>
      <c r="AE512" s="4">
        <v>350</v>
      </c>
      <c r="AF512" s="4">
        <v>360</v>
      </c>
      <c r="AG512" s="4">
        <v>420</v>
      </c>
      <c r="AH512" s="4">
        <v>450</v>
      </c>
      <c r="AI512" s="4">
        <v>500</v>
      </c>
      <c r="AJ512" s="4">
        <v>485</v>
      </c>
      <c r="AK512" s="4">
        <v>430</v>
      </c>
      <c r="AL512" s="4">
        <v>450</v>
      </c>
      <c r="AM512" s="4">
        <v>603</v>
      </c>
      <c r="AN512" s="4">
        <v>640</v>
      </c>
      <c r="AO512" s="4">
        <v>650</v>
      </c>
      <c r="AP512" s="4">
        <v>740</v>
      </c>
      <c r="AQ512" s="4">
        <v>950</v>
      </c>
      <c r="AR512" s="3">
        <v>1210</v>
      </c>
      <c r="AS512" s="3">
        <v>1070</v>
      </c>
      <c r="AT512" s="3">
        <v>1080</v>
      </c>
      <c r="AU512" s="3">
        <v>1140</v>
      </c>
      <c r="AV512" s="4">
        <v>980</v>
      </c>
      <c r="AW512" s="4">
        <v>930</v>
      </c>
      <c r="AX512" s="3">
        <v>1100</v>
      </c>
      <c r="AY512" s="3">
        <v>1220</v>
      </c>
      <c r="AZ512" s="4">
        <v>910</v>
      </c>
      <c r="BA512" s="4">
        <v>905</v>
      </c>
      <c r="BB512" s="24">
        <v>1130</v>
      </c>
      <c r="BC512" s="21">
        <f t="shared" ref="BC512:BH512" si="139">AW512/AX$83</f>
        <v>0.11629361010378893</v>
      </c>
      <c r="BD512" s="21">
        <f t="shared" si="139"/>
        <v>0.16243354991139988</v>
      </c>
      <c r="BE512" s="21">
        <f t="shared" si="139"/>
        <v>0.19053568639700141</v>
      </c>
      <c r="BF512" s="21">
        <f t="shared" si="139"/>
        <v>0.12770137524557956</v>
      </c>
      <c r="BG512" s="21">
        <f t="shared" si="139"/>
        <v>0.13923076923076924</v>
      </c>
      <c r="BH512" s="21" t="e">
        <f t="shared" si="139"/>
        <v>#DIV/0!</v>
      </c>
      <c r="BI512"/>
      <c r="BJ512" s="23" t="e">
        <f>AVERAGE(BF512,BG512,BH512)</f>
        <v>#DIV/0!</v>
      </c>
    </row>
    <row r="513" spans="1:62" x14ac:dyDescent="0.25">
      <c r="A513" s="12"/>
      <c r="B513" s="6"/>
      <c r="C513" s="6" t="s">
        <v>45</v>
      </c>
      <c r="D513" s="7">
        <v>0</v>
      </c>
      <c r="E513" s="7">
        <v>0</v>
      </c>
      <c r="F513" s="7">
        <v>0</v>
      </c>
      <c r="G513" s="7">
        <v>0</v>
      </c>
      <c r="H513" s="7">
        <v>0</v>
      </c>
      <c r="I513" s="7">
        <v>0</v>
      </c>
      <c r="J513" s="7">
        <v>0</v>
      </c>
      <c r="K513" s="7">
        <v>0</v>
      </c>
      <c r="L513" s="7">
        <v>0</v>
      </c>
      <c r="M513" s="7">
        <v>0</v>
      </c>
      <c r="N513" s="7">
        <v>0</v>
      </c>
      <c r="O513" s="7">
        <v>0</v>
      </c>
      <c r="P513" s="7">
        <v>0</v>
      </c>
      <c r="Q513" s="7">
        <v>197</v>
      </c>
      <c r="R513" s="7">
        <v>125</v>
      </c>
      <c r="S513" s="7">
        <v>219</v>
      </c>
      <c r="T513" s="7">
        <v>168</v>
      </c>
      <c r="U513" s="7">
        <v>247</v>
      </c>
      <c r="V513" s="7">
        <v>205</v>
      </c>
      <c r="W513" s="7">
        <v>145</v>
      </c>
      <c r="X513" s="7">
        <v>30</v>
      </c>
      <c r="Y513" s="7">
        <v>30</v>
      </c>
      <c r="Z513" s="7">
        <v>40</v>
      </c>
      <c r="AA513" s="7">
        <v>25</v>
      </c>
      <c r="AB513" s="7">
        <v>14</v>
      </c>
      <c r="AC513" s="7">
        <v>0</v>
      </c>
      <c r="AD513" s="7">
        <v>0</v>
      </c>
      <c r="AE513" s="7">
        <v>75</v>
      </c>
      <c r="AF513" s="7">
        <v>75</v>
      </c>
      <c r="AG513" s="7">
        <v>50</v>
      </c>
      <c r="AH513" s="7">
        <v>50</v>
      </c>
      <c r="AI513" s="7">
        <v>35</v>
      </c>
      <c r="AJ513" s="7">
        <v>65</v>
      </c>
      <c r="AK513" s="7">
        <v>160</v>
      </c>
      <c r="AL513" s="7">
        <v>40</v>
      </c>
      <c r="AM513" s="7">
        <v>40</v>
      </c>
      <c r="AN513" s="7">
        <v>55</v>
      </c>
      <c r="AO513" s="7">
        <v>105</v>
      </c>
      <c r="AP513" s="7">
        <v>95</v>
      </c>
      <c r="AQ513" s="7">
        <v>50</v>
      </c>
      <c r="AR513" s="7">
        <v>70</v>
      </c>
      <c r="AS513" s="7">
        <v>50</v>
      </c>
      <c r="AT513" s="7">
        <v>85</v>
      </c>
      <c r="AU513" s="7">
        <v>80</v>
      </c>
      <c r="AV513" s="7">
        <v>300</v>
      </c>
      <c r="AW513" s="7">
        <v>585</v>
      </c>
      <c r="AX513" s="7">
        <v>350</v>
      </c>
      <c r="AY513" s="7">
        <v>308</v>
      </c>
      <c r="AZ513" s="7">
        <v>505</v>
      </c>
      <c r="BA513" s="7">
        <v>579</v>
      </c>
      <c r="BB513" s="15">
        <v>336</v>
      </c>
      <c r="BC513" s="21">
        <f t="shared" ref="BC513:BH513" si="140">AW513/AX$63</f>
        <v>1.1359223300970873</v>
      </c>
      <c r="BD513" s="21">
        <f t="shared" si="140"/>
        <v>2.1341463414634148</v>
      </c>
      <c r="BE513" s="21">
        <f t="shared" si="140"/>
        <v>6.16</v>
      </c>
      <c r="BF513" s="21">
        <f t="shared" si="140"/>
        <v>3.3443708609271523</v>
      </c>
      <c r="BG513" s="21">
        <f t="shared" si="140"/>
        <v>0.89076923076923076</v>
      </c>
      <c r="BH513" s="21" t="e">
        <f t="shared" si="140"/>
        <v>#DIV/0!</v>
      </c>
      <c r="BJ513" s="23" t="e">
        <f>AVERAGE(BF513,BG513,BH513)</f>
        <v>#DIV/0!</v>
      </c>
    </row>
    <row r="514" spans="1:62" s="5" customFormat="1" x14ac:dyDescent="0.25">
      <c r="A514" s="12"/>
      <c r="B514" s="2"/>
      <c r="C514" s="2" t="s">
        <v>44</v>
      </c>
      <c r="D514" s="4">
        <v>0</v>
      </c>
      <c r="E514" s="4">
        <v>0</v>
      </c>
      <c r="F514" s="4">
        <v>0</v>
      </c>
      <c r="G514" s="4">
        <v>0</v>
      </c>
      <c r="H514" s="4">
        <v>0</v>
      </c>
      <c r="I514" s="4">
        <v>0</v>
      </c>
      <c r="J514" s="4">
        <v>0</v>
      </c>
      <c r="K514" s="4">
        <v>0</v>
      </c>
      <c r="L514" s="4">
        <v>0</v>
      </c>
      <c r="M514" s="4">
        <v>0</v>
      </c>
      <c r="N514" s="4">
        <v>0</v>
      </c>
      <c r="O514" s="4">
        <v>0</v>
      </c>
      <c r="P514" s="4">
        <v>0</v>
      </c>
      <c r="Q514" s="4">
        <v>12</v>
      </c>
      <c r="R514" s="4">
        <v>9</v>
      </c>
      <c r="S514" s="4">
        <v>4</v>
      </c>
      <c r="T514" s="4">
        <v>3</v>
      </c>
      <c r="U514" s="4">
        <v>8</v>
      </c>
      <c r="V514" s="4">
        <v>5</v>
      </c>
      <c r="W514" s="4">
        <v>5</v>
      </c>
      <c r="X514" s="4">
        <v>5</v>
      </c>
      <c r="Y514" s="4">
        <v>0</v>
      </c>
      <c r="Z514" s="4">
        <v>10</v>
      </c>
      <c r="AA514" s="4">
        <v>10</v>
      </c>
      <c r="AB514" s="4">
        <v>15</v>
      </c>
      <c r="AC514" s="4">
        <v>10</v>
      </c>
      <c r="AD514" s="4">
        <v>25</v>
      </c>
      <c r="AE514" s="4">
        <v>0</v>
      </c>
      <c r="AF514" s="4">
        <v>6</v>
      </c>
      <c r="AG514" s="4">
        <v>0</v>
      </c>
      <c r="AH514" s="4">
        <v>0</v>
      </c>
      <c r="AI514" s="4">
        <v>0</v>
      </c>
      <c r="AJ514" s="4">
        <v>0</v>
      </c>
      <c r="AK514" s="4">
        <v>0</v>
      </c>
      <c r="AL514" s="4">
        <v>0</v>
      </c>
      <c r="AM514" s="4">
        <v>0</v>
      </c>
      <c r="AN514" s="4">
        <v>10</v>
      </c>
      <c r="AO514" s="4">
        <v>10</v>
      </c>
      <c r="AP514" s="4">
        <v>17</v>
      </c>
      <c r="AQ514" s="4">
        <v>55</v>
      </c>
      <c r="AR514" s="4">
        <v>100</v>
      </c>
      <c r="AS514" s="4">
        <v>70</v>
      </c>
      <c r="AT514" s="4">
        <v>55</v>
      </c>
      <c r="AU514" s="4">
        <v>55</v>
      </c>
      <c r="AV514" s="4">
        <v>15</v>
      </c>
      <c r="AW514" s="4">
        <v>5</v>
      </c>
      <c r="AX514" s="4">
        <v>20</v>
      </c>
      <c r="AY514" s="4">
        <v>20</v>
      </c>
      <c r="AZ514" s="4">
        <v>15</v>
      </c>
      <c r="BA514" s="4">
        <v>0</v>
      </c>
      <c r="BB514" s="13">
        <v>0</v>
      </c>
      <c r="BC514" s="21">
        <f t="shared" ref="BC514:BH514" si="141">AW514/AX$42</f>
        <v>4.2735042735042736E-2</v>
      </c>
      <c r="BD514" s="21">
        <f t="shared" si="141"/>
        <v>1.5384615384615385</v>
      </c>
      <c r="BE514" s="21">
        <f t="shared" si="141"/>
        <v>0.45454545454545453</v>
      </c>
      <c r="BF514" s="21">
        <f t="shared" si="141"/>
        <v>0.10563380281690141</v>
      </c>
      <c r="BG514" s="21">
        <f t="shared" si="141"/>
        <v>0</v>
      </c>
      <c r="BH514" s="21" t="e">
        <f t="shared" si="141"/>
        <v>#DIV/0!</v>
      </c>
      <c r="BJ514" s="23" t="e">
        <f>AVERAGE(BF514,BG514,BH514)</f>
        <v>#DIV/0!</v>
      </c>
    </row>
    <row r="515" spans="1:62" ht="30" x14ac:dyDescent="0.25">
      <c r="A515" s="12"/>
      <c r="B515" s="6"/>
      <c r="C515" s="6" t="s">
        <v>43</v>
      </c>
      <c r="D515" s="7">
        <v>0</v>
      </c>
      <c r="E515" s="7">
        <v>0</v>
      </c>
      <c r="F515" s="7">
        <v>0</v>
      </c>
      <c r="G515" s="7">
        <v>0</v>
      </c>
      <c r="H515" s="7">
        <v>0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0</v>
      </c>
      <c r="O515" s="7">
        <v>0</v>
      </c>
      <c r="P515" s="7">
        <v>0</v>
      </c>
      <c r="Q515" s="7">
        <v>225</v>
      </c>
      <c r="R515" s="7">
        <v>230</v>
      </c>
      <c r="S515" s="7">
        <v>235</v>
      </c>
      <c r="T515" s="7">
        <v>240</v>
      </c>
      <c r="U515" s="7">
        <v>250</v>
      </c>
      <c r="V515" s="7">
        <v>210</v>
      </c>
      <c r="W515" s="7">
        <v>210</v>
      </c>
      <c r="X515" s="7">
        <v>200</v>
      </c>
      <c r="Y515" s="7">
        <v>200</v>
      </c>
      <c r="Z515" s="7">
        <v>200</v>
      </c>
      <c r="AA515" s="7">
        <v>205</v>
      </c>
      <c r="AB515" s="7">
        <v>210</v>
      </c>
      <c r="AC515" s="7">
        <v>291</v>
      </c>
      <c r="AD515" s="7">
        <v>325</v>
      </c>
      <c r="AE515" s="7">
        <v>425</v>
      </c>
      <c r="AF515" s="7">
        <v>435</v>
      </c>
      <c r="AG515" s="7">
        <v>470</v>
      </c>
      <c r="AH515" s="7">
        <v>480</v>
      </c>
      <c r="AI515" s="7">
        <v>500</v>
      </c>
      <c r="AJ515" s="7">
        <v>525</v>
      </c>
      <c r="AK515" s="7">
        <v>550</v>
      </c>
      <c r="AL515" s="7">
        <v>620</v>
      </c>
      <c r="AM515" s="7">
        <v>660</v>
      </c>
      <c r="AN515" s="7">
        <v>640</v>
      </c>
      <c r="AO515" s="7">
        <v>750</v>
      </c>
      <c r="AP515" s="7">
        <v>800</v>
      </c>
      <c r="AQ515" s="7">
        <v>950</v>
      </c>
      <c r="AR515" s="8">
        <v>1100</v>
      </c>
      <c r="AS515" s="8">
        <v>1110</v>
      </c>
      <c r="AT515" s="8">
        <v>1150</v>
      </c>
      <c r="AU515" s="8">
        <v>1170</v>
      </c>
      <c r="AV515" s="8">
        <v>1225</v>
      </c>
      <c r="AW515" s="8">
        <v>1435</v>
      </c>
      <c r="AX515" s="8">
        <v>1435</v>
      </c>
      <c r="AY515" s="8">
        <v>1450</v>
      </c>
      <c r="AZ515" s="8">
        <v>1470</v>
      </c>
      <c r="BA515" s="8">
        <v>1470</v>
      </c>
      <c r="BB515" s="25">
        <v>1470</v>
      </c>
      <c r="BC515" s="20">
        <f t="shared" ref="BC515:BH515" si="142">AW515/AW$25</f>
        <v>0.85671641791044773</v>
      </c>
      <c r="BD515" s="20">
        <f t="shared" si="142"/>
        <v>0.83918128654970758</v>
      </c>
      <c r="BE515" s="20">
        <f t="shared" si="142"/>
        <v>0.80779944289693595</v>
      </c>
      <c r="BF515" s="20">
        <f t="shared" si="142"/>
        <v>0.8497109826589595</v>
      </c>
      <c r="BG515" s="20">
        <f t="shared" si="142"/>
        <v>0.8497109826589595</v>
      </c>
      <c r="BH515" s="20">
        <f t="shared" si="142"/>
        <v>0.83522727272727271</v>
      </c>
      <c r="BI515" s="5"/>
      <c r="BJ515" s="23">
        <f>AVERAGE(BF515,BG515,BH515)</f>
        <v>0.84488307934839713</v>
      </c>
    </row>
    <row r="516" spans="1:62" x14ac:dyDescent="0.25">
      <c r="A516" s="12"/>
      <c r="B516" s="2" t="s">
        <v>15</v>
      </c>
      <c r="C516" s="2" t="s">
        <v>7</v>
      </c>
      <c r="D516" s="4">
        <v>0</v>
      </c>
      <c r="E516" s="4">
        <v>0</v>
      </c>
      <c r="F516" s="4">
        <v>0</v>
      </c>
      <c r="G516" s="4">
        <v>108</v>
      </c>
      <c r="H516" s="4">
        <v>90</v>
      </c>
      <c r="I516" s="4">
        <v>83</v>
      </c>
      <c r="J516" s="4">
        <v>152</v>
      </c>
      <c r="K516" s="4">
        <v>211</v>
      </c>
      <c r="L516" s="4">
        <v>733</v>
      </c>
      <c r="M516" s="3">
        <v>1024</v>
      </c>
      <c r="N516" s="4">
        <v>705</v>
      </c>
      <c r="O516" s="4">
        <v>607</v>
      </c>
      <c r="P516" s="4">
        <v>629</v>
      </c>
      <c r="Q516" s="4">
        <v>549</v>
      </c>
      <c r="R516" s="4">
        <v>621</v>
      </c>
      <c r="S516" s="4">
        <v>550</v>
      </c>
      <c r="T516" s="4">
        <v>550</v>
      </c>
      <c r="U516" s="3">
        <v>1536</v>
      </c>
      <c r="V516" s="4">
        <v>289</v>
      </c>
      <c r="W516" s="4">
        <v>837</v>
      </c>
      <c r="X516" s="4">
        <v>618</v>
      </c>
      <c r="Y516" s="4">
        <v>332</v>
      </c>
      <c r="Z516" s="4">
        <v>149</v>
      </c>
      <c r="AA516" s="4">
        <v>70</v>
      </c>
      <c r="AB516" s="4">
        <v>56</v>
      </c>
      <c r="AC516" s="4">
        <v>25</v>
      </c>
      <c r="AD516" s="4">
        <v>188</v>
      </c>
      <c r="AE516" s="4">
        <v>231</v>
      </c>
      <c r="AF516" s="4">
        <v>275</v>
      </c>
      <c r="AG516" s="4">
        <v>280</v>
      </c>
      <c r="AH516" s="4">
        <v>256</v>
      </c>
      <c r="AI516" s="4">
        <v>370</v>
      </c>
      <c r="AJ516" s="4">
        <v>389</v>
      </c>
      <c r="AK516" s="4">
        <v>444</v>
      </c>
      <c r="AL516" s="4">
        <v>581</v>
      </c>
      <c r="AM516" s="4">
        <v>478</v>
      </c>
      <c r="AN516" s="4">
        <v>507</v>
      </c>
      <c r="AO516" s="4">
        <v>618</v>
      </c>
      <c r="AP516" s="4">
        <v>604</v>
      </c>
      <c r="AQ516" s="4">
        <v>550</v>
      </c>
      <c r="AR516" s="4">
        <v>650</v>
      </c>
      <c r="AS516" s="4">
        <v>916</v>
      </c>
      <c r="AT516" s="4">
        <v>875</v>
      </c>
      <c r="AU516" s="4">
        <v>830</v>
      </c>
      <c r="AV516" s="3">
        <v>1226</v>
      </c>
      <c r="AW516" s="3">
        <v>1238</v>
      </c>
      <c r="AX516" s="3">
        <v>1228</v>
      </c>
      <c r="AY516" s="3">
        <v>1144</v>
      </c>
      <c r="AZ516" s="4">
        <v>925</v>
      </c>
      <c r="BA516" s="3">
        <v>1925</v>
      </c>
      <c r="BB516" s="3">
        <v>1800</v>
      </c>
      <c r="BC516" s="13">
        <v>0</v>
      </c>
      <c r="BD516" s="20">
        <f t="shared" ref="BD516:BI518" si="143">AW516/AW572</f>
        <v>1.1095476666338044E-2</v>
      </c>
      <c r="BE516" s="20">
        <f t="shared" si="143"/>
        <v>1.0771173952705073E-2</v>
      </c>
      <c r="BF516" s="20">
        <f t="shared" si="143"/>
        <v>1.0052282412899257E-2</v>
      </c>
      <c r="BG516" s="20">
        <f t="shared" si="143"/>
        <v>6.755128420468404E-3</v>
      </c>
      <c r="BH516" s="20">
        <f t="shared" si="143"/>
        <v>1.4424337791765015E-2</v>
      </c>
      <c r="BI516" s="20">
        <f t="shared" si="143"/>
        <v>1.4673035851117596E-2</v>
      </c>
      <c r="BJ516" s="23">
        <f t="shared" si="130"/>
        <v>1.1950834021117004E-2</v>
      </c>
    </row>
    <row r="517" spans="1:62" s="5" customFormat="1" x14ac:dyDescent="0.25">
      <c r="A517" s="14"/>
      <c r="B517" s="6"/>
      <c r="C517" s="6" t="s">
        <v>8</v>
      </c>
      <c r="D517" s="7">
        <v>0</v>
      </c>
      <c r="E517" s="7">
        <v>0</v>
      </c>
      <c r="F517" s="7">
        <v>0</v>
      </c>
      <c r="G517" s="7">
        <v>0</v>
      </c>
      <c r="H517" s="7">
        <v>0</v>
      </c>
      <c r="I517" s="7">
        <v>0</v>
      </c>
      <c r="J517" s="7">
        <v>0</v>
      </c>
      <c r="K517" s="7">
        <v>0</v>
      </c>
      <c r="L517" s="7">
        <v>0</v>
      </c>
      <c r="M517" s="7">
        <v>0</v>
      </c>
      <c r="N517" s="7">
        <v>0</v>
      </c>
      <c r="O517" s="7">
        <v>0</v>
      </c>
      <c r="P517" s="7">
        <v>0</v>
      </c>
      <c r="Q517" s="7">
        <v>0</v>
      </c>
      <c r="R517" s="7">
        <v>0</v>
      </c>
      <c r="S517" s="7">
        <v>0</v>
      </c>
      <c r="T517" s="7">
        <v>0</v>
      </c>
      <c r="U517" s="7">
        <v>0</v>
      </c>
      <c r="V517" s="7">
        <v>0</v>
      </c>
      <c r="W517" s="7">
        <v>0</v>
      </c>
      <c r="X517" s="7">
        <v>0</v>
      </c>
      <c r="Y517" s="7">
        <v>0</v>
      </c>
      <c r="Z517" s="7">
        <v>0</v>
      </c>
      <c r="AA517" s="7">
        <v>0</v>
      </c>
      <c r="AB517" s="7">
        <v>0</v>
      </c>
      <c r="AC517" s="7">
        <v>0</v>
      </c>
      <c r="AD517" s="7">
        <v>0</v>
      </c>
      <c r="AE517" s="7">
        <v>0</v>
      </c>
      <c r="AF517" s="7">
        <v>0</v>
      </c>
      <c r="AG517" s="7">
        <v>0</v>
      </c>
      <c r="AH517" s="7">
        <v>0</v>
      </c>
      <c r="AI517" s="7">
        <v>0</v>
      </c>
      <c r="AJ517" s="7">
        <v>0</v>
      </c>
      <c r="AK517" s="7">
        <v>0</v>
      </c>
      <c r="AL517" s="7">
        <v>0</v>
      </c>
      <c r="AM517" s="7">
        <v>2</v>
      </c>
      <c r="AN517" s="7">
        <v>0</v>
      </c>
      <c r="AO517" s="7">
        <v>0</v>
      </c>
      <c r="AP517" s="7">
        <v>0</v>
      </c>
      <c r="AQ517" s="7">
        <v>0</v>
      </c>
      <c r="AR517" s="7">
        <v>0</v>
      </c>
      <c r="AS517" s="7">
        <v>0</v>
      </c>
      <c r="AT517" s="7">
        <v>0</v>
      </c>
      <c r="AU517" s="7">
        <v>0</v>
      </c>
      <c r="AV517" s="7">
        <v>0</v>
      </c>
      <c r="AW517" s="7">
        <v>0</v>
      </c>
      <c r="AX517" s="7">
        <v>0</v>
      </c>
      <c r="AY517" s="7">
        <v>0</v>
      </c>
      <c r="AZ517" s="7">
        <v>0</v>
      </c>
      <c r="BA517" s="7">
        <v>0</v>
      </c>
      <c r="BB517" s="7">
        <v>0</v>
      </c>
      <c r="BC517" s="15">
        <v>0</v>
      </c>
      <c r="BD517" s="21">
        <f t="shared" si="143"/>
        <v>0</v>
      </c>
      <c r="BE517" s="21">
        <f t="shared" si="143"/>
        <v>0</v>
      </c>
      <c r="BF517" s="21">
        <f t="shared" si="143"/>
        <v>0</v>
      </c>
      <c r="BG517" s="21">
        <f t="shared" si="143"/>
        <v>0</v>
      </c>
      <c r="BH517" s="21">
        <f t="shared" si="143"/>
        <v>0</v>
      </c>
      <c r="BI517" s="21">
        <f t="shared" si="143"/>
        <v>0</v>
      </c>
      <c r="BJ517" s="23">
        <f t="shared" si="130"/>
        <v>0</v>
      </c>
    </row>
    <row r="518" spans="1:62" x14ac:dyDescent="0.25">
      <c r="A518" s="12"/>
      <c r="B518" s="2"/>
      <c r="C518" s="2" t="s">
        <v>9</v>
      </c>
      <c r="D518" s="4">
        <v>0</v>
      </c>
      <c r="E518" s="4">
        <v>0</v>
      </c>
      <c r="F518" s="4">
        <v>0</v>
      </c>
      <c r="G518" s="4">
        <v>108</v>
      </c>
      <c r="H518" s="4">
        <v>90</v>
      </c>
      <c r="I518" s="4">
        <v>83</v>
      </c>
      <c r="J518" s="4">
        <v>152</v>
      </c>
      <c r="K518" s="4">
        <v>211</v>
      </c>
      <c r="L518" s="4">
        <v>733</v>
      </c>
      <c r="M518" s="3">
        <v>1024</v>
      </c>
      <c r="N518" s="4">
        <v>705</v>
      </c>
      <c r="O518" s="4">
        <v>607</v>
      </c>
      <c r="P518" s="4">
        <v>629</v>
      </c>
      <c r="Q518" s="4">
        <v>549</v>
      </c>
      <c r="R518" s="4">
        <v>621</v>
      </c>
      <c r="S518" s="4">
        <v>550</v>
      </c>
      <c r="T518" s="4">
        <v>550</v>
      </c>
      <c r="U518" s="3">
        <v>1536</v>
      </c>
      <c r="V518" s="4">
        <v>289</v>
      </c>
      <c r="W518" s="4">
        <v>837</v>
      </c>
      <c r="X518" s="4">
        <v>618</v>
      </c>
      <c r="Y518" s="4">
        <v>332</v>
      </c>
      <c r="Z518" s="4">
        <v>149</v>
      </c>
      <c r="AA518" s="4">
        <v>70</v>
      </c>
      <c r="AB518" s="4">
        <v>56</v>
      </c>
      <c r="AC518" s="4">
        <v>25</v>
      </c>
      <c r="AD518" s="4">
        <v>188</v>
      </c>
      <c r="AE518" s="4">
        <v>231</v>
      </c>
      <c r="AF518" s="4">
        <v>275</v>
      </c>
      <c r="AG518" s="4">
        <v>280</v>
      </c>
      <c r="AH518" s="4">
        <v>256</v>
      </c>
      <c r="AI518" s="4">
        <v>370</v>
      </c>
      <c r="AJ518" s="4">
        <v>389</v>
      </c>
      <c r="AK518" s="4">
        <v>444</v>
      </c>
      <c r="AL518" s="4">
        <v>581</v>
      </c>
      <c r="AM518" s="4">
        <v>476</v>
      </c>
      <c r="AN518" s="4">
        <v>507</v>
      </c>
      <c r="AO518" s="4">
        <v>618</v>
      </c>
      <c r="AP518" s="4">
        <v>604</v>
      </c>
      <c r="AQ518" s="4">
        <v>550</v>
      </c>
      <c r="AR518" s="4">
        <v>650</v>
      </c>
      <c r="AS518" s="4">
        <v>825</v>
      </c>
      <c r="AT518" s="4">
        <v>875</v>
      </c>
      <c r="AU518" s="4">
        <v>825</v>
      </c>
      <c r="AV518" s="3">
        <v>1175</v>
      </c>
      <c r="AW518" s="3">
        <v>1225</v>
      </c>
      <c r="AX518" s="3">
        <v>1300</v>
      </c>
      <c r="AY518" s="3">
        <v>1100</v>
      </c>
      <c r="AZ518" s="3">
        <v>1000</v>
      </c>
      <c r="BA518" s="3">
        <v>1700</v>
      </c>
      <c r="BB518" s="3">
        <v>1800</v>
      </c>
      <c r="BC518" s="13">
        <v>0</v>
      </c>
      <c r="BD518" s="20">
        <f t="shared" si="143"/>
        <v>1.9864016617668757E-3</v>
      </c>
      <c r="BE518" s="20">
        <f t="shared" si="143"/>
        <v>2.1025664249254396E-3</v>
      </c>
      <c r="BF518" s="20">
        <f t="shared" si="143"/>
        <v>1.7936342290633968E-3</v>
      </c>
      <c r="BG518" s="20">
        <f t="shared" si="143"/>
        <v>1.5754109853408009E-3</v>
      </c>
      <c r="BH518" s="20">
        <f t="shared" si="143"/>
        <v>2.6145439389488609E-3</v>
      </c>
      <c r="BI518" s="20">
        <f t="shared" si="143"/>
        <v>2.7240781265606699E-3</v>
      </c>
      <c r="BJ518" s="23">
        <f t="shared" si="130"/>
        <v>2.3046776836167775E-3</v>
      </c>
    </row>
    <row r="519" spans="1:62" s="5" customFormat="1" x14ac:dyDescent="0.25">
      <c r="A519" s="12" t="s">
        <v>49</v>
      </c>
      <c r="B519" s="2" t="s">
        <v>5</v>
      </c>
      <c r="C519" s="2" t="s">
        <v>6</v>
      </c>
      <c r="D519" s="3">
        <v>1593</v>
      </c>
      <c r="E519" s="3">
        <v>1634</v>
      </c>
      <c r="F519" s="3">
        <v>1612</v>
      </c>
      <c r="G519" s="3">
        <v>1704</v>
      </c>
      <c r="H519" s="3">
        <v>1813</v>
      </c>
      <c r="I519" s="3">
        <v>1801</v>
      </c>
      <c r="J519" s="3">
        <v>1905</v>
      </c>
      <c r="K519" s="3">
        <v>1923</v>
      </c>
      <c r="L519" s="3">
        <v>1811</v>
      </c>
      <c r="M519" s="3">
        <v>2365</v>
      </c>
      <c r="N519" s="3">
        <v>2331</v>
      </c>
      <c r="O519" s="3">
        <v>1889</v>
      </c>
      <c r="P519" s="3">
        <v>2054</v>
      </c>
      <c r="Q519" s="3">
        <v>2278</v>
      </c>
      <c r="R519" s="3">
        <v>2435</v>
      </c>
      <c r="S519" s="3">
        <v>2589</v>
      </c>
      <c r="T519" s="3">
        <v>2523</v>
      </c>
      <c r="U519" s="3">
        <v>2700</v>
      </c>
      <c r="V519" s="3">
        <v>2931</v>
      </c>
      <c r="W519" s="3">
        <v>3121</v>
      </c>
      <c r="X519" s="3">
        <v>3166</v>
      </c>
      <c r="Y519" s="3">
        <v>3357</v>
      </c>
      <c r="Z519" s="3">
        <v>3370</v>
      </c>
      <c r="AA519" s="3">
        <v>3010</v>
      </c>
      <c r="AB519" s="3">
        <v>3791</v>
      </c>
      <c r="AC519" s="3">
        <v>4100</v>
      </c>
      <c r="AD519" s="3">
        <v>4016</v>
      </c>
      <c r="AE519" s="3">
        <v>3853</v>
      </c>
      <c r="AF519" s="3">
        <v>4819</v>
      </c>
      <c r="AG519" s="3">
        <v>4534</v>
      </c>
      <c r="AH519" s="3">
        <v>8059</v>
      </c>
      <c r="AI519" s="3">
        <v>8697</v>
      </c>
      <c r="AJ519" s="3">
        <v>8613</v>
      </c>
      <c r="AK519" s="3">
        <v>9544</v>
      </c>
      <c r="AL519" s="3">
        <v>9611</v>
      </c>
      <c r="AM519" s="3">
        <v>9706</v>
      </c>
      <c r="AN519" s="3">
        <v>8313</v>
      </c>
      <c r="AO519" s="3">
        <v>8528</v>
      </c>
      <c r="AP519" s="3">
        <v>8640</v>
      </c>
      <c r="AQ519" s="3">
        <v>9302</v>
      </c>
      <c r="AR519" s="3">
        <v>7709</v>
      </c>
      <c r="AS519" s="3">
        <v>8811</v>
      </c>
      <c r="AT519" s="3">
        <v>9567</v>
      </c>
      <c r="AU519" s="3">
        <v>10183</v>
      </c>
      <c r="AV519" s="3">
        <v>11154</v>
      </c>
      <c r="AW519" s="3">
        <v>12753</v>
      </c>
      <c r="AX519" s="3">
        <v>12918</v>
      </c>
      <c r="AY519" s="3">
        <v>11176</v>
      </c>
      <c r="AZ519" s="3">
        <v>14457</v>
      </c>
      <c r="BA519" s="3">
        <v>15423</v>
      </c>
      <c r="BB519" s="3">
        <v>15494</v>
      </c>
      <c r="BC519" s="15">
        <v>0</v>
      </c>
    </row>
    <row r="520" spans="1:62" x14ac:dyDescent="0.25">
      <c r="A520" s="14"/>
      <c r="B520" s="6"/>
      <c r="C520" s="6" t="s">
        <v>7</v>
      </c>
      <c r="D520" s="7">
        <v>14</v>
      </c>
      <c r="E520" s="7">
        <v>13</v>
      </c>
      <c r="F520" s="7">
        <v>21</v>
      </c>
      <c r="G520" s="7">
        <v>19</v>
      </c>
      <c r="H520" s="7">
        <v>17</v>
      </c>
      <c r="I520" s="7">
        <v>14</v>
      </c>
      <c r="J520" s="7">
        <v>35</v>
      </c>
      <c r="K520" s="7">
        <v>19</v>
      </c>
      <c r="L520" s="7">
        <v>42</v>
      </c>
      <c r="M520" s="7">
        <v>28</v>
      </c>
      <c r="N520" s="7">
        <v>41</v>
      </c>
      <c r="O520" s="7">
        <v>43</v>
      </c>
      <c r="P520" s="7">
        <v>49</v>
      </c>
      <c r="Q520" s="7">
        <v>155</v>
      </c>
      <c r="R520" s="7">
        <v>39</v>
      </c>
      <c r="S520" s="7">
        <v>21</v>
      </c>
      <c r="T520" s="7">
        <v>60</v>
      </c>
      <c r="U520" s="7">
        <v>189</v>
      </c>
      <c r="V520" s="7">
        <v>111</v>
      </c>
      <c r="W520" s="7">
        <v>231</v>
      </c>
      <c r="X520" s="7">
        <v>408</v>
      </c>
      <c r="Y520" s="7">
        <v>480</v>
      </c>
      <c r="Z520" s="7">
        <v>441</v>
      </c>
      <c r="AA520" s="7">
        <v>391</v>
      </c>
      <c r="AB520" s="7">
        <v>405</v>
      </c>
      <c r="AC520" s="7">
        <v>159</v>
      </c>
      <c r="AD520" s="7">
        <v>50</v>
      </c>
      <c r="AE520" s="7">
        <v>172</v>
      </c>
      <c r="AF520" s="7">
        <v>24</v>
      </c>
      <c r="AG520" s="7">
        <v>39</v>
      </c>
      <c r="AH520" s="7">
        <v>52</v>
      </c>
      <c r="AI520" s="7">
        <v>56</v>
      </c>
      <c r="AJ520" s="7">
        <v>70</v>
      </c>
      <c r="AK520" s="7">
        <v>15</v>
      </c>
      <c r="AL520" s="7">
        <v>38</v>
      </c>
      <c r="AM520" s="7">
        <v>26</v>
      </c>
      <c r="AN520" s="7">
        <v>110</v>
      </c>
      <c r="AO520" s="7">
        <v>105</v>
      </c>
      <c r="AP520" s="7">
        <v>27</v>
      </c>
      <c r="AQ520" s="7">
        <v>40</v>
      </c>
      <c r="AR520" s="7">
        <v>171</v>
      </c>
      <c r="AS520" s="7">
        <v>149</v>
      </c>
      <c r="AT520" s="7">
        <v>110</v>
      </c>
      <c r="AU520" s="7">
        <v>71</v>
      </c>
      <c r="AV520" s="7">
        <v>579</v>
      </c>
      <c r="AW520" s="7">
        <v>245</v>
      </c>
      <c r="AX520" s="7">
        <v>60</v>
      </c>
      <c r="AY520" s="7">
        <v>181</v>
      </c>
      <c r="AZ520" s="7">
        <v>279</v>
      </c>
      <c r="BA520" s="7">
        <v>225</v>
      </c>
      <c r="BB520" s="7">
        <v>225</v>
      </c>
      <c r="BC520" s="13">
        <v>0</v>
      </c>
    </row>
    <row r="521" spans="1:62" s="5" customFormat="1" x14ac:dyDescent="0.25">
      <c r="A521" s="12"/>
      <c r="B521" s="2"/>
      <c r="C521" s="2" t="s">
        <v>8</v>
      </c>
      <c r="D521" s="3">
        <v>0</v>
      </c>
      <c r="E521" s="3">
        <v>0</v>
      </c>
      <c r="F521" s="3">
        <v>0</v>
      </c>
      <c r="G521" s="3">
        <v>0</v>
      </c>
      <c r="H521" s="3">
        <v>0</v>
      </c>
      <c r="I521" s="3">
        <v>0</v>
      </c>
      <c r="J521" s="3">
        <v>0</v>
      </c>
      <c r="K521" s="3">
        <v>0</v>
      </c>
      <c r="L521" s="3">
        <v>1</v>
      </c>
      <c r="M521" s="3">
        <v>0</v>
      </c>
      <c r="N521" s="3">
        <v>0</v>
      </c>
      <c r="O521" s="3">
        <v>2</v>
      </c>
      <c r="P521" s="3">
        <v>2</v>
      </c>
      <c r="Q521" s="3">
        <v>0</v>
      </c>
      <c r="R521" s="3">
        <v>5</v>
      </c>
      <c r="S521" s="3">
        <v>0</v>
      </c>
      <c r="T521" s="3">
        <v>0</v>
      </c>
      <c r="U521" s="3">
        <v>0</v>
      </c>
      <c r="V521" s="3">
        <v>0</v>
      </c>
      <c r="W521" s="3">
        <v>0</v>
      </c>
      <c r="X521" s="3">
        <v>0</v>
      </c>
      <c r="Y521" s="3">
        <v>0</v>
      </c>
      <c r="Z521" s="3">
        <v>0</v>
      </c>
      <c r="AA521" s="3">
        <v>35</v>
      </c>
      <c r="AB521" s="3">
        <v>40</v>
      </c>
      <c r="AC521" s="3">
        <v>17</v>
      </c>
      <c r="AD521" s="3">
        <v>0</v>
      </c>
      <c r="AE521" s="3">
        <v>0</v>
      </c>
      <c r="AF521" s="3">
        <v>0</v>
      </c>
      <c r="AG521" s="3">
        <v>25</v>
      </c>
      <c r="AH521" s="3">
        <v>0</v>
      </c>
      <c r="AI521" s="3">
        <v>60</v>
      </c>
      <c r="AJ521" s="3">
        <v>0</v>
      </c>
      <c r="AK521" s="3">
        <v>0</v>
      </c>
      <c r="AL521" s="3">
        <v>0</v>
      </c>
      <c r="AM521" s="3">
        <v>0</v>
      </c>
      <c r="AN521" s="3">
        <v>7</v>
      </c>
      <c r="AO521" s="3">
        <v>0</v>
      </c>
      <c r="AP521" s="3">
        <v>0</v>
      </c>
      <c r="AQ521" s="3">
        <v>0</v>
      </c>
      <c r="AR521" s="3">
        <v>0</v>
      </c>
      <c r="AS521" s="3">
        <v>0</v>
      </c>
      <c r="AT521" s="3">
        <v>0</v>
      </c>
      <c r="AU521" s="3">
        <v>0</v>
      </c>
      <c r="AV521" s="3">
        <v>200</v>
      </c>
      <c r="AW521" s="3">
        <v>200</v>
      </c>
      <c r="AX521" s="3">
        <v>100</v>
      </c>
      <c r="AY521" s="3">
        <v>100</v>
      </c>
      <c r="AZ521" s="3">
        <v>100</v>
      </c>
      <c r="BA521" s="3">
        <v>100</v>
      </c>
      <c r="BB521" s="3">
        <v>100</v>
      </c>
      <c r="BC521" s="15">
        <v>0</v>
      </c>
    </row>
    <row r="522" spans="1:62" x14ac:dyDescent="0.25">
      <c r="A522" s="14"/>
      <c r="B522" s="6"/>
      <c r="C522" s="6" t="s">
        <v>9</v>
      </c>
      <c r="D522" s="8">
        <v>1603</v>
      </c>
      <c r="E522" s="8">
        <v>1651</v>
      </c>
      <c r="F522" s="8">
        <v>1626</v>
      </c>
      <c r="G522" s="8">
        <v>1723</v>
      </c>
      <c r="H522" s="8">
        <v>1829</v>
      </c>
      <c r="I522" s="8">
        <v>1813</v>
      </c>
      <c r="J522" s="8">
        <v>1939</v>
      </c>
      <c r="K522" s="8">
        <v>1943</v>
      </c>
      <c r="L522" s="8">
        <v>1847</v>
      </c>
      <c r="M522" s="8">
        <v>2390</v>
      </c>
      <c r="N522" s="8">
        <v>2371</v>
      </c>
      <c r="O522" s="8">
        <v>1928</v>
      </c>
      <c r="P522" s="8">
        <v>2106</v>
      </c>
      <c r="Q522" s="8">
        <v>2433</v>
      </c>
      <c r="R522" s="8">
        <v>2468</v>
      </c>
      <c r="S522" s="8">
        <v>2605</v>
      </c>
      <c r="T522" s="8">
        <v>2588</v>
      </c>
      <c r="U522" s="8">
        <v>2848</v>
      </c>
      <c r="V522" s="8">
        <v>3021</v>
      </c>
      <c r="W522" s="8">
        <v>3287</v>
      </c>
      <c r="X522" s="8">
        <v>3539</v>
      </c>
      <c r="Y522" s="8">
        <v>3801</v>
      </c>
      <c r="Z522" s="8">
        <v>3829</v>
      </c>
      <c r="AA522" s="8">
        <v>3506</v>
      </c>
      <c r="AB522" s="8">
        <v>4121</v>
      </c>
      <c r="AC522" s="8">
        <v>4166</v>
      </c>
      <c r="AD522" s="8">
        <v>3994</v>
      </c>
      <c r="AE522" s="8">
        <v>4140</v>
      </c>
      <c r="AF522" s="8">
        <v>4773</v>
      </c>
      <c r="AG522" s="8">
        <v>4438</v>
      </c>
      <c r="AH522" s="8">
        <v>8176</v>
      </c>
      <c r="AI522" s="8">
        <v>8613</v>
      </c>
      <c r="AJ522" s="8">
        <v>8783</v>
      </c>
      <c r="AK522" s="8">
        <v>9589</v>
      </c>
      <c r="AL522" s="8">
        <v>9649</v>
      </c>
      <c r="AM522" s="8">
        <v>9732</v>
      </c>
      <c r="AN522" s="8">
        <v>8516</v>
      </c>
      <c r="AO522" s="8">
        <v>8633</v>
      </c>
      <c r="AP522" s="8">
        <v>8667</v>
      </c>
      <c r="AQ522" s="8">
        <v>9122</v>
      </c>
      <c r="AR522" s="8">
        <v>8100</v>
      </c>
      <c r="AS522" s="8">
        <v>8949</v>
      </c>
      <c r="AT522" s="8">
        <v>9564</v>
      </c>
      <c r="AU522" s="8">
        <v>10264</v>
      </c>
      <c r="AV522" s="8">
        <v>11393</v>
      </c>
      <c r="AW522" s="8">
        <v>12637</v>
      </c>
      <c r="AX522" s="8">
        <v>12859</v>
      </c>
      <c r="AY522" s="8">
        <v>11440</v>
      </c>
      <c r="AZ522" s="8">
        <v>14347</v>
      </c>
      <c r="BA522" s="8">
        <v>15258</v>
      </c>
      <c r="BB522" s="8">
        <v>15743</v>
      </c>
      <c r="BC522" s="13">
        <v>0</v>
      </c>
    </row>
    <row r="523" spans="1:62" s="5" customFormat="1" x14ac:dyDescent="0.25">
      <c r="A523" s="12"/>
      <c r="B523" s="2" t="s">
        <v>10</v>
      </c>
      <c r="C523" s="2" t="s">
        <v>6</v>
      </c>
      <c r="D523" s="4">
        <v>260</v>
      </c>
      <c r="E523" s="4">
        <v>165</v>
      </c>
      <c r="F523" s="4">
        <v>250</v>
      </c>
      <c r="G523" s="4">
        <v>210</v>
      </c>
      <c r="H523" s="4">
        <v>200</v>
      </c>
      <c r="I523" s="4">
        <v>299</v>
      </c>
      <c r="J523" s="4">
        <v>385</v>
      </c>
      <c r="K523" s="4">
        <v>327</v>
      </c>
      <c r="L523" s="4">
        <v>538</v>
      </c>
      <c r="M523" s="4">
        <v>707</v>
      </c>
      <c r="N523" s="4">
        <v>473</v>
      </c>
      <c r="O523" s="4">
        <v>569</v>
      </c>
      <c r="P523" s="4">
        <v>629</v>
      </c>
      <c r="Q523" s="4">
        <v>533</v>
      </c>
      <c r="R523" s="4">
        <v>670</v>
      </c>
      <c r="S523" s="4">
        <v>793</v>
      </c>
      <c r="T523" s="4">
        <v>967</v>
      </c>
      <c r="U523" s="3">
        <v>724</v>
      </c>
      <c r="V523" s="4">
        <v>837</v>
      </c>
      <c r="W523" s="4">
        <v>885</v>
      </c>
      <c r="X523" s="4">
        <v>784</v>
      </c>
      <c r="Y523" s="4">
        <v>763</v>
      </c>
      <c r="Z523" s="4">
        <v>857</v>
      </c>
      <c r="AA523" s="4">
        <v>859</v>
      </c>
      <c r="AB523" s="4">
        <v>1216</v>
      </c>
      <c r="AC523" s="4">
        <v>1275</v>
      </c>
      <c r="AD523" s="4">
        <v>1656</v>
      </c>
      <c r="AE523" s="3">
        <v>1622</v>
      </c>
      <c r="AF523" s="4">
        <v>1976</v>
      </c>
      <c r="AG523" s="3">
        <v>1831</v>
      </c>
      <c r="AH523" s="3">
        <v>2119</v>
      </c>
      <c r="AI523" s="3">
        <v>2191</v>
      </c>
      <c r="AJ523" s="4">
        <v>2367</v>
      </c>
      <c r="AK523" s="3">
        <v>2331</v>
      </c>
      <c r="AL523" s="3">
        <v>2436</v>
      </c>
      <c r="AM523" s="3">
        <v>2991</v>
      </c>
      <c r="AN523" s="3">
        <v>3323</v>
      </c>
      <c r="AO523" s="3">
        <v>3794</v>
      </c>
      <c r="AP523" s="4">
        <v>3709</v>
      </c>
      <c r="AQ523" s="4">
        <v>3482</v>
      </c>
      <c r="AR523" s="4">
        <v>3014</v>
      </c>
      <c r="AS523" s="4">
        <v>4216</v>
      </c>
      <c r="AT523" s="4">
        <v>3782</v>
      </c>
      <c r="AU523" s="4">
        <v>4110</v>
      </c>
      <c r="AV523" s="4">
        <v>4490</v>
      </c>
      <c r="AW523" s="4">
        <v>3926</v>
      </c>
      <c r="AX523" s="4">
        <v>3518</v>
      </c>
      <c r="AY523" s="4">
        <v>2540</v>
      </c>
      <c r="AZ523" s="4">
        <v>2472</v>
      </c>
      <c r="BA523" s="3">
        <v>2402</v>
      </c>
      <c r="BB523" s="3">
        <v>2542</v>
      </c>
      <c r="BC523" s="15">
        <v>0</v>
      </c>
    </row>
    <row r="524" spans="1:62" x14ac:dyDescent="0.25">
      <c r="A524" s="14"/>
      <c r="B524" s="6"/>
      <c r="C524" s="6" t="s">
        <v>7</v>
      </c>
      <c r="D524" s="7">
        <v>0</v>
      </c>
      <c r="E524" s="7">
        <v>0</v>
      </c>
      <c r="F524" s="7">
        <v>0</v>
      </c>
      <c r="G524" s="7">
        <v>0</v>
      </c>
      <c r="H524" s="7">
        <v>0</v>
      </c>
      <c r="I524" s="7">
        <v>5</v>
      </c>
      <c r="J524" s="7">
        <v>4</v>
      </c>
      <c r="K524" s="7">
        <v>11</v>
      </c>
      <c r="L524" s="7">
        <v>20</v>
      </c>
      <c r="M524" s="7">
        <v>28</v>
      </c>
      <c r="N524" s="7">
        <v>30</v>
      </c>
      <c r="O524" s="7">
        <v>30</v>
      </c>
      <c r="P524" s="7">
        <v>50</v>
      </c>
      <c r="Q524" s="7">
        <v>62</v>
      </c>
      <c r="R524" s="7">
        <v>149</v>
      </c>
      <c r="S524" s="7">
        <v>68</v>
      </c>
      <c r="T524" s="7">
        <v>46</v>
      </c>
      <c r="U524" s="7">
        <v>46</v>
      </c>
      <c r="V524" s="7">
        <v>29</v>
      </c>
      <c r="W524" s="7">
        <v>26</v>
      </c>
      <c r="X524" s="7">
        <v>11</v>
      </c>
      <c r="Y524" s="7">
        <v>74</v>
      </c>
      <c r="Z524" s="7">
        <v>130</v>
      </c>
      <c r="AA524" s="7">
        <v>271</v>
      </c>
      <c r="AB524" s="7">
        <v>231</v>
      </c>
      <c r="AC524" s="7">
        <v>218</v>
      </c>
      <c r="AD524" s="7">
        <v>127</v>
      </c>
      <c r="AE524" s="7">
        <v>154</v>
      </c>
      <c r="AF524" s="7">
        <v>248</v>
      </c>
      <c r="AG524" s="7">
        <v>85</v>
      </c>
      <c r="AH524" s="7">
        <v>256</v>
      </c>
      <c r="AI524" s="7">
        <v>138</v>
      </c>
      <c r="AJ524" s="7">
        <v>138</v>
      </c>
      <c r="AK524" s="7">
        <v>115</v>
      </c>
      <c r="AL524" s="7">
        <v>143</v>
      </c>
      <c r="AM524" s="7">
        <v>79</v>
      </c>
      <c r="AN524" s="7">
        <v>75</v>
      </c>
      <c r="AO524" s="7">
        <v>84</v>
      </c>
      <c r="AP524" s="7">
        <v>70</v>
      </c>
      <c r="AQ524" s="7">
        <v>70</v>
      </c>
      <c r="AR524" s="7">
        <v>70</v>
      </c>
      <c r="AS524" s="7">
        <v>90</v>
      </c>
      <c r="AT524" s="7">
        <v>90</v>
      </c>
      <c r="AU524" s="7">
        <v>90</v>
      </c>
      <c r="AV524" s="7">
        <v>80</v>
      </c>
      <c r="AW524" s="7">
        <v>70</v>
      </c>
      <c r="AX524" s="7">
        <v>75</v>
      </c>
      <c r="AY524" s="7">
        <v>70</v>
      </c>
      <c r="AZ524" s="7">
        <v>50</v>
      </c>
      <c r="BA524" s="7">
        <v>50</v>
      </c>
      <c r="BB524" s="7">
        <v>50</v>
      </c>
      <c r="BC524" s="13">
        <v>0</v>
      </c>
    </row>
    <row r="525" spans="1:62" s="5" customFormat="1" x14ac:dyDescent="0.25">
      <c r="A525" s="12"/>
      <c r="B525" s="2"/>
      <c r="C525" s="2" t="s">
        <v>8</v>
      </c>
      <c r="D525" s="4">
        <v>181</v>
      </c>
      <c r="E525" s="4">
        <v>168</v>
      </c>
      <c r="F525" s="4">
        <v>141</v>
      </c>
      <c r="G525" s="4">
        <v>145</v>
      </c>
      <c r="H525" s="4">
        <v>89</v>
      </c>
      <c r="I525" s="4">
        <v>194</v>
      </c>
      <c r="J525" s="4">
        <v>226</v>
      </c>
      <c r="K525" s="4">
        <v>286</v>
      </c>
      <c r="L525" s="4">
        <v>274</v>
      </c>
      <c r="M525" s="4">
        <v>323</v>
      </c>
      <c r="N525" s="4">
        <v>429</v>
      </c>
      <c r="O525" s="4">
        <v>338</v>
      </c>
      <c r="P525" s="4">
        <v>369</v>
      </c>
      <c r="Q525" s="4">
        <v>309</v>
      </c>
      <c r="R525" s="4">
        <v>297</v>
      </c>
      <c r="S525" s="4">
        <v>379</v>
      </c>
      <c r="T525" s="4">
        <v>467</v>
      </c>
      <c r="U525" s="4">
        <v>432</v>
      </c>
      <c r="V525" s="4">
        <v>588</v>
      </c>
      <c r="W525" s="4">
        <v>512</v>
      </c>
      <c r="X525" s="4">
        <v>550</v>
      </c>
      <c r="Y525" s="4">
        <v>508</v>
      </c>
      <c r="Z525" s="4">
        <v>606</v>
      </c>
      <c r="AA525" s="4">
        <v>597</v>
      </c>
      <c r="AB525" s="4">
        <v>750</v>
      </c>
      <c r="AC525" s="4">
        <v>1116</v>
      </c>
      <c r="AD525" s="4">
        <v>1201</v>
      </c>
      <c r="AE525" s="4">
        <v>1329</v>
      </c>
      <c r="AF525" s="4">
        <v>1509</v>
      </c>
      <c r="AG525" s="4">
        <v>1627</v>
      </c>
      <c r="AH525" s="4">
        <v>1574</v>
      </c>
      <c r="AI525" s="4">
        <v>1738</v>
      </c>
      <c r="AJ525" s="4">
        <v>1678</v>
      </c>
      <c r="AK525" s="4">
        <v>1703</v>
      </c>
      <c r="AL525" s="4">
        <v>2149</v>
      </c>
      <c r="AM525" s="3">
        <v>2186</v>
      </c>
      <c r="AN525" s="3">
        <v>2621</v>
      </c>
      <c r="AO525" s="3">
        <v>2819</v>
      </c>
      <c r="AP525" s="3">
        <v>3063</v>
      </c>
      <c r="AQ525" s="4">
        <v>3183</v>
      </c>
      <c r="AR525" s="4">
        <v>2753</v>
      </c>
      <c r="AS525" s="4">
        <v>3021</v>
      </c>
      <c r="AT525" s="4">
        <v>3201</v>
      </c>
      <c r="AU525" s="4">
        <v>3821</v>
      </c>
      <c r="AV525" s="4">
        <v>3533</v>
      </c>
      <c r="AW525" s="4">
        <v>3851</v>
      </c>
      <c r="AX525" s="4">
        <v>3451</v>
      </c>
      <c r="AY525" s="4">
        <v>2426</v>
      </c>
      <c r="AZ525" s="4">
        <v>1976</v>
      </c>
      <c r="BA525" s="4">
        <v>2241</v>
      </c>
      <c r="BB525" s="4">
        <v>2188</v>
      </c>
      <c r="BC525" s="15">
        <v>0</v>
      </c>
    </row>
    <row r="526" spans="1:62" x14ac:dyDescent="0.25">
      <c r="A526" s="14"/>
      <c r="B526" s="6"/>
      <c r="C526" s="6" t="s">
        <v>9</v>
      </c>
      <c r="D526" s="7">
        <v>30</v>
      </c>
      <c r="E526" s="7">
        <v>36</v>
      </c>
      <c r="F526" s="7">
        <v>47</v>
      </c>
      <c r="G526" s="7">
        <v>82</v>
      </c>
      <c r="H526" s="7">
        <v>96</v>
      </c>
      <c r="I526" s="7">
        <v>107</v>
      </c>
      <c r="J526" s="7">
        <v>126</v>
      </c>
      <c r="K526" s="7">
        <v>150</v>
      </c>
      <c r="L526" s="7">
        <v>172</v>
      </c>
      <c r="M526" s="7">
        <v>245</v>
      </c>
      <c r="N526" s="7">
        <v>269</v>
      </c>
      <c r="O526" s="7">
        <v>241</v>
      </c>
      <c r="P526" s="7">
        <v>280</v>
      </c>
      <c r="Q526" s="7">
        <v>369</v>
      </c>
      <c r="R526" s="7">
        <v>402</v>
      </c>
      <c r="S526" s="7">
        <v>432</v>
      </c>
      <c r="T526" s="7">
        <v>446</v>
      </c>
      <c r="U526" s="7">
        <v>380</v>
      </c>
      <c r="V526" s="7">
        <v>388</v>
      </c>
      <c r="W526" s="7">
        <v>384</v>
      </c>
      <c r="X526" s="7">
        <v>343</v>
      </c>
      <c r="Y526" s="7">
        <v>340</v>
      </c>
      <c r="Z526" s="7">
        <v>379</v>
      </c>
      <c r="AA526" s="7">
        <v>466</v>
      </c>
      <c r="AB526" s="7">
        <v>480</v>
      </c>
      <c r="AC526" s="7">
        <v>470</v>
      </c>
      <c r="AD526" s="7">
        <v>463</v>
      </c>
      <c r="AE526" s="7">
        <v>522</v>
      </c>
      <c r="AF526" s="7">
        <v>633</v>
      </c>
      <c r="AG526" s="7">
        <v>527</v>
      </c>
      <c r="AH526" s="7">
        <v>616</v>
      </c>
      <c r="AI526" s="7">
        <v>581</v>
      </c>
      <c r="AJ526" s="7">
        <v>631</v>
      </c>
      <c r="AK526" s="7">
        <v>719</v>
      </c>
      <c r="AL526" s="7">
        <v>715</v>
      </c>
      <c r="AM526" s="7">
        <v>785</v>
      </c>
      <c r="AN526" s="7">
        <v>719</v>
      </c>
      <c r="AO526" s="7">
        <v>660</v>
      </c>
      <c r="AP526" s="7">
        <v>499</v>
      </c>
      <c r="AQ526" s="7">
        <v>459</v>
      </c>
      <c r="AR526" s="7">
        <v>594</v>
      </c>
      <c r="AS526" s="7">
        <v>584</v>
      </c>
      <c r="AT526" s="7">
        <v>639</v>
      </c>
      <c r="AU526" s="7">
        <v>598</v>
      </c>
      <c r="AV526" s="7">
        <v>543</v>
      </c>
      <c r="AW526" s="7">
        <v>498</v>
      </c>
      <c r="AX526" s="7">
        <v>501</v>
      </c>
      <c r="AY526" s="7">
        <v>491</v>
      </c>
      <c r="AZ526" s="7">
        <v>463</v>
      </c>
      <c r="BA526" s="7">
        <v>438</v>
      </c>
      <c r="BB526" s="7">
        <v>438</v>
      </c>
      <c r="BC526" s="13">
        <v>0</v>
      </c>
    </row>
    <row r="527" spans="1:62" s="5" customFormat="1" x14ac:dyDescent="0.25">
      <c r="A527" s="12"/>
      <c r="B527" s="2" t="s">
        <v>11</v>
      </c>
      <c r="C527" s="2" t="s">
        <v>6</v>
      </c>
      <c r="D527" s="4">
        <v>0</v>
      </c>
      <c r="E527" s="4">
        <v>0</v>
      </c>
      <c r="F527" s="4">
        <v>0</v>
      </c>
      <c r="G527" s="4">
        <v>0</v>
      </c>
      <c r="H527" s="4">
        <v>19</v>
      </c>
      <c r="I527" s="4">
        <v>19</v>
      </c>
      <c r="J527" s="4">
        <v>15</v>
      </c>
      <c r="K527" s="4">
        <v>16</v>
      </c>
      <c r="L527" s="4">
        <v>7</v>
      </c>
      <c r="M527" s="4">
        <v>34</v>
      </c>
      <c r="N527" s="4">
        <v>58</v>
      </c>
      <c r="O527" s="4">
        <v>63</v>
      </c>
      <c r="P527" s="4">
        <v>63</v>
      </c>
      <c r="Q527" s="4">
        <v>64</v>
      </c>
      <c r="R527" s="4">
        <v>65</v>
      </c>
      <c r="S527" s="4">
        <v>65</v>
      </c>
      <c r="T527" s="4">
        <v>70</v>
      </c>
      <c r="U527" s="4">
        <v>70</v>
      </c>
      <c r="V527" s="4">
        <v>73</v>
      </c>
      <c r="W527" s="4">
        <v>75</v>
      </c>
      <c r="X527" s="4">
        <v>55</v>
      </c>
      <c r="Y527" s="4">
        <v>60</v>
      </c>
      <c r="Z527" s="4">
        <v>65</v>
      </c>
      <c r="AA527" s="4">
        <v>50</v>
      </c>
      <c r="AB527" s="4">
        <v>60</v>
      </c>
      <c r="AC527" s="4">
        <v>55</v>
      </c>
      <c r="AD527" s="3">
        <v>70</v>
      </c>
      <c r="AE527" s="3">
        <v>40</v>
      </c>
      <c r="AF527" s="3">
        <v>55</v>
      </c>
      <c r="AG527" s="3">
        <v>60</v>
      </c>
      <c r="AH527" s="3">
        <v>218</v>
      </c>
      <c r="AI527" s="3">
        <v>149</v>
      </c>
      <c r="AJ527" s="3">
        <v>154</v>
      </c>
      <c r="AK527" s="3">
        <v>163</v>
      </c>
      <c r="AL527" s="3">
        <v>178</v>
      </c>
      <c r="AM527" s="3">
        <v>287</v>
      </c>
      <c r="AN527" s="3">
        <v>322</v>
      </c>
      <c r="AO527" s="3">
        <v>326</v>
      </c>
      <c r="AP527" s="3">
        <v>327</v>
      </c>
      <c r="AQ527" s="3">
        <v>333</v>
      </c>
      <c r="AR527" s="3">
        <v>340</v>
      </c>
      <c r="AS527" s="3">
        <v>348</v>
      </c>
      <c r="AT527" s="3">
        <v>380</v>
      </c>
      <c r="AU527" s="3">
        <v>400</v>
      </c>
      <c r="AV527" s="3">
        <v>410</v>
      </c>
      <c r="AW527" s="3">
        <v>430</v>
      </c>
      <c r="AX527" s="3">
        <v>440</v>
      </c>
      <c r="AY527" s="3">
        <v>450</v>
      </c>
      <c r="AZ527" s="3">
        <v>450</v>
      </c>
      <c r="BA527" s="3">
        <v>450</v>
      </c>
      <c r="BB527" s="3">
        <v>450</v>
      </c>
      <c r="BC527" s="15">
        <v>0</v>
      </c>
    </row>
    <row r="528" spans="1:62" x14ac:dyDescent="0.25">
      <c r="A528" s="14"/>
      <c r="B528" s="6"/>
      <c r="C528" s="6" t="s">
        <v>7</v>
      </c>
      <c r="D528" s="7">
        <v>0</v>
      </c>
      <c r="E528" s="7">
        <v>0</v>
      </c>
      <c r="F528" s="7">
        <v>0</v>
      </c>
      <c r="G528" s="7">
        <v>0</v>
      </c>
      <c r="H528" s="7">
        <v>0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0</v>
      </c>
      <c r="O528" s="7">
        <v>0</v>
      </c>
      <c r="P528" s="7">
        <v>0</v>
      </c>
      <c r="Q528" s="7">
        <v>0</v>
      </c>
      <c r="R528" s="7">
        <v>0</v>
      </c>
      <c r="S528" s="7">
        <v>0</v>
      </c>
      <c r="T528" s="7">
        <v>0</v>
      </c>
      <c r="U528" s="7">
        <v>0</v>
      </c>
      <c r="V528" s="7">
        <v>0</v>
      </c>
      <c r="W528" s="7">
        <v>0</v>
      </c>
      <c r="X528" s="7">
        <v>0</v>
      </c>
      <c r="Y528" s="7">
        <v>0</v>
      </c>
      <c r="Z528" s="7">
        <v>0</v>
      </c>
      <c r="AA528" s="7">
        <v>12</v>
      </c>
      <c r="AB528" s="7">
        <v>3</v>
      </c>
      <c r="AC528" s="7">
        <v>13</v>
      </c>
      <c r="AD528" s="7">
        <v>0</v>
      </c>
      <c r="AE528" s="7">
        <v>0</v>
      </c>
      <c r="AF528" s="7">
        <v>0</v>
      </c>
      <c r="AG528" s="7">
        <v>0</v>
      </c>
      <c r="AH528" s="7">
        <v>0</v>
      </c>
      <c r="AI528" s="7">
        <v>0</v>
      </c>
      <c r="AJ528" s="7">
        <v>0</v>
      </c>
      <c r="AK528" s="7">
        <v>0</v>
      </c>
      <c r="AL528" s="7">
        <v>0</v>
      </c>
      <c r="AM528" s="7">
        <v>0</v>
      </c>
      <c r="AN528" s="7">
        <v>0</v>
      </c>
      <c r="AO528" s="7">
        <v>0</v>
      </c>
      <c r="AP528" s="7">
        <v>0</v>
      </c>
      <c r="AQ528" s="7">
        <v>0</v>
      </c>
      <c r="AR528" s="7">
        <v>8</v>
      </c>
      <c r="AS528" s="7">
        <v>8</v>
      </c>
      <c r="AT528" s="7">
        <v>10</v>
      </c>
      <c r="AU528" s="7">
        <v>10</v>
      </c>
      <c r="AV528" s="7">
        <v>5</v>
      </c>
      <c r="AW528" s="7">
        <v>5</v>
      </c>
      <c r="AX528" s="8">
        <v>3</v>
      </c>
      <c r="AY528" s="8">
        <v>15</v>
      </c>
      <c r="AZ528" s="8">
        <v>4</v>
      </c>
      <c r="BA528" s="7">
        <v>4</v>
      </c>
      <c r="BB528" s="7">
        <v>4</v>
      </c>
      <c r="BC528" s="13">
        <v>0</v>
      </c>
    </row>
    <row r="529" spans="1:62" s="5" customFormat="1" x14ac:dyDescent="0.25">
      <c r="A529" s="12"/>
      <c r="B529" s="2"/>
      <c r="C529" s="2" t="s">
        <v>8</v>
      </c>
      <c r="D529" s="4">
        <v>0</v>
      </c>
      <c r="E529" s="4">
        <v>0</v>
      </c>
      <c r="F529" s="4">
        <v>0</v>
      </c>
      <c r="G529" s="4">
        <v>0</v>
      </c>
      <c r="H529" s="4">
        <v>15</v>
      </c>
      <c r="I529" s="4">
        <v>12</v>
      </c>
      <c r="J529" s="4">
        <v>6</v>
      </c>
      <c r="K529" s="4">
        <v>14</v>
      </c>
      <c r="L529" s="4">
        <v>7</v>
      </c>
      <c r="M529" s="4">
        <v>10</v>
      </c>
      <c r="N529" s="4">
        <v>5</v>
      </c>
      <c r="O529" s="4">
        <v>2</v>
      </c>
      <c r="P529" s="4">
        <v>1</v>
      </c>
      <c r="Q529" s="4">
        <v>5</v>
      </c>
      <c r="R529" s="4">
        <v>2</v>
      </c>
      <c r="S529" s="4">
        <v>2</v>
      </c>
      <c r="T529" s="4">
        <v>1</v>
      </c>
      <c r="U529" s="4">
        <v>0</v>
      </c>
      <c r="V529" s="4">
        <v>0</v>
      </c>
      <c r="W529" s="4">
        <v>0</v>
      </c>
      <c r="X529" s="4">
        <v>0</v>
      </c>
      <c r="Y529" s="4">
        <v>0</v>
      </c>
      <c r="Z529" s="4">
        <v>0</v>
      </c>
      <c r="AA529" s="4">
        <v>0</v>
      </c>
      <c r="AB529" s="4">
        <v>0</v>
      </c>
      <c r="AC529" s="4">
        <v>0</v>
      </c>
      <c r="AD529" s="4">
        <v>0</v>
      </c>
      <c r="AE529" s="3">
        <v>0</v>
      </c>
      <c r="AF529" s="4">
        <v>5</v>
      </c>
      <c r="AG529" s="3">
        <v>0</v>
      </c>
      <c r="AH529" s="3">
        <v>0</v>
      </c>
      <c r="AI529" s="3">
        <v>0</v>
      </c>
      <c r="AJ529" s="3">
        <v>0</v>
      </c>
      <c r="AK529" s="3">
        <v>0</v>
      </c>
      <c r="AL529" s="3">
        <v>0</v>
      </c>
      <c r="AM529" s="3">
        <v>0</v>
      </c>
      <c r="AN529" s="4">
        <v>0</v>
      </c>
      <c r="AO529" s="3">
        <v>10</v>
      </c>
      <c r="AP529" s="3">
        <v>0</v>
      </c>
      <c r="AQ529" s="3">
        <v>0</v>
      </c>
      <c r="AR529" s="3">
        <v>0</v>
      </c>
      <c r="AS529" s="3">
        <v>0</v>
      </c>
      <c r="AT529" s="3">
        <v>0</v>
      </c>
      <c r="AU529" s="3">
        <v>0</v>
      </c>
      <c r="AV529" s="3">
        <v>0</v>
      </c>
      <c r="AW529" s="3">
        <v>0</v>
      </c>
      <c r="AX529" s="3">
        <v>0</v>
      </c>
      <c r="AY529" s="3">
        <v>0</v>
      </c>
      <c r="AZ529" s="3">
        <v>0</v>
      </c>
      <c r="BA529" s="3">
        <v>0</v>
      </c>
      <c r="BB529" s="3">
        <v>0</v>
      </c>
      <c r="BC529" s="15">
        <v>0</v>
      </c>
    </row>
    <row r="530" spans="1:62" x14ac:dyDescent="0.25">
      <c r="A530" s="14"/>
      <c r="B530" s="6"/>
      <c r="C530" s="6" t="s">
        <v>9</v>
      </c>
      <c r="D530" s="7">
        <v>0</v>
      </c>
      <c r="E530" s="7">
        <v>0</v>
      </c>
      <c r="F530" s="7">
        <v>0</v>
      </c>
      <c r="G530" s="7">
        <v>0</v>
      </c>
      <c r="H530" s="7">
        <v>4</v>
      </c>
      <c r="I530" s="7">
        <v>7</v>
      </c>
      <c r="J530" s="7">
        <v>9</v>
      </c>
      <c r="K530" s="7">
        <v>2</v>
      </c>
      <c r="L530" s="7">
        <v>0</v>
      </c>
      <c r="M530" s="7">
        <v>24</v>
      </c>
      <c r="N530" s="7">
        <v>53</v>
      </c>
      <c r="O530" s="7">
        <v>61</v>
      </c>
      <c r="P530" s="7">
        <v>62</v>
      </c>
      <c r="Q530" s="7">
        <v>59</v>
      </c>
      <c r="R530" s="7">
        <v>63</v>
      </c>
      <c r="S530" s="7">
        <v>63</v>
      </c>
      <c r="T530" s="7">
        <v>69</v>
      </c>
      <c r="U530" s="7">
        <v>70</v>
      </c>
      <c r="V530" s="7">
        <v>73</v>
      </c>
      <c r="W530" s="7">
        <v>75</v>
      </c>
      <c r="X530" s="7">
        <v>55</v>
      </c>
      <c r="Y530" s="7">
        <v>60</v>
      </c>
      <c r="Z530" s="7">
        <v>65</v>
      </c>
      <c r="AA530" s="7">
        <v>62</v>
      </c>
      <c r="AB530" s="7">
        <v>63</v>
      </c>
      <c r="AC530" s="7">
        <v>68</v>
      </c>
      <c r="AD530" s="8">
        <v>70</v>
      </c>
      <c r="AE530" s="8">
        <v>40</v>
      </c>
      <c r="AF530" s="8">
        <v>45</v>
      </c>
      <c r="AG530" s="8">
        <v>60</v>
      </c>
      <c r="AH530" s="8">
        <v>218</v>
      </c>
      <c r="AI530" s="8">
        <v>149</v>
      </c>
      <c r="AJ530" s="8">
        <v>154</v>
      </c>
      <c r="AK530" s="8">
        <v>163</v>
      </c>
      <c r="AL530" s="8">
        <v>178</v>
      </c>
      <c r="AM530" s="8">
        <v>287</v>
      </c>
      <c r="AN530" s="8">
        <v>322</v>
      </c>
      <c r="AO530" s="8">
        <v>311</v>
      </c>
      <c r="AP530" s="8">
        <v>332</v>
      </c>
      <c r="AQ530" s="8">
        <v>338</v>
      </c>
      <c r="AR530" s="8">
        <v>348</v>
      </c>
      <c r="AS530" s="8">
        <v>356</v>
      </c>
      <c r="AT530" s="8">
        <v>390</v>
      </c>
      <c r="AU530" s="8">
        <v>410</v>
      </c>
      <c r="AV530" s="8">
        <v>415</v>
      </c>
      <c r="AW530" s="8">
        <v>435</v>
      </c>
      <c r="AX530" s="8">
        <v>443</v>
      </c>
      <c r="AY530" s="8">
        <v>465</v>
      </c>
      <c r="AZ530" s="8">
        <v>454</v>
      </c>
      <c r="BA530" s="8">
        <v>454</v>
      </c>
      <c r="BB530" s="8">
        <v>454</v>
      </c>
      <c r="BC530" s="13">
        <v>0</v>
      </c>
    </row>
    <row r="531" spans="1:62" s="5" customFormat="1" x14ac:dyDescent="0.25">
      <c r="A531" s="12"/>
      <c r="B531" s="2" t="s">
        <v>12</v>
      </c>
      <c r="C531" s="2" t="s">
        <v>6</v>
      </c>
      <c r="D531" s="4">
        <v>1195</v>
      </c>
      <c r="E531" s="4">
        <v>1051</v>
      </c>
      <c r="F531" s="4">
        <v>1238</v>
      </c>
      <c r="G531" s="4">
        <v>1146</v>
      </c>
      <c r="H531" s="4">
        <v>1328</v>
      </c>
      <c r="I531" s="4">
        <v>1237</v>
      </c>
      <c r="J531" s="4">
        <v>1309</v>
      </c>
      <c r="K531" s="4">
        <v>1461</v>
      </c>
      <c r="L531" s="4">
        <v>1370</v>
      </c>
      <c r="M531" s="4">
        <v>1458</v>
      </c>
      <c r="N531" s="4">
        <v>1467</v>
      </c>
      <c r="O531" s="4">
        <v>1598</v>
      </c>
      <c r="P531" s="4">
        <v>1491</v>
      </c>
      <c r="Q531" s="4">
        <v>1491</v>
      </c>
      <c r="R531" s="4">
        <v>1588</v>
      </c>
      <c r="S531" s="4">
        <v>1833</v>
      </c>
      <c r="T531" s="4">
        <v>1855</v>
      </c>
      <c r="U531" s="4">
        <v>1882</v>
      </c>
      <c r="V531" s="4">
        <v>1896</v>
      </c>
      <c r="W531" s="4">
        <v>1825</v>
      </c>
      <c r="X531" s="4">
        <v>1826</v>
      </c>
      <c r="Y531" s="4">
        <v>1936</v>
      </c>
      <c r="Z531" s="4">
        <v>2032</v>
      </c>
      <c r="AA531" s="4">
        <v>1981</v>
      </c>
      <c r="AB531" s="4">
        <v>2010</v>
      </c>
      <c r="AC531" s="4">
        <v>2224</v>
      </c>
      <c r="AD531" s="4">
        <v>2325</v>
      </c>
      <c r="AE531" s="4">
        <v>2884</v>
      </c>
      <c r="AF531" s="4">
        <v>3086</v>
      </c>
      <c r="AG531" s="4">
        <v>3735</v>
      </c>
      <c r="AH531" s="4">
        <v>3261</v>
      </c>
      <c r="AI531" s="4">
        <v>3735</v>
      </c>
      <c r="AJ531" s="4">
        <v>3700</v>
      </c>
      <c r="AK531" s="4">
        <v>3653</v>
      </c>
      <c r="AL531" s="4">
        <v>3107</v>
      </c>
      <c r="AM531" s="4">
        <v>3582</v>
      </c>
      <c r="AN531" s="4">
        <v>4071</v>
      </c>
      <c r="AO531" s="4">
        <v>3973</v>
      </c>
      <c r="AP531" s="3">
        <v>4108</v>
      </c>
      <c r="AQ531" s="4">
        <v>4380</v>
      </c>
      <c r="AR531" s="4">
        <v>4499</v>
      </c>
      <c r="AS531" s="4">
        <v>4741</v>
      </c>
      <c r="AT531" s="4">
        <v>4471</v>
      </c>
      <c r="AU531" s="4">
        <v>4587</v>
      </c>
      <c r="AV531" s="4">
        <v>4781</v>
      </c>
      <c r="AW531" s="4">
        <v>5399</v>
      </c>
      <c r="AX531" s="4">
        <v>5648</v>
      </c>
      <c r="AY531" s="4">
        <v>5725</v>
      </c>
      <c r="AZ531" s="4">
        <v>6737</v>
      </c>
      <c r="BA531" s="4">
        <v>7575</v>
      </c>
      <c r="BB531" s="3">
        <v>8095</v>
      </c>
      <c r="BC531" s="15">
        <v>0</v>
      </c>
    </row>
    <row r="532" spans="1:62" x14ac:dyDescent="0.25">
      <c r="A532" s="14"/>
      <c r="B532" s="6"/>
      <c r="C532" s="6" t="s">
        <v>7</v>
      </c>
      <c r="D532" s="7">
        <v>243</v>
      </c>
      <c r="E532" s="7">
        <v>309</v>
      </c>
      <c r="F532" s="7">
        <v>269</v>
      </c>
      <c r="G532" s="7">
        <v>398</v>
      </c>
      <c r="H532" s="7">
        <v>423</v>
      </c>
      <c r="I532" s="7">
        <v>454</v>
      </c>
      <c r="J532" s="7">
        <v>363</v>
      </c>
      <c r="K532" s="7">
        <v>397</v>
      </c>
      <c r="L532" s="7">
        <v>360</v>
      </c>
      <c r="M532" s="7">
        <v>435</v>
      </c>
      <c r="N532" s="7">
        <v>512</v>
      </c>
      <c r="O532" s="7">
        <v>473</v>
      </c>
      <c r="P532" s="7">
        <v>574</v>
      </c>
      <c r="Q532" s="7">
        <v>598</v>
      </c>
      <c r="R532" s="7">
        <v>321</v>
      </c>
      <c r="S532" s="7">
        <v>335</v>
      </c>
      <c r="T532" s="7">
        <v>699</v>
      </c>
      <c r="U532" s="7">
        <v>1232</v>
      </c>
      <c r="V532" s="7">
        <v>1793</v>
      </c>
      <c r="W532" s="7">
        <v>1218</v>
      </c>
      <c r="X532" s="7">
        <v>1555</v>
      </c>
      <c r="Y532" s="7">
        <v>1854</v>
      </c>
      <c r="Z532" s="7">
        <v>1797</v>
      </c>
      <c r="AA532" s="7">
        <v>2011</v>
      </c>
      <c r="AB532" s="7">
        <v>1878</v>
      </c>
      <c r="AC532" s="7">
        <v>1496</v>
      </c>
      <c r="AD532" s="7">
        <v>1659</v>
      </c>
      <c r="AE532" s="7">
        <v>1937</v>
      </c>
      <c r="AF532" s="7">
        <v>1559</v>
      </c>
      <c r="AG532" s="7">
        <v>1603</v>
      </c>
      <c r="AH532" s="7">
        <v>1516</v>
      </c>
      <c r="AI532" s="7">
        <v>1538</v>
      </c>
      <c r="AJ532" s="7">
        <v>2077</v>
      </c>
      <c r="AK532" s="7">
        <v>1893</v>
      </c>
      <c r="AL532" s="7">
        <v>1683</v>
      </c>
      <c r="AM532" s="7">
        <v>1879</v>
      </c>
      <c r="AN532" s="7">
        <v>1985</v>
      </c>
      <c r="AO532" s="7">
        <v>2705</v>
      </c>
      <c r="AP532" s="7">
        <v>2867</v>
      </c>
      <c r="AQ532" s="7">
        <v>3028</v>
      </c>
      <c r="AR532" s="7">
        <v>3825</v>
      </c>
      <c r="AS532" s="7">
        <v>4990</v>
      </c>
      <c r="AT532" s="7">
        <v>5194</v>
      </c>
      <c r="AU532" s="7">
        <v>4958</v>
      </c>
      <c r="AV532" s="7">
        <v>4882</v>
      </c>
      <c r="AW532" s="7">
        <v>4960</v>
      </c>
      <c r="AX532" s="7">
        <v>4790</v>
      </c>
      <c r="AY532" s="7">
        <v>5190</v>
      </c>
      <c r="AZ532" s="7">
        <v>4908</v>
      </c>
      <c r="BA532" s="7">
        <v>5265</v>
      </c>
      <c r="BB532" s="7">
        <v>5500</v>
      </c>
      <c r="BC532" s="13">
        <v>0</v>
      </c>
    </row>
    <row r="533" spans="1:62" s="5" customFormat="1" x14ac:dyDescent="0.25">
      <c r="A533" s="12"/>
      <c r="B533" s="2"/>
      <c r="C533" s="2" t="s">
        <v>8</v>
      </c>
      <c r="D533" s="4">
        <v>9</v>
      </c>
      <c r="E533" s="4">
        <v>1</v>
      </c>
      <c r="F533" s="4">
        <v>0</v>
      </c>
      <c r="G533" s="4">
        <v>0</v>
      </c>
      <c r="H533" s="4">
        <v>0</v>
      </c>
      <c r="I533" s="4">
        <v>0</v>
      </c>
      <c r="J533" s="4">
        <v>0</v>
      </c>
      <c r="K533" s="4">
        <v>0</v>
      </c>
      <c r="L533" s="4">
        <v>0</v>
      </c>
      <c r="M533" s="4">
        <v>1</v>
      </c>
      <c r="N533" s="4">
        <v>1</v>
      </c>
      <c r="O533" s="4">
        <v>0</v>
      </c>
      <c r="P533" s="4">
        <v>0</v>
      </c>
      <c r="Q533" s="4">
        <v>0</v>
      </c>
      <c r="R533" s="4">
        <v>5</v>
      </c>
      <c r="S533" s="4">
        <v>5</v>
      </c>
      <c r="T533" s="4">
        <v>30</v>
      </c>
      <c r="U533" s="4">
        <v>1</v>
      </c>
      <c r="V533" s="4">
        <v>0</v>
      </c>
      <c r="W533" s="4">
        <v>0</v>
      </c>
      <c r="X533" s="4">
        <v>5</v>
      </c>
      <c r="Y533" s="4">
        <v>5</v>
      </c>
      <c r="Z533" s="4">
        <v>12</v>
      </c>
      <c r="AA533" s="4">
        <v>10</v>
      </c>
      <c r="AB533" s="4">
        <v>0</v>
      </c>
      <c r="AC533" s="4">
        <v>0</v>
      </c>
      <c r="AD533" s="4">
        <v>0</v>
      </c>
      <c r="AE533" s="4">
        <v>0</v>
      </c>
      <c r="AF533" s="4">
        <v>0</v>
      </c>
      <c r="AG533" s="4">
        <v>0</v>
      </c>
      <c r="AH533" s="4">
        <v>0</v>
      </c>
      <c r="AI533" s="4">
        <v>0</v>
      </c>
      <c r="AJ533" s="4">
        <v>0</v>
      </c>
      <c r="AK533" s="4">
        <v>0</v>
      </c>
      <c r="AL533" s="4">
        <v>0</v>
      </c>
      <c r="AM533" s="4">
        <v>7</v>
      </c>
      <c r="AN533" s="4">
        <v>1</v>
      </c>
      <c r="AO533" s="4">
        <v>1</v>
      </c>
      <c r="AP533" s="4">
        <v>3</v>
      </c>
      <c r="AQ533" s="4">
        <v>10</v>
      </c>
      <c r="AR533" s="4">
        <v>0</v>
      </c>
      <c r="AS533" s="4">
        <v>4</v>
      </c>
      <c r="AT533" s="4">
        <v>3</v>
      </c>
      <c r="AU533" s="4">
        <v>1</v>
      </c>
      <c r="AV533" s="4">
        <v>26</v>
      </c>
      <c r="AW533" s="4">
        <v>1</v>
      </c>
      <c r="AX533" s="4">
        <v>0</v>
      </c>
      <c r="AY533" s="4">
        <v>0</v>
      </c>
      <c r="AZ533" s="4">
        <v>2</v>
      </c>
      <c r="BA533" s="4">
        <v>10</v>
      </c>
      <c r="BB533" s="4">
        <v>10</v>
      </c>
      <c r="BC533" s="15">
        <v>0</v>
      </c>
    </row>
    <row r="534" spans="1:62" x14ac:dyDescent="0.25">
      <c r="A534" s="14"/>
      <c r="B534" s="6"/>
      <c r="C534" s="6" t="s">
        <v>9</v>
      </c>
      <c r="D534" s="7">
        <v>1429</v>
      </c>
      <c r="E534" s="7">
        <v>1359</v>
      </c>
      <c r="F534" s="7">
        <v>1507</v>
      </c>
      <c r="G534" s="7">
        <v>1544</v>
      </c>
      <c r="H534" s="7">
        <v>1751</v>
      </c>
      <c r="I534" s="7">
        <v>1691</v>
      </c>
      <c r="J534" s="7">
        <v>1672</v>
      </c>
      <c r="K534" s="7">
        <v>1858</v>
      </c>
      <c r="L534" s="7">
        <v>1730</v>
      </c>
      <c r="M534" s="7">
        <v>1892</v>
      </c>
      <c r="N534" s="7">
        <v>1958</v>
      </c>
      <c r="O534" s="7">
        <v>2071</v>
      </c>
      <c r="P534" s="7">
        <v>2028</v>
      </c>
      <c r="Q534" s="7">
        <v>2077</v>
      </c>
      <c r="R534" s="7">
        <v>1888</v>
      </c>
      <c r="S534" s="7">
        <v>2159</v>
      </c>
      <c r="T534" s="7">
        <v>2489</v>
      </c>
      <c r="U534" s="7">
        <v>3000</v>
      </c>
      <c r="V534" s="7">
        <v>3431</v>
      </c>
      <c r="W534" s="7">
        <v>3301</v>
      </c>
      <c r="X534" s="7">
        <v>3380</v>
      </c>
      <c r="Y534" s="7">
        <v>3762</v>
      </c>
      <c r="Z534" s="7">
        <v>3858</v>
      </c>
      <c r="AA534" s="7">
        <v>4078</v>
      </c>
      <c r="AB534" s="7">
        <v>3933</v>
      </c>
      <c r="AC534" s="7">
        <v>3716</v>
      </c>
      <c r="AD534" s="7">
        <v>3926</v>
      </c>
      <c r="AE534" s="7">
        <v>4183</v>
      </c>
      <c r="AF534" s="7">
        <v>4399</v>
      </c>
      <c r="AG534" s="7">
        <v>4736</v>
      </c>
      <c r="AH534" s="7">
        <v>5781</v>
      </c>
      <c r="AI534" s="7">
        <v>5213</v>
      </c>
      <c r="AJ534" s="7">
        <v>5760</v>
      </c>
      <c r="AK534" s="7">
        <v>5523</v>
      </c>
      <c r="AL534" s="7">
        <v>5226</v>
      </c>
      <c r="AM534" s="7">
        <v>5297</v>
      </c>
      <c r="AN534" s="7">
        <v>5986</v>
      </c>
      <c r="AO534" s="7">
        <v>6523</v>
      </c>
      <c r="AP534" s="7">
        <v>7016</v>
      </c>
      <c r="AQ534" s="7">
        <v>7295</v>
      </c>
      <c r="AR534" s="7">
        <v>8015</v>
      </c>
      <c r="AS534" s="7">
        <v>8890</v>
      </c>
      <c r="AT534" s="7">
        <v>9376</v>
      </c>
      <c r="AU534" s="7">
        <v>10009</v>
      </c>
      <c r="AV534" s="7">
        <v>10281</v>
      </c>
      <c r="AW534" s="7">
        <v>10428</v>
      </c>
      <c r="AX534" s="7">
        <v>10678</v>
      </c>
      <c r="AY534" s="7">
        <v>10672</v>
      </c>
      <c r="AZ534" s="7">
        <v>11858</v>
      </c>
      <c r="BA534" s="7">
        <v>12835</v>
      </c>
      <c r="BB534" s="7">
        <v>13560</v>
      </c>
      <c r="BC534" s="13">
        <v>0</v>
      </c>
    </row>
    <row r="535" spans="1:62" s="5" customFormat="1" x14ac:dyDescent="0.25">
      <c r="A535" s="12"/>
      <c r="B535" s="2" t="s">
        <v>13</v>
      </c>
      <c r="C535" s="2" t="s">
        <v>6</v>
      </c>
      <c r="D535" s="3">
        <v>4675</v>
      </c>
      <c r="E535" s="3">
        <v>4824</v>
      </c>
      <c r="F535" s="4">
        <v>5506</v>
      </c>
      <c r="G535" s="3">
        <v>4727</v>
      </c>
      <c r="H535" s="4">
        <v>4917</v>
      </c>
      <c r="I535" s="3">
        <v>5191</v>
      </c>
      <c r="J535" s="3">
        <v>4146</v>
      </c>
      <c r="K535" s="3">
        <v>4499</v>
      </c>
      <c r="L535" s="3">
        <v>4220</v>
      </c>
      <c r="M535" s="3">
        <v>5088</v>
      </c>
      <c r="N535" s="3">
        <v>5095</v>
      </c>
      <c r="O535" s="3">
        <v>4824</v>
      </c>
      <c r="P535" s="3">
        <v>3292</v>
      </c>
      <c r="Q535" s="3">
        <v>3992</v>
      </c>
      <c r="R535" s="3">
        <v>5901</v>
      </c>
      <c r="S535" s="3">
        <v>4805</v>
      </c>
      <c r="T535" s="3">
        <v>4936</v>
      </c>
      <c r="U535" s="3">
        <v>4832</v>
      </c>
      <c r="V535" s="3">
        <v>4986</v>
      </c>
      <c r="W535" s="3">
        <v>5046</v>
      </c>
      <c r="X535" s="3">
        <v>4950</v>
      </c>
      <c r="Y535" s="3">
        <v>4922</v>
      </c>
      <c r="Z535" s="3">
        <v>5297</v>
      </c>
      <c r="AA535" s="3">
        <v>3788</v>
      </c>
      <c r="AB535" s="3">
        <v>4800</v>
      </c>
      <c r="AC535" s="3">
        <v>4946</v>
      </c>
      <c r="AD535" s="3">
        <v>5421</v>
      </c>
      <c r="AE535" s="3">
        <v>4668</v>
      </c>
      <c r="AF535" s="3">
        <v>5603</v>
      </c>
      <c r="AG535" s="3">
        <v>5654</v>
      </c>
      <c r="AH535" s="3">
        <v>5922</v>
      </c>
      <c r="AI535" s="3">
        <v>6567</v>
      </c>
      <c r="AJ535" s="3">
        <v>6729</v>
      </c>
      <c r="AK535" s="3">
        <v>8608</v>
      </c>
      <c r="AL535" s="3">
        <v>8956</v>
      </c>
      <c r="AM535" s="3">
        <v>8928</v>
      </c>
      <c r="AN535" s="3">
        <v>9078</v>
      </c>
      <c r="AO535" s="3">
        <v>9001</v>
      </c>
      <c r="AP535" s="3">
        <v>10060</v>
      </c>
      <c r="AQ535" s="3">
        <v>9760</v>
      </c>
      <c r="AR535" s="3">
        <v>10720</v>
      </c>
      <c r="AS535" s="3">
        <v>11121</v>
      </c>
      <c r="AT535" s="3">
        <v>11350</v>
      </c>
      <c r="AU535" s="3">
        <v>13025</v>
      </c>
      <c r="AV535" s="3">
        <v>13234</v>
      </c>
      <c r="AW535" s="3">
        <v>14527</v>
      </c>
      <c r="AX535" s="3">
        <v>14672</v>
      </c>
      <c r="AY535" s="3">
        <v>14258</v>
      </c>
      <c r="AZ535" s="3">
        <v>16110</v>
      </c>
      <c r="BA535" s="3">
        <v>15865</v>
      </c>
      <c r="BB535" s="3">
        <v>17191</v>
      </c>
      <c r="BC535" s="15">
        <v>0</v>
      </c>
    </row>
    <row r="536" spans="1:62" x14ac:dyDescent="0.25">
      <c r="A536" s="14"/>
      <c r="B536" s="6"/>
      <c r="C536" s="6" t="s">
        <v>7</v>
      </c>
      <c r="D536" s="7">
        <v>48</v>
      </c>
      <c r="E536" s="7">
        <v>39</v>
      </c>
      <c r="F536" s="7">
        <v>58</v>
      </c>
      <c r="G536" s="7">
        <v>15</v>
      </c>
      <c r="H536" s="7">
        <v>11</v>
      </c>
      <c r="I536" s="7">
        <v>14</v>
      </c>
      <c r="J536" s="7">
        <v>51</v>
      </c>
      <c r="K536" s="7">
        <v>10</v>
      </c>
      <c r="L536" s="7">
        <v>7</v>
      </c>
      <c r="M536" s="7">
        <v>27</v>
      </c>
      <c r="N536" s="7">
        <v>43</v>
      </c>
      <c r="O536" s="7">
        <v>57</v>
      </c>
      <c r="P536" s="7">
        <v>72</v>
      </c>
      <c r="Q536" s="7">
        <v>189</v>
      </c>
      <c r="R536" s="7">
        <v>81</v>
      </c>
      <c r="S536" s="7">
        <v>64</v>
      </c>
      <c r="T536" s="7">
        <v>81</v>
      </c>
      <c r="U536" s="7">
        <v>106</v>
      </c>
      <c r="V536" s="7">
        <v>115</v>
      </c>
      <c r="W536" s="7">
        <v>83</v>
      </c>
      <c r="X536" s="7">
        <v>70</v>
      </c>
      <c r="Y536" s="7">
        <v>110</v>
      </c>
      <c r="Z536" s="7">
        <v>107</v>
      </c>
      <c r="AA536" s="7">
        <v>179</v>
      </c>
      <c r="AB536" s="7">
        <v>291</v>
      </c>
      <c r="AC536" s="7">
        <v>176</v>
      </c>
      <c r="AD536" s="7">
        <v>110</v>
      </c>
      <c r="AE536" s="7">
        <v>177</v>
      </c>
      <c r="AF536" s="7">
        <v>38</v>
      </c>
      <c r="AG536" s="7">
        <v>11</v>
      </c>
      <c r="AH536" s="7">
        <v>92</v>
      </c>
      <c r="AI536" s="7">
        <v>24</v>
      </c>
      <c r="AJ536" s="7">
        <v>25</v>
      </c>
      <c r="AK536" s="7">
        <v>33</v>
      </c>
      <c r="AL536" s="7">
        <v>6</v>
      </c>
      <c r="AM536" s="7">
        <v>2</v>
      </c>
      <c r="AN536" s="7">
        <v>10</v>
      </c>
      <c r="AO536" s="7">
        <v>0</v>
      </c>
      <c r="AP536" s="7">
        <v>20</v>
      </c>
      <c r="AQ536" s="7">
        <v>0</v>
      </c>
      <c r="AR536" s="7">
        <v>25</v>
      </c>
      <c r="AS536" s="7">
        <v>28</v>
      </c>
      <c r="AT536" s="7">
        <v>25</v>
      </c>
      <c r="AU536" s="7">
        <v>55</v>
      </c>
      <c r="AV536" s="7">
        <v>68</v>
      </c>
      <c r="AW536" s="7">
        <v>50</v>
      </c>
      <c r="AX536" s="7">
        <v>50</v>
      </c>
      <c r="AY536" s="7">
        <v>67</v>
      </c>
      <c r="AZ536" s="7">
        <v>50</v>
      </c>
      <c r="BA536" s="7">
        <v>52</v>
      </c>
      <c r="BB536" s="7">
        <v>50</v>
      </c>
      <c r="BC536" s="13">
        <v>0</v>
      </c>
    </row>
    <row r="537" spans="1:62" s="5" customFormat="1" x14ac:dyDescent="0.25">
      <c r="A537" s="12"/>
      <c r="B537" s="2"/>
      <c r="C537" s="2" t="s">
        <v>8</v>
      </c>
      <c r="D537" s="4">
        <v>0</v>
      </c>
      <c r="E537" s="4">
        <v>0</v>
      </c>
      <c r="F537" s="4">
        <v>0</v>
      </c>
      <c r="G537" s="4">
        <v>0</v>
      </c>
      <c r="H537" s="4">
        <v>1</v>
      </c>
      <c r="I537" s="3">
        <v>3</v>
      </c>
      <c r="J537" s="4">
        <v>4</v>
      </c>
      <c r="K537" s="4">
        <v>0</v>
      </c>
      <c r="L537" s="3">
        <v>2</v>
      </c>
      <c r="M537" s="3">
        <v>1</v>
      </c>
      <c r="N537" s="3">
        <v>0</v>
      </c>
      <c r="O537" s="4">
        <v>0</v>
      </c>
      <c r="P537" s="3">
        <v>0</v>
      </c>
      <c r="Q537" s="3">
        <v>0</v>
      </c>
      <c r="R537" s="3">
        <v>0</v>
      </c>
      <c r="S537" s="3">
        <v>5</v>
      </c>
      <c r="T537" s="3">
        <v>5</v>
      </c>
      <c r="U537" s="3">
        <v>0</v>
      </c>
      <c r="V537" s="3">
        <v>0</v>
      </c>
      <c r="W537" s="3">
        <v>0</v>
      </c>
      <c r="X537" s="3">
        <v>0</v>
      </c>
      <c r="Y537" s="3">
        <v>0</v>
      </c>
      <c r="Z537" s="3">
        <v>0</v>
      </c>
      <c r="AA537" s="3">
        <v>0</v>
      </c>
      <c r="AB537" s="3">
        <v>0</v>
      </c>
      <c r="AC537" s="3">
        <v>0</v>
      </c>
      <c r="AD537" s="4">
        <v>0</v>
      </c>
      <c r="AE537" s="3">
        <v>50</v>
      </c>
      <c r="AF537" s="4">
        <v>0</v>
      </c>
      <c r="AG537" s="3">
        <v>0</v>
      </c>
      <c r="AH537" s="3">
        <v>0</v>
      </c>
      <c r="AI537" s="3">
        <v>0</v>
      </c>
      <c r="AJ537" s="3">
        <v>0</v>
      </c>
      <c r="AK537" s="4">
        <v>0</v>
      </c>
      <c r="AL537" s="4">
        <v>0</v>
      </c>
      <c r="AM537" s="4">
        <v>0</v>
      </c>
      <c r="AN537" s="4">
        <v>0</v>
      </c>
      <c r="AO537" s="3">
        <v>0</v>
      </c>
      <c r="AP537" s="4">
        <v>0</v>
      </c>
      <c r="AQ537" s="4">
        <v>0</v>
      </c>
      <c r="AR537" s="4">
        <v>100</v>
      </c>
      <c r="AS537" s="4">
        <v>50</v>
      </c>
      <c r="AT537" s="4">
        <v>50</v>
      </c>
      <c r="AU537" s="4">
        <v>50</v>
      </c>
      <c r="AV537" s="4">
        <v>50</v>
      </c>
      <c r="AW537" s="4">
        <v>50</v>
      </c>
      <c r="AX537" s="3">
        <v>50</v>
      </c>
      <c r="AY537" s="3">
        <v>50</v>
      </c>
      <c r="AZ537" s="3">
        <v>50</v>
      </c>
      <c r="BA537" s="3">
        <v>50</v>
      </c>
      <c r="BB537" s="3">
        <v>50</v>
      </c>
      <c r="BC537" s="15">
        <v>0</v>
      </c>
    </row>
    <row r="538" spans="1:62" x14ac:dyDescent="0.25">
      <c r="A538" s="14"/>
      <c r="B538" s="6"/>
      <c r="C538" s="6" t="s">
        <v>9</v>
      </c>
      <c r="D538" s="7">
        <v>4723</v>
      </c>
      <c r="E538" s="7">
        <v>4863</v>
      </c>
      <c r="F538" s="7">
        <v>5544</v>
      </c>
      <c r="G538" s="7">
        <v>4742</v>
      </c>
      <c r="H538" s="7">
        <v>4927</v>
      </c>
      <c r="I538" s="8">
        <v>5202</v>
      </c>
      <c r="J538" s="7">
        <v>4193</v>
      </c>
      <c r="K538" s="8">
        <v>4509</v>
      </c>
      <c r="L538" s="8">
        <v>4225</v>
      </c>
      <c r="M538" s="8">
        <v>5114</v>
      </c>
      <c r="N538" s="8">
        <v>5138</v>
      </c>
      <c r="O538" s="8">
        <v>4881</v>
      </c>
      <c r="P538" s="8">
        <v>3364</v>
      </c>
      <c r="Q538" s="8">
        <v>4181</v>
      </c>
      <c r="R538" s="8">
        <v>5982</v>
      </c>
      <c r="S538" s="8">
        <v>4864</v>
      </c>
      <c r="T538" s="8">
        <v>5012</v>
      </c>
      <c r="U538" s="8">
        <v>4938</v>
      </c>
      <c r="V538" s="8">
        <v>5091</v>
      </c>
      <c r="W538" s="8">
        <v>5109</v>
      </c>
      <c r="X538" s="8">
        <v>4990</v>
      </c>
      <c r="Y538" s="8">
        <v>5085</v>
      </c>
      <c r="Z538" s="8">
        <v>5309</v>
      </c>
      <c r="AA538" s="8">
        <v>4088</v>
      </c>
      <c r="AB538" s="8">
        <v>5049</v>
      </c>
      <c r="AC538" s="8">
        <v>4805</v>
      </c>
      <c r="AD538" s="8">
        <v>5531</v>
      </c>
      <c r="AE538" s="8">
        <v>5045</v>
      </c>
      <c r="AF538" s="7">
        <v>5436</v>
      </c>
      <c r="AG538" s="7">
        <v>5640</v>
      </c>
      <c r="AH538" s="8">
        <v>6138</v>
      </c>
      <c r="AI538" s="8">
        <v>6605</v>
      </c>
      <c r="AJ538" s="8">
        <v>6754</v>
      </c>
      <c r="AK538" s="8">
        <v>8643</v>
      </c>
      <c r="AL538" s="8">
        <v>8962</v>
      </c>
      <c r="AM538" s="8">
        <v>8930</v>
      </c>
      <c r="AN538" s="8">
        <v>9088</v>
      </c>
      <c r="AO538" s="8">
        <v>9001</v>
      </c>
      <c r="AP538" s="8">
        <v>10080</v>
      </c>
      <c r="AQ538" s="8">
        <v>9760</v>
      </c>
      <c r="AR538" s="8">
        <v>10645</v>
      </c>
      <c r="AS538" s="8">
        <v>11099</v>
      </c>
      <c r="AT538" s="8">
        <v>11325</v>
      </c>
      <c r="AU538" s="8">
        <v>12985</v>
      </c>
      <c r="AV538" s="8">
        <v>13266</v>
      </c>
      <c r="AW538" s="8">
        <v>14482</v>
      </c>
      <c r="AX538" s="8">
        <v>14651</v>
      </c>
      <c r="AY538" s="8">
        <v>14297</v>
      </c>
      <c r="AZ538" s="8">
        <v>15858</v>
      </c>
      <c r="BA538" s="8">
        <v>16090</v>
      </c>
      <c r="BB538" s="8">
        <v>16903</v>
      </c>
      <c r="BC538" s="13">
        <v>0</v>
      </c>
    </row>
    <row r="539" spans="1:62" s="5" customFormat="1" x14ac:dyDescent="0.25">
      <c r="A539" s="12"/>
      <c r="B539" s="2" t="s">
        <v>14</v>
      </c>
      <c r="C539" s="2" t="s">
        <v>42</v>
      </c>
      <c r="D539" s="4">
        <v>0</v>
      </c>
      <c r="E539" s="4">
        <v>0</v>
      </c>
      <c r="F539" s="4">
        <v>0</v>
      </c>
      <c r="G539" s="3">
        <v>0</v>
      </c>
      <c r="H539" s="4">
        <v>0</v>
      </c>
      <c r="I539" s="3">
        <v>0</v>
      </c>
      <c r="J539" s="3">
        <v>0</v>
      </c>
      <c r="K539" s="4">
        <v>0</v>
      </c>
      <c r="L539" s="4">
        <v>0</v>
      </c>
      <c r="M539" s="4">
        <v>0</v>
      </c>
      <c r="N539" s="4">
        <v>0</v>
      </c>
      <c r="O539" s="4">
        <v>0</v>
      </c>
      <c r="P539" s="3">
        <v>30</v>
      </c>
      <c r="Q539" s="3">
        <v>50</v>
      </c>
      <c r="R539" s="3">
        <v>145</v>
      </c>
      <c r="S539" s="3">
        <v>144</v>
      </c>
      <c r="T539" s="3">
        <v>172</v>
      </c>
      <c r="U539" s="3">
        <v>182</v>
      </c>
      <c r="V539" s="3">
        <v>208</v>
      </c>
      <c r="W539" s="3">
        <v>265</v>
      </c>
      <c r="X539" s="3">
        <v>305</v>
      </c>
      <c r="Y539" s="3">
        <v>353</v>
      </c>
      <c r="Z539" s="3">
        <v>385</v>
      </c>
      <c r="AA539" s="3">
        <v>304</v>
      </c>
      <c r="AB539" s="3">
        <v>309</v>
      </c>
      <c r="AC539" s="3">
        <v>329</v>
      </c>
      <c r="AD539" s="3">
        <v>323</v>
      </c>
      <c r="AE539" s="3">
        <v>343</v>
      </c>
      <c r="AF539" s="3">
        <v>347</v>
      </c>
      <c r="AG539" s="4">
        <v>366</v>
      </c>
      <c r="AH539" s="3">
        <v>369</v>
      </c>
      <c r="AI539" s="3">
        <v>396</v>
      </c>
      <c r="AJ539" s="3">
        <v>370</v>
      </c>
      <c r="AK539" s="3">
        <v>406</v>
      </c>
      <c r="AL539" s="3">
        <v>381</v>
      </c>
      <c r="AM539" s="3">
        <v>327</v>
      </c>
      <c r="AN539" s="3">
        <v>333</v>
      </c>
      <c r="AO539" s="3">
        <v>306</v>
      </c>
      <c r="AP539" s="3">
        <v>329</v>
      </c>
      <c r="AQ539" s="3">
        <v>389</v>
      </c>
      <c r="AR539" s="3">
        <v>439</v>
      </c>
      <c r="AS539" s="3">
        <v>449</v>
      </c>
      <c r="AT539" s="3">
        <v>390</v>
      </c>
      <c r="AU539" s="3">
        <v>343</v>
      </c>
      <c r="AV539" s="3">
        <v>315</v>
      </c>
      <c r="AW539" s="3">
        <v>429</v>
      </c>
      <c r="AX539" s="3">
        <v>409</v>
      </c>
      <c r="AY539" s="3">
        <v>429</v>
      </c>
      <c r="AZ539" s="3">
        <v>432</v>
      </c>
      <c r="BA539" s="3">
        <v>447</v>
      </c>
      <c r="BB539" s="24">
        <v>467</v>
      </c>
      <c r="BC539" s="21">
        <f t="shared" ref="BC539:BH539" si="144">AW567/AX$83</f>
        <v>18.075528323121169</v>
      </c>
      <c r="BD539" s="21">
        <f t="shared" si="144"/>
        <v>24.246308328411104</v>
      </c>
      <c r="BE539" s="21">
        <f t="shared" si="144"/>
        <v>25.470404497891614</v>
      </c>
      <c r="BF539" s="21">
        <f t="shared" si="144"/>
        <v>20.198147628403031</v>
      </c>
      <c r="BG539" s="21">
        <f t="shared" si="144"/>
        <v>23.609076923076923</v>
      </c>
      <c r="BH539" s="21" t="e">
        <f t="shared" si="144"/>
        <v>#DIV/0!</v>
      </c>
      <c r="BJ539" s="23" t="e">
        <f>AVERAGE(BF539,BG539,BH539)</f>
        <v>#DIV/0!</v>
      </c>
    </row>
    <row r="540" spans="1:62" x14ac:dyDescent="0.25">
      <c r="A540" s="12"/>
      <c r="B540" s="6"/>
      <c r="C540" s="6" t="s">
        <v>45</v>
      </c>
      <c r="D540" s="7">
        <v>0</v>
      </c>
      <c r="E540" s="7">
        <v>0</v>
      </c>
      <c r="F540" s="7">
        <v>0</v>
      </c>
      <c r="G540" s="7">
        <v>0</v>
      </c>
      <c r="H540" s="7">
        <v>0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0</v>
      </c>
      <c r="O540" s="7">
        <v>0</v>
      </c>
      <c r="P540" s="7">
        <v>175</v>
      </c>
      <c r="Q540" s="7">
        <v>345</v>
      </c>
      <c r="R540" s="7">
        <v>361</v>
      </c>
      <c r="S540" s="7">
        <v>411</v>
      </c>
      <c r="T540" s="7">
        <v>587</v>
      </c>
      <c r="U540" s="7">
        <v>783</v>
      </c>
      <c r="V540" s="7">
        <v>809</v>
      </c>
      <c r="W540" s="7">
        <v>911</v>
      </c>
      <c r="X540" s="7">
        <v>1164</v>
      </c>
      <c r="Y540" s="7">
        <v>1240</v>
      </c>
      <c r="Z540" s="7">
        <v>1194</v>
      </c>
      <c r="AA540" s="7">
        <v>910</v>
      </c>
      <c r="AB540" s="7">
        <v>982</v>
      </c>
      <c r="AC540" s="7">
        <v>970</v>
      </c>
      <c r="AD540" s="7">
        <v>975</v>
      </c>
      <c r="AE540" s="7">
        <v>887</v>
      </c>
      <c r="AF540" s="7">
        <v>800</v>
      </c>
      <c r="AG540" s="7">
        <v>804</v>
      </c>
      <c r="AH540" s="7">
        <v>913</v>
      </c>
      <c r="AI540" s="7">
        <v>991</v>
      </c>
      <c r="AJ540" s="7">
        <v>890</v>
      </c>
      <c r="AK540" s="7">
        <v>977</v>
      </c>
      <c r="AL540" s="7">
        <v>961</v>
      </c>
      <c r="AM540" s="7">
        <v>1038</v>
      </c>
      <c r="AN540" s="7">
        <v>1127</v>
      </c>
      <c r="AO540" s="7">
        <v>1354</v>
      </c>
      <c r="AP540" s="7">
        <v>1309</v>
      </c>
      <c r="AQ540" s="7">
        <v>1546</v>
      </c>
      <c r="AR540" s="7">
        <v>1411</v>
      </c>
      <c r="AS540" s="7">
        <v>1725</v>
      </c>
      <c r="AT540" s="7">
        <v>2196</v>
      </c>
      <c r="AU540" s="7">
        <v>2310</v>
      </c>
      <c r="AV540" s="7">
        <v>2401</v>
      </c>
      <c r="AW540" s="7">
        <v>2169</v>
      </c>
      <c r="AX540" s="7">
        <v>2474</v>
      </c>
      <c r="AY540" s="7">
        <v>2732</v>
      </c>
      <c r="AZ540" s="7">
        <v>2354</v>
      </c>
      <c r="BA540" s="7">
        <v>2444</v>
      </c>
      <c r="BB540" s="15">
        <v>2598</v>
      </c>
      <c r="BC540" s="21">
        <f t="shared" ref="BC540:BH540" si="145">AW568/AX$63</f>
        <v>86.90679611650485</v>
      </c>
      <c r="BD540" s="21">
        <f t="shared" si="145"/>
        <v>265.26829268292681</v>
      </c>
      <c r="BE540" s="21">
        <f t="shared" si="145"/>
        <v>909.74</v>
      </c>
      <c r="BF540" s="21">
        <f t="shared" si="145"/>
        <v>313.15894039735099</v>
      </c>
      <c r="BG540" s="21">
        <f t="shared" si="145"/>
        <v>79.090769230769226</v>
      </c>
      <c r="BH540" s="21" t="e">
        <f t="shared" si="145"/>
        <v>#DIV/0!</v>
      </c>
      <c r="BI540" s="5"/>
      <c r="BJ540" s="23" t="e">
        <f>AVERAGE(BF540,BG540,BH540)</f>
        <v>#DIV/0!</v>
      </c>
    </row>
    <row r="541" spans="1:62" s="5" customFormat="1" x14ac:dyDescent="0.25">
      <c r="A541" s="12"/>
      <c r="B541" s="2"/>
      <c r="C541" s="2" t="s">
        <v>44</v>
      </c>
      <c r="D541" s="4">
        <v>0</v>
      </c>
      <c r="E541" s="4">
        <v>0</v>
      </c>
      <c r="F541" s="4">
        <v>0</v>
      </c>
      <c r="G541" s="4">
        <v>0</v>
      </c>
      <c r="H541" s="4">
        <v>0</v>
      </c>
      <c r="I541" s="4">
        <v>0</v>
      </c>
      <c r="J541" s="4">
        <v>0</v>
      </c>
      <c r="K541" s="4">
        <v>0</v>
      </c>
      <c r="L541" s="4">
        <v>0</v>
      </c>
      <c r="M541" s="4">
        <v>0</v>
      </c>
      <c r="N541" s="4">
        <v>0</v>
      </c>
      <c r="O541" s="4">
        <v>0</v>
      </c>
      <c r="P541" s="4">
        <v>0</v>
      </c>
      <c r="Q541" s="4">
        <v>0</v>
      </c>
      <c r="R541" s="4">
        <v>0</v>
      </c>
      <c r="S541" s="4">
        <v>0</v>
      </c>
      <c r="T541" s="4">
        <v>1</v>
      </c>
      <c r="U541" s="4">
        <v>20</v>
      </c>
      <c r="V541" s="4">
        <v>4</v>
      </c>
      <c r="W541" s="4">
        <v>36</v>
      </c>
      <c r="X541" s="4">
        <v>53</v>
      </c>
      <c r="Y541" s="4">
        <v>78</v>
      </c>
      <c r="Z541" s="4">
        <v>175</v>
      </c>
      <c r="AA541" s="4">
        <v>31</v>
      </c>
      <c r="AB541" s="4">
        <v>21</v>
      </c>
      <c r="AC541" s="4">
        <v>70</v>
      </c>
      <c r="AD541" s="4">
        <v>30</v>
      </c>
      <c r="AE541" s="4">
        <v>37</v>
      </c>
      <c r="AF541" s="4">
        <v>20</v>
      </c>
      <c r="AG541" s="4">
        <v>45</v>
      </c>
      <c r="AH541" s="4">
        <v>43</v>
      </c>
      <c r="AI541" s="4">
        <v>46</v>
      </c>
      <c r="AJ541" s="4">
        <v>45</v>
      </c>
      <c r="AK541" s="4">
        <v>50</v>
      </c>
      <c r="AL541" s="4">
        <v>50</v>
      </c>
      <c r="AM541" s="4">
        <v>17</v>
      </c>
      <c r="AN541" s="4">
        <v>28</v>
      </c>
      <c r="AO541" s="4">
        <v>35</v>
      </c>
      <c r="AP541" s="4">
        <v>44</v>
      </c>
      <c r="AQ541" s="4">
        <v>67</v>
      </c>
      <c r="AR541" s="4">
        <v>200</v>
      </c>
      <c r="AS541" s="4">
        <v>238</v>
      </c>
      <c r="AT541" s="4">
        <v>451</v>
      </c>
      <c r="AU541" s="4">
        <v>416</v>
      </c>
      <c r="AV541" s="4">
        <v>404</v>
      </c>
      <c r="AW541" s="4">
        <v>164</v>
      </c>
      <c r="AX541" s="4">
        <v>386</v>
      </c>
      <c r="AY541" s="4">
        <v>446</v>
      </c>
      <c r="AZ541" s="4">
        <v>288</v>
      </c>
      <c r="BA541" s="4">
        <v>314</v>
      </c>
      <c r="BB541" s="13">
        <v>359</v>
      </c>
      <c r="BC541" s="21">
        <f t="shared" ref="BC541:BH541" si="146">AW569/AX$42</f>
        <v>426.18803418803418</v>
      </c>
      <c r="BD541" s="21">
        <f t="shared" si="146"/>
        <v>3956.8461538461538</v>
      </c>
      <c r="BE541" s="21">
        <f t="shared" si="146"/>
        <v>1171.25</v>
      </c>
      <c r="BF541" s="21">
        <f t="shared" si="146"/>
        <v>344.22535211267603</v>
      </c>
      <c r="BG541" s="21">
        <f t="shared" si="146"/>
        <v>85.20888157894737</v>
      </c>
      <c r="BH541" s="21" t="e">
        <f t="shared" si="146"/>
        <v>#DIV/0!</v>
      </c>
      <c r="BI541"/>
      <c r="BJ541" s="23" t="e">
        <f>AVERAGE(BF541,BG541,BH541)</f>
        <v>#DIV/0!</v>
      </c>
    </row>
    <row r="542" spans="1:62" ht="30" x14ac:dyDescent="0.25">
      <c r="A542" s="12"/>
      <c r="C542" s="6" t="s">
        <v>43</v>
      </c>
      <c r="D542" s="7">
        <v>0</v>
      </c>
      <c r="E542" s="7">
        <v>0</v>
      </c>
      <c r="F542" s="7">
        <v>0</v>
      </c>
      <c r="G542" s="7">
        <v>0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8">
        <v>0</v>
      </c>
      <c r="Q542" s="8">
        <v>492</v>
      </c>
      <c r="R542" s="7">
        <v>519</v>
      </c>
      <c r="S542" s="8">
        <v>542</v>
      </c>
      <c r="T542" s="7">
        <v>761</v>
      </c>
      <c r="U542" s="7">
        <v>939</v>
      </c>
      <c r="V542" s="8">
        <v>997</v>
      </c>
      <c r="W542" s="8">
        <v>1151</v>
      </c>
      <c r="X542" s="8">
        <v>1392</v>
      </c>
      <c r="Y542" s="7">
        <v>1501</v>
      </c>
      <c r="Z542" s="7">
        <v>1419</v>
      </c>
      <c r="AA542" s="8">
        <v>1211</v>
      </c>
      <c r="AB542" s="8">
        <v>1267</v>
      </c>
      <c r="AC542" s="8">
        <v>1199</v>
      </c>
      <c r="AD542" s="8">
        <v>1230</v>
      </c>
      <c r="AE542" s="8">
        <v>1169</v>
      </c>
      <c r="AF542" s="7">
        <v>1133</v>
      </c>
      <c r="AG542" s="7">
        <v>1128</v>
      </c>
      <c r="AH542" s="7">
        <v>1225</v>
      </c>
      <c r="AI542" s="8">
        <v>1272</v>
      </c>
      <c r="AJ542" s="8">
        <v>1292</v>
      </c>
      <c r="AK542" s="8">
        <v>1277</v>
      </c>
      <c r="AL542" s="8">
        <v>1310</v>
      </c>
      <c r="AM542" s="8">
        <v>1384</v>
      </c>
      <c r="AN542" s="8">
        <v>1448</v>
      </c>
      <c r="AO542" s="8">
        <v>1607</v>
      </c>
      <c r="AP542" s="8">
        <v>1581</v>
      </c>
      <c r="AQ542" s="8">
        <v>1690</v>
      </c>
      <c r="AR542" s="8">
        <v>1719</v>
      </c>
      <c r="AS542" s="8">
        <v>1919</v>
      </c>
      <c r="AT542" s="8">
        <v>2098</v>
      </c>
      <c r="AU542" s="8">
        <v>2270</v>
      </c>
      <c r="AV542" s="8">
        <v>2304</v>
      </c>
      <c r="AW542" s="8">
        <v>2384</v>
      </c>
      <c r="AX542" s="8">
        <v>2472</v>
      </c>
      <c r="AY542" s="8">
        <v>2588</v>
      </c>
      <c r="AZ542" s="8">
        <v>2414</v>
      </c>
      <c r="BA542" s="8">
        <v>2566</v>
      </c>
      <c r="BB542" s="25">
        <v>2640</v>
      </c>
      <c r="BC542" s="20">
        <f t="shared" ref="BC542:BH542" si="147">AW570/AX$25</f>
        <v>82.93801169590644</v>
      </c>
      <c r="BD542" s="20">
        <f t="shared" si="147"/>
        <v>83.79442896935933</v>
      </c>
      <c r="BE542" s="20">
        <f t="shared" si="147"/>
        <v>87.521965317919069</v>
      </c>
      <c r="BF542" s="20">
        <f t="shared" si="147"/>
        <v>88.356069364161854</v>
      </c>
      <c r="BG542" s="20">
        <f t="shared" si="147"/>
        <v>87.554545454545448</v>
      </c>
      <c r="BH542" s="20">
        <f t="shared" si="147"/>
        <v>158202</v>
      </c>
      <c r="BJ542" s="23">
        <f>AVERAGE(BF542,BG542,BH542)</f>
        <v>52792.636871606235</v>
      </c>
    </row>
    <row r="543" spans="1:62" x14ac:dyDescent="0.25">
      <c r="A543" s="14"/>
      <c r="B543" s="6" t="s">
        <v>15</v>
      </c>
      <c r="C543" s="6" t="s">
        <v>6</v>
      </c>
      <c r="D543" s="8">
        <v>0</v>
      </c>
      <c r="E543" s="8">
        <v>0</v>
      </c>
      <c r="F543" s="8">
        <v>0</v>
      </c>
      <c r="G543" s="8">
        <v>0</v>
      </c>
      <c r="H543" s="8">
        <v>0</v>
      </c>
      <c r="I543" s="8">
        <v>0</v>
      </c>
      <c r="J543" s="8">
        <v>0</v>
      </c>
      <c r="K543" s="8">
        <v>0</v>
      </c>
      <c r="L543" s="8">
        <v>5</v>
      </c>
      <c r="M543" s="8">
        <v>6</v>
      </c>
      <c r="N543" s="8">
        <v>6</v>
      </c>
      <c r="O543" s="8">
        <v>7</v>
      </c>
      <c r="P543" s="8">
        <v>6</v>
      </c>
      <c r="Q543" s="8">
        <v>4</v>
      </c>
      <c r="R543" s="8">
        <v>6</v>
      </c>
      <c r="S543" s="8">
        <v>18</v>
      </c>
      <c r="T543" s="8">
        <v>20</v>
      </c>
      <c r="U543" s="8">
        <v>21</v>
      </c>
      <c r="V543" s="8">
        <v>22</v>
      </c>
      <c r="W543" s="8">
        <v>23</v>
      </c>
      <c r="X543" s="8">
        <v>24</v>
      </c>
      <c r="Y543" s="8">
        <v>25</v>
      </c>
      <c r="Z543" s="8">
        <v>30</v>
      </c>
      <c r="AA543" s="8">
        <v>35</v>
      </c>
      <c r="AB543" s="8">
        <v>42</v>
      </c>
      <c r="AC543" s="8">
        <v>10</v>
      </c>
      <c r="AD543" s="8">
        <v>15</v>
      </c>
      <c r="AE543" s="8">
        <v>30</v>
      </c>
      <c r="AF543" s="8">
        <v>50</v>
      </c>
      <c r="AG543" s="8">
        <v>60</v>
      </c>
      <c r="AH543" s="8">
        <v>50</v>
      </c>
      <c r="AI543" s="8">
        <v>60</v>
      </c>
      <c r="AJ543" s="8">
        <v>40</v>
      </c>
      <c r="AK543" s="8">
        <v>30</v>
      </c>
      <c r="AL543" s="8">
        <v>30</v>
      </c>
      <c r="AM543" s="8">
        <v>50</v>
      </c>
      <c r="AN543" s="8">
        <v>35</v>
      </c>
      <c r="AO543" s="8">
        <v>20</v>
      </c>
      <c r="AP543" s="8">
        <v>40</v>
      </c>
      <c r="AQ543" s="8">
        <v>45</v>
      </c>
      <c r="AR543" s="8">
        <v>45</v>
      </c>
      <c r="AS543" s="8">
        <v>50</v>
      </c>
      <c r="AT543" s="8">
        <v>75</v>
      </c>
      <c r="AU543" s="8">
        <v>60</v>
      </c>
      <c r="AV543" s="8">
        <v>70</v>
      </c>
      <c r="AW543" s="8">
        <v>85</v>
      </c>
      <c r="AX543" s="8">
        <v>100</v>
      </c>
      <c r="AY543" s="8">
        <v>100</v>
      </c>
      <c r="AZ543" s="8">
        <v>100</v>
      </c>
      <c r="BA543" s="8">
        <v>100</v>
      </c>
      <c r="BB543" s="8">
        <v>100</v>
      </c>
      <c r="BC543" s="13">
        <v>0</v>
      </c>
    </row>
    <row r="544" spans="1:62" s="5" customFormat="1" x14ac:dyDescent="0.25">
      <c r="A544" s="12"/>
      <c r="B544" s="2"/>
      <c r="C544" s="2" t="s">
        <v>7</v>
      </c>
      <c r="D544" s="4">
        <v>276</v>
      </c>
      <c r="E544" s="4">
        <v>288</v>
      </c>
      <c r="F544" s="4">
        <v>268</v>
      </c>
      <c r="G544" s="4">
        <v>247</v>
      </c>
      <c r="H544" s="4">
        <v>336</v>
      </c>
      <c r="I544" s="4">
        <v>421</v>
      </c>
      <c r="J544" s="4">
        <v>499</v>
      </c>
      <c r="K544" s="4">
        <v>411</v>
      </c>
      <c r="L544" s="4">
        <v>421</v>
      </c>
      <c r="M544" s="4">
        <v>635</v>
      </c>
      <c r="N544" s="4">
        <v>841</v>
      </c>
      <c r="O544" s="4">
        <v>760</v>
      </c>
      <c r="P544" s="4">
        <v>791</v>
      </c>
      <c r="Q544" s="4">
        <v>708</v>
      </c>
      <c r="R544" s="4">
        <v>756</v>
      </c>
      <c r="S544" s="4">
        <v>914</v>
      </c>
      <c r="T544" s="4">
        <v>1278</v>
      </c>
      <c r="U544" s="4">
        <v>1643</v>
      </c>
      <c r="V544" s="4">
        <v>1850</v>
      </c>
      <c r="W544" s="4">
        <v>1905</v>
      </c>
      <c r="X544" s="4">
        <v>1983</v>
      </c>
      <c r="Y544" s="4">
        <v>2163</v>
      </c>
      <c r="Z544" s="4">
        <v>2163</v>
      </c>
      <c r="AA544" s="4">
        <v>2364</v>
      </c>
      <c r="AB544" s="4">
        <v>2476</v>
      </c>
      <c r="AC544" s="4">
        <v>2003</v>
      </c>
      <c r="AD544" s="4">
        <v>1753</v>
      </c>
      <c r="AE544" s="4">
        <v>1213</v>
      </c>
      <c r="AF544" s="4">
        <v>1218</v>
      </c>
      <c r="AG544" s="4">
        <v>1207</v>
      </c>
      <c r="AH544" s="4">
        <v>1729</v>
      </c>
      <c r="AI544" s="4">
        <v>1667</v>
      </c>
      <c r="AJ544" s="4">
        <v>1837</v>
      </c>
      <c r="AK544" s="4">
        <v>1893</v>
      </c>
      <c r="AL544" s="4">
        <v>1690</v>
      </c>
      <c r="AM544" s="4">
        <v>1619</v>
      </c>
      <c r="AN544" s="4">
        <v>2270</v>
      </c>
      <c r="AO544" s="4">
        <v>2515</v>
      </c>
      <c r="AP544" s="4">
        <v>2934</v>
      </c>
      <c r="AQ544" s="4">
        <v>2547</v>
      </c>
      <c r="AR544" s="4">
        <v>3406</v>
      </c>
      <c r="AS544" s="4">
        <v>4023</v>
      </c>
      <c r="AT544" s="4">
        <v>3895</v>
      </c>
      <c r="AU544" s="4">
        <v>3700</v>
      </c>
      <c r="AV544" s="4">
        <v>4798</v>
      </c>
      <c r="AW544" s="4">
        <v>5568</v>
      </c>
      <c r="AX544" s="4">
        <v>4892</v>
      </c>
      <c r="AY544" s="4">
        <v>4409</v>
      </c>
      <c r="AZ544" s="4">
        <v>5380</v>
      </c>
      <c r="BA544" s="4">
        <v>6446</v>
      </c>
      <c r="BB544" s="4">
        <v>5700</v>
      </c>
      <c r="BC544" s="15">
        <v>0</v>
      </c>
    </row>
    <row r="545" spans="1:55" x14ac:dyDescent="0.25">
      <c r="A545" s="14"/>
      <c r="B545" s="6"/>
      <c r="C545" s="6" t="s">
        <v>8</v>
      </c>
      <c r="D545" s="8">
        <v>19</v>
      </c>
      <c r="E545" s="8">
        <v>21</v>
      </c>
      <c r="F545" s="8">
        <v>22</v>
      </c>
      <c r="G545" s="8">
        <v>22</v>
      </c>
      <c r="H545" s="8">
        <v>52</v>
      </c>
      <c r="I545" s="8">
        <v>28</v>
      </c>
      <c r="J545" s="8">
        <v>29</v>
      </c>
      <c r="K545" s="8">
        <v>14</v>
      </c>
      <c r="L545" s="8">
        <v>24</v>
      </c>
      <c r="M545" s="8">
        <v>30</v>
      </c>
      <c r="N545" s="7">
        <v>19</v>
      </c>
      <c r="O545" s="8">
        <v>16</v>
      </c>
      <c r="P545" s="8">
        <v>0</v>
      </c>
      <c r="Q545" s="8">
        <v>0</v>
      </c>
      <c r="R545" s="8">
        <v>0</v>
      </c>
      <c r="S545" s="8">
        <v>0</v>
      </c>
      <c r="T545" s="8">
        <v>0</v>
      </c>
      <c r="U545" s="8">
        <v>26</v>
      </c>
      <c r="V545" s="8">
        <v>0</v>
      </c>
      <c r="W545" s="8">
        <v>0</v>
      </c>
      <c r="X545" s="8">
        <v>0</v>
      </c>
      <c r="Y545" s="8">
        <v>0</v>
      </c>
      <c r="Z545" s="8">
        <v>0</v>
      </c>
      <c r="AA545" s="8">
        <v>0</v>
      </c>
      <c r="AB545" s="8">
        <v>0</v>
      </c>
      <c r="AC545" s="8">
        <v>0</v>
      </c>
      <c r="AD545" s="8">
        <v>0</v>
      </c>
      <c r="AE545" s="8">
        <v>0</v>
      </c>
      <c r="AF545" s="8">
        <v>0</v>
      </c>
      <c r="AG545" s="8">
        <v>0</v>
      </c>
      <c r="AH545" s="8">
        <v>0</v>
      </c>
      <c r="AI545" s="8">
        <v>0</v>
      </c>
      <c r="AJ545" s="8">
        <v>0</v>
      </c>
      <c r="AK545" s="8">
        <v>0</v>
      </c>
      <c r="AL545" s="8">
        <v>0</v>
      </c>
      <c r="AM545" s="8">
        <v>0</v>
      </c>
      <c r="AN545" s="8">
        <v>0</v>
      </c>
      <c r="AO545" s="8">
        <v>0</v>
      </c>
      <c r="AP545" s="8">
        <v>0</v>
      </c>
      <c r="AQ545" s="8">
        <v>0</v>
      </c>
      <c r="AR545" s="8">
        <v>0</v>
      </c>
      <c r="AS545" s="8">
        <v>0</v>
      </c>
      <c r="AT545" s="8">
        <v>0</v>
      </c>
      <c r="AU545" s="8">
        <v>0</v>
      </c>
      <c r="AV545" s="8">
        <v>0</v>
      </c>
      <c r="AW545" s="8">
        <v>60</v>
      </c>
      <c r="AX545" s="8">
        <v>85</v>
      </c>
      <c r="AY545" s="8">
        <v>58</v>
      </c>
      <c r="AZ545" s="8">
        <v>138</v>
      </c>
      <c r="BA545" s="8">
        <v>171</v>
      </c>
      <c r="BB545" s="8">
        <v>175</v>
      </c>
      <c r="BC545" s="13">
        <v>0</v>
      </c>
    </row>
    <row r="546" spans="1:55" s="5" customFormat="1" ht="15.75" thickBot="1" x14ac:dyDescent="0.3">
      <c r="A546" s="12"/>
      <c r="B546" s="2"/>
      <c r="C546" s="2" t="s">
        <v>9</v>
      </c>
      <c r="D546" s="3">
        <v>257</v>
      </c>
      <c r="E546" s="3">
        <v>267</v>
      </c>
      <c r="F546" s="3">
        <v>246</v>
      </c>
      <c r="G546" s="3">
        <v>225</v>
      </c>
      <c r="H546" s="3">
        <v>284</v>
      </c>
      <c r="I546" s="3">
        <v>383</v>
      </c>
      <c r="J546" s="3">
        <v>460</v>
      </c>
      <c r="K546" s="3">
        <v>398</v>
      </c>
      <c r="L546" s="3">
        <v>398</v>
      </c>
      <c r="M546" s="3">
        <v>598</v>
      </c>
      <c r="N546" s="3">
        <v>825</v>
      </c>
      <c r="O546" s="3">
        <v>727</v>
      </c>
      <c r="P546" s="3">
        <v>790</v>
      </c>
      <c r="Q546" s="3">
        <v>725</v>
      </c>
      <c r="R546" s="3">
        <v>778</v>
      </c>
      <c r="S546" s="3">
        <v>913</v>
      </c>
      <c r="T546" s="3">
        <v>1268</v>
      </c>
      <c r="U546" s="3">
        <v>1606</v>
      </c>
      <c r="V546" s="3">
        <v>1820</v>
      </c>
      <c r="W546" s="3">
        <v>1946</v>
      </c>
      <c r="X546" s="3">
        <v>2012</v>
      </c>
      <c r="Y546" s="3">
        <v>2183</v>
      </c>
      <c r="Z546" s="3">
        <v>2228</v>
      </c>
      <c r="AA546" s="3">
        <v>2364</v>
      </c>
      <c r="AB546" s="3">
        <v>2500</v>
      </c>
      <c r="AC546" s="3">
        <v>2057</v>
      </c>
      <c r="AD546" s="3">
        <v>1673</v>
      </c>
      <c r="AE546" s="3">
        <v>1406</v>
      </c>
      <c r="AF546" s="3">
        <v>1273</v>
      </c>
      <c r="AG546" s="3">
        <v>1279</v>
      </c>
      <c r="AH546" s="3">
        <v>1759</v>
      </c>
      <c r="AI546" s="3">
        <v>1727</v>
      </c>
      <c r="AJ546" s="3">
        <v>1797</v>
      </c>
      <c r="AK546" s="3">
        <v>1868</v>
      </c>
      <c r="AL546" s="3">
        <v>1845</v>
      </c>
      <c r="AM546" s="3">
        <v>1669</v>
      </c>
      <c r="AN546" s="3">
        <v>2305</v>
      </c>
      <c r="AO546" s="3">
        <v>2535</v>
      </c>
      <c r="AP546" s="3">
        <v>2824</v>
      </c>
      <c r="AQ546" s="3">
        <v>2592</v>
      </c>
      <c r="AR546" s="3">
        <v>3451</v>
      </c>
      <c r="AS546" s="3">
        <v>4073</v>
      </c>
      <c r="AT546" s="3">
        <v>3970</v>
      </c>
      <c r="AU546" s="3">
        <v>3760</v>
      </c>
      <c r="AV546" s="3">
        <v>4868</v>
      </c>
      <c r="AW546" s="3">
        <v>5596</v>
      </c>
      <c r="AX546" s="3">
        <v>4903</v>
      </c>
      <c r="AY546" s="3">
        <v>4493</v>
      </c>
      <c r="AZ546" s="3">
        <v>5281</v>
      </c>
      <c r="BA546" s="3">
        <v>6199</v>
      </c>
      <c r="BB546" s="3">
        <v>5675</v>
      </c>
      <c r="BC546" s="19">
        <v>0</v>
      </c>
    </row>
    <row r="547" spans="1:55" x14ac:dyDescent="0.25">
      <c r="A547" s="14" t="s">
        <v>35</v>
      </c>
      <c r="B547" s="6" t="s">
        <v>5</v>
      </c>
      <c r="C547" s="6" t="s">
        <v>6</v>
      </c>
      <c r="D547" s="8">
        <v>199576</v>
      </c>
      <c r="E547" s="8">
        <v>207786</v>
      </c>
      <c r="F547" s="8">
        <v>207267</v>
      </c>
      <c r="G547" s="8">
        <v>217054</v>
      </c>
      <c r="H547" s="8">
        <v>215389</v>
      </c>
      <c r="I547" s="8">
        <v>225485</v>
      </c>
      <c r="J547" s="8">
        <v>250080</v>
      </c>
      <c r="K547" s="8">
        <v>262164</v>
      </c>
      <c r="L547" s="8">
        <v>252496</v>
      </c>
      <c r="M547" s="8">
        <v>270038</v>
      </c>
      <c r="N547" s="8">
        <v>268078</v>
      </c>
      <c r="O547" s="8">
        <v>308500</v>
      </c>
      <c r="P547" s="8">
        <v>301447</v>
      </c>
      <c r="Q547" s="8">
        <v>330523</v>
      </c>
      <c r="R547" s="8">
        <v>299781</v>
      </c>
      <c r="S547" s="8">
        <v>339215</v>
      </c>
      <c r="T547" s="8">
        <v>356140</v>
      </c>
      <c r="U547" s="8">
        <v>365441</v>
      </c>
      <c r="V547" s="8">
        <v>392120</v>
      </c>
      <c r="W547" s="8">
        <v>425566</v>
      </c>
      <c r="X547" s="8">
        <v>408734</v>
      </c>
      <c r="Y547" s="8">
        <v>441753</v>
      </c>
      <c r="Z547" s="8">
        <v>439869</v>
      </c>
      <c r="AA547" s="8">
        <v>348272</v>
      </c>
      <c r="AB547" s="8">
        <v>458366</v>
      </c>
      <c r="AC547" s="8">
        <v>479020</v>
      </c>
      <c r="AD547" s="8">
        <v>475444</v>
      </c>
      <c r="AE547" s="8">
        <v>450997</v>
      </c>
      <c r="AF547" s="8">
        <v>400413</v>
      </c>
      <c r="AG547" s="8">
        <v>461690</v>
      </c>
      <c r="AH547" s="8">
        <v>481963</v>
      </c>
      <c r="AI547" s="8">
        <v>492950</v>
      </c>
      <c r="AJ547" s="8">
        <v>535605</v>
      </c>
      <c r="AK547" s="8">
        <v>475773</v>
      </c>
      <c r="AL547" s="8">
        <v>559332</v>
      </c>
      <c r="AM547" s="8">
        <v>516371</v>
      </c>
      <c r="AN547" s="8">
        <v>592999</v>
      </c>
      <c r="AO547" s="8">
        <v>574435</v>
      </c>
      <c r="AP547" s="8">
        <v>605973</v>
      </c>
      <c r="AQ547" s="8">
        <v>608069</v>
      </c>
      <c r="AR547" s="8">
        <v>591361</v>
      </c>
      <c r="AS547" s="8">
        <v>601366</v>
      </c>
      <c r="AT547" s="8">
        <v>603020</v>
      </c>
      <c r="AU547" s="8">
        <v>627400</v>
      </c>
      <c r="AV547" s="8">
        <v>715665</v>
      </c>
      <c r="AW547" s="8">
        <v>699458</v>
      </c>
      <c r="AX547" s="8">
        <v>713571</v>
      </c>
      <c r="AY547" s="8">
        <v>794472</v>
      </c>
      <c r="AZ547" s="8">
        <v>798824</v>
      </c>
      <c r="BA547" s="8">
        <v>812427</v>
      </c>
      <c r="BB547" s="8">
        <v>814941</v>
      </c>
    </row>
    <row r="548" spans="1:55" x14ac:dyDescent="0.25">
      <c r="A548" s="12"/>
      <c r="B548" s="2"/>
      <c r="C548" s="2" t="s">
        <v>7</v>
      </c>
      <c r="D548" s="3">
        <v>12822</v>
      </c>
      <c r="E548" s="3">
        <v>17127</v>
      </c>
      <c r="F548" s="3">
        <v>19772</v>
      </c>
      <c r="G548" s="3">
        <v>22285</v>
      </c>
      <c r="H548" s="3">
        <v>21432</v>
      </c>
      <c r="I548" s="3">
        <v>25359</v>
      </c>
      <c r="J548" s="3">
        <v>25424</v>
      </c>
      <c r="K548" s="3">
        <v>27905</v>
      </c>
      <c r="L548" s="3">
        <v>27726</v>
      </c>
      <c r="M548" s="3">
        <v>28169</v>
      </c>
      <c r="N548" s="3">
        <v>28392</v>
      </c>
      <c r="O548" s="3">
        <v>32903</v>
      </c>
      <c r="P548" s="3">
        <v>37788</v>
      </c>
      <c r="Q548" s="3">
        <v>44706</v>
      </c>
      <c r="R548" s="3">
        <v>40204</v>
      </c>
      <c r="S548" s="3">
        <v>52434</v>
      </c>
      <c r="T548" s="3">
        <v>53063</v>
      </c>
      <c r="U548" s="3">
        <v>58364</v>
      </c>
      <c r="V548" s="3">
        <v>65143</v>
      </c>
      <c r="W548" s="3">
        <v>75433</v>
      </c>
      <c r="X548" s="3">
        <v>74263</v>
      </c>
      <c r="Y548" s="3">
        <v>72177</v>
      </c>
      <c r="Z548" s="3">
        <v>66623</v>
      </c>
      <c r="AA548" s="3">
        <v>58542</v>
      </c>
      <c r="AB548" s="3">
        <v>66256</v>
      </c>
      <c r="AC548" s="3">
        <v>53470</v>
      </c>
      <c r="AD548" s="3">
        <v>52484</v>
      </c>
      <c r="AE548" s="3">
        <v>57323</v>
      </c>
      <c r="AF548" s="3">
        <v>66465</v>
      </c>
      <c r="AG548" s="3">
        <v>73603</v>
      </c>
      <c r="AH548" s="3">
        <v>58547</v>
      </c>
      <c r="AI548" s="3">
        <v>63107</v>
      </c>
      <c r="AJ548" s="3">
        <v>60289</v>
      </c>
      <c r="AK548" s="3">
        <v>56973</v>
      </c>
      <c r="AL548" s="3">
        <v>68911</v>
      </c>
      <c r="AM548" s="3">
        <v>65702</v>
      </c>
      <c r="AN548" s="3">
        <v>64846</v>
      </c>
      <c r="AO548" s="3">
        <v>63206</v>
      </c>
      <c r="AP548" s="3">
        <v>66501</v>
      </c>
      <c r="AQ548" s="3">
        <v>70960</v>
      </c>
      <c r="AR548" s="3">
        <v>74947</v>
      </c>
      <c r="AS548" s="3">
        <v>71478</v>
      </c>
      <c r="AT548" s="3">
        <v>75818</v>
      </c>
      <c r="AU548" s="3">
        <v>76816</v>
      </c>
      <c r="AV548" s="3">
        <v>75927</v>
      </c>
      <c r="AW548" s="3">
        <v>80634</v>
      </c>
      <c r="AX548" s="3">
        <v>90574</v>
      </c>
      <c r="AY548" s="3">
        <v>98517</v>
      </c>
      <c r="AZ548" s="3">
        <v>82587</v>
      </c>
      <c r="BA548" s="3">
        <v>89842</v>
      </c>
      <c r="BB548" s="3">
        <v>91703</v>
      </c>
    </row>
    <row r="549" spans="1:55" x14ac:dyDescent="0.25">
      <c r="A549" s="14"/>
      <c r="B549" s="6"/>
      <c r="C549" s="6" t="s">
        <v>8</v>
      </c>
      <c r="D549" s="8">
        <v>14022</v>
      </c>
      <c r="E549" s="8">
        <v>20145</v>
      </c>
      <c r="F549" s="8">
        <v>20075</v>
      </c>
      <c r="G549" s="8">
        <v>21853</v>
      </c>
      <c r="H549" s="8">
        <v>23946</v>
      </c>
      <c r="I549" s="8">
        <v>28073</v>
      </c>
      <c r="J549" s="8">
        <v>27020</v>
      </c>
      <c r="K549" s="8">
        <v>29207</v>
      </c>
      <c r="L549" s="8">
        <v>26951</v>
      </c>
      <c r="M549" s="8">
        <v>31162</v>
      </c>
      <c r="N549" s="8">
        <v>32156</v>
      </c>
      <c r="O549" s="8">
        <v>35836</v>
      </c>
      <c r="P549" s="8">
        <v>40492</v>
      </c>
      <c r="Q549" s="8">
        <v>47571</v>
      </c>
      <c r="R549" s="8">
        <v>42217</v>
      </c>
      <c r="S549" s="8">
        <v>55355</v>
      </c>
      <c r="T549" s="8">
        <v>55734</v>
      </c>
      <c r="U549" s="8">
        <v>60991</v>
      </c>
      <c r="V549" s="8">
        <v>66088</v>
      </c>
      <c r="W549" s="8">
        <v>72393</v>
      </c>
      <c r="X549" s="8">
        <v>80308</v>
      </c>
      <c r="Y549" s="8">
        <v>68083</v>
      </c>
      <c r="Z549" s="8">
        <v>59535</v>
      </c>
      <c r="AA549" s="8">
        <v>60955</v>
      </c>
      <c r="AB549" s="8">
        <v>67008</v>
      </c>
      <c r="AC549" s="8">
        <v>55302</v>
      </c>
      <c r="AD549" s="8">
        <v>55077</v>
      </c>
      <c r="AE549" s="8">
        <v>59128</v>
      </c>
      <c r="AF549" s="8">
        <v>68461</v>
      </c>
      <c r="AG549" s="8">
        <v>72176</v>
      </c>
      <c r="AH549" s="8">
        <v>58389</v>
      </c>
      <c r="AI549" s="8">
        <v>62053</v>
      </c>
      <c r="AJ549" s="8">
        <v>63263</v>
      </c>
      <c r="AK549" s="8">
        <v>58861</v>
      </c>
      <c r="AL549" s="8">
        <v>66126</v>
      </c>
      <c r="AM549" s="8">
        <v>70422</v>
      </c>
      <c r="AN549" s="8">
        <v>65572</v>
      </c>
      <c r="AO549" s="8">
        <v>63347</v>
      </c>
      <c r="AP549" s="8">
        <v>66938</v>
      </c>
      <c r="AQ549" s="8">
        <v>75767</v>
      </c>
      <c r="AR549" s="8">
        <v>76856</v>
      </c>
      <c r="AS549" s="8">
        <v>74666</v>
      </c>
      <c r="AT549" s="8">
        <v>76814</v>
      </c>
      <c r="AU549" s="8">
        <v>77289</v>
      </c>
      <c r="AV549" s="8">
        <v>77711</v>
      </c>
      <c r="AW549" s="8">
        <v>81072</v>
      </c>
      <c r="AX549" s="8">
        <v>94057</v>
      </c>
      <c r="AY549" s="8">
        <v>98632</v>
      </c>
      <c r="AZ549" s="8">
        <v>84467</v>
      </c>
      <c r="BA549" s="8">
        <v>96983</v>
      </c>
      <c r="BB549" s="8">
        <v>90797</v>
      </c>
    </row>
    <row r="550" spans="1:55" x14ac:dyDescent="0.25">
      <c r="A550" s="12"/>
      <c r="B550" s="2"/>
      <c r="C550" s="2" t="s">
        <v>9</v>
      </c>
      <c r="D550" s="3">
        <v>194308</v>
      </c>
      <c r="E550" s="3">
        <v>208772</v>
      </c>
      <c r="F550" s="3">
        <v>214777</v>
      </c>
      <c r="G550" s="3">
        <v>212953</v>
      </c>
      <c r="H550" s="3">
        <v>222704</v>
      </c>
      <c r="I550" s="3">
        <v>232205</v>
      </c>
      <c r="J550" s="3">
        <v>243112</v>
      </c>
      <c r="K550" s="3">
        <v>252841</v>
      </c>
      <c r="L550" s="3">
        <v>256646</v>
      </c>
      <c r="M550" s="3">
        <v>269671</v>
      </c>
      <c r="N550" s="3">
        <v>269238</v>
      </c>
      <c r="O550" s="3">
        <v>292693</v>
      </c>
      <c r="P550" s="3">
        <v>309749</v>
      </c>
      <c r="Q550" s="3">
        <v>326954</v>
      </c>
      <c r="R550" s="3">
        <v>290799</v>
      </c>
      <c r="S550" s="3">
        <v>329488</v>
      </c>
      <c r="T550" s="3">
        <v>337627</v>
      </c>
      <c r="U550" s="3">
        <v>353844</v>
      </c>
      <c r="V550" s="3">
        <v>377102</v>
      </c>
      <c r="W550" s="3">
        <v>408831</v>
      </c>
      <c r="X550" s="3">
        <v>411826</v>
      </c>
      <c r="Y550" s="3">
        <v>421225</v>
      </c>
      <c r="Z550" s="3">
        <v>424356</v>
      </c>
      <c r="AA550" s="3">
        <v>406641</v>
      </c>
      <c r="AB550" s="3">
        <v>428446</v>
      </c>
      <c r="AC550" s="3">
        <v>417666</v>
      </c>
      <c r="AD550" s="3">
        <v>445661</v>
      </c>
      <c r="AE550" s="3">
        <v>456354</v>
      </c>
      <c r="AF550" s="3">
        <v>450832</v>
      </c>
      <c r="AG550" s="3">
        <v>475526</v>
      </c>
      <c r="AH550" s="3">
        <v>473577</v>
      </c>
      <c r="AI550" s="3">
        <v>494366</v>
      </c>
      <c r="AJ550" s="3">
        <v>509088</v>
      </c>
      <c r="AK550" s="3">
        <v>507161</v>
      </c>
      <c r="AL550" s="3">
        <v>538397</v>
      </c>
      <c r="AM550" s="3">
        <v>531847</v>
      </c>
      <c r="AN550" s="3">
        <v>559407</v>
      </c>
      <c r="AO550" s="3">
        <v>573674</v>
      </c>
      <c r="AP550" s="3">
        <v>581013</v>
      </c>
      <c r="AQ550" s="3">
        <v>600483</v>
      </c>
      <c r="AR550" s="3">
        <v>608129</v>
      </c>
      <c r="AS550" s="3">
        <v>621920</v>
      </c>
      <c r="AT550" s="3">
        <v>626403</v>
      </c>
      <c r="AU550" s="3">
        <v>648700</v>
      </c>
      <c r="AV550" s="3">
        <v>687323</v>
      </c>
      <c r="AW550" s="3">
        <v>705973</v>
      </c>
      <c r="AX550" s="3">
        <v>724712</v>
      </c>
      <c r="AY550" s="3">
        <v>772245</v>
      </c>
      <c r="AZ550" s="3">
        <v>780145</v>
      </c>
      <c r="BA550" s="3">
        <v>808553</v>
      </c>
      <c r="BB550" s="3">
        <v>839223</v>
      </c>
    </row>
    <row r="551" spans="1:55" x14ac:dyDescent="0.25">
      <c r="A551" s="14"/>
      <c r="B551" s="6" t="s">
        <v>10</v>
      </c>
      <c r="C551" s="6" t="s">
        <v>6</v>
      </c>
      <c r="D551" s="8">
        <v>45066</v>
      </c>
      <c r="E551" s="8">
        <v>44566</v>
      </c>
      <c r="F551" s="8">
        <v>46989</v>
      </c>
      <c r="G551" s="8">
        <v>50815</v>
      </c>
      <c r="H551" s="8">
        <v>53747</v>
      </c>
      <c r="I551" s="8">
        <v>56936</v>
      </c>
      <c r="J551" s="8">
        <v>52262</v>
      </c>
      <c r="K551" s="8">
        <v>51560</v>
      </c>
      <c r="L551" s="8">
        <v>56894</v>
      </c>
      <c r="M551" s="8">
        <v>54326</v>
      </c>
      <c r="N551" s="8">
        <v>55572</v>
      </c>
      <c r="O551" s="8">
        <v>59152</v>
      </c>
      <c r="P551" s="8">
        <v>61867</v>
      </c>
      <c r="Q551" s="8">
        <v>62478</v>
      </c>
      <c r="R551" s="8">
        <v>63817</v>
      </c>
      <c r="S551" s="8">
        <v>53975</v>
      </c>
      <c r="T551" s="8">
        <v>56527</v>
      </c>
      <c r="U551" s="8">
        <v>63908</v>
      </c>
      <c r="V551" s="8">
        <v>59496</v>
      </c>
      <c r="W551" s="8">
        <v>65446</v>
      </c>
      <c r="X551" s="8">
        <v>63377</v>
      </c>
      <c r="Y551" s="8">
        <v>68839</v>
      </c>
      <c r="Z551" s="8">
        <v>66332</v>
      </c>
      <c r="AA551" s="8">
        <v>66277</v>
      </c>
      <c r="AB551" s="8">
        <v>88706</v>
      </c>
      <c r="AC551" s="8">
        <v>80142</v>
      </c>
      <c r="AD551" s="8">
        <v>70359</v>
      </c>
      <c r="AE551" s="8">
        <v>81446</v>
      </c>
      <c r="AF551" s="8">
        <v>84220</v>
      </c>
      <c r="AG551" s="8">
        <v>79716</v>
      </c>
      <c r="AH551" s="8">
        <v>87149</v>
      </c>
      <c r="AI551" s="8">
        <v>95295</v>
      </c>
      <c r="AJ551" s="8">
        <v>82348</v>
      </c>
      <c r="AK551" s="8">
        <v>77720</v>
      </c>
      <c r="AL551" s="8">
        <v>86345</v>
      </c>
      <c r="AM551" s="8">
        <v>93873</v>
      </c>
      <c r="AN551" s="8">
        <v>90117</v>
      </c>
      <c r="AO551" s="8">
        <v>92280</v>
      </c>
      <c r="AP551" s="8">
        <v>86096</v>
      </c>
      <c r="AQ551" s="8">
        <v>87962</v>
      </c>
      <c r="AR551" s="8">
        <v>89097</v>
      </c>
      <c r="AS551" s="8">
        <v>98703</v>
      </c>
      <c r="AT551" s="8">
        <v>90976</v>
      </c>
      <c r="AU551" s="8">
        <v>96734</v>
      </c>
      <c r="AV551" s="8">
        <v>121569</v>
      </c>
      <c r="AW551" s="8">
        <v>116433</v>
      </c>
      <c r="AX551" s="8">
        <v>121812</v>
      </c>
      <c r="AY551" s="8">
        <v>119683</v>
      </c>
      <c r="AZ551" s="8">
        <v>107102</v>
      </c>
      <c r="BA551" s="8">
        <v>101344</v>
      </c>
      <c r="BB551" s="8">
        <v>114533</v>
      </c>
    </row>
    <row r="552" spans="1:55" x14ac:dyDescent="0.25">
      <c r="A552" s="12"/>
      <c r="B552" s="2"/>
      <c r="C552" s="2" t="s">
        <v>7</v>
      </c>
      <c r="D552" s="3">
        <v>17314</v>
      </c>
      <c r="E552" s="3">
        <v>15986</v>
      </c>
      <c r="F552" s="3">
        <v>16472</v>
      </c>
      <c r="G552" s="3">
        <v>17790</v>
      </c>
      <c r="H552" s="3">
        <v>17370</v>
      </c>
      <c r="I552" s="3">
        <v>17133</v>
      </c>
      <c r="J552" s="3">
        <v>18009</v>
      </c>
      <c r="K552" s="3">
        <v>17368</v>
      </c>
      <c r="L552" s="3">
        <v>16935</v>
      </c>
      <c r="M552" s="3">
        <v>17698</v>
      </c>
      <c r="N552" s="3">
        <v>24612</v>
      </c>
      <c r="O552" s="3">
        <v>24669</v>
      </c>
      <c r="P552" s="3">
        <v>27377</v>
      </c>
      <c r="Q552" s="3">
        <v>26744</v>
      </c>
      <c r="R552" s="3">
        <v>23824</v>
      </c>
      <c r="S552" s="3">
        <v>26286</v>
      </c>
      <c r="T552" s="3">
        <v>24931</v>
      </c>
      <c r="U552" s="3">
        <v>27120</v>
      </c>
      <c r="V552" s="3">
        <v>27129</v>
      </c>
      <c r="W552" s="3">
        <v>30506</v>
      </c>
      <c r="X552" s="3">
        <v>27253</v>
      </c>
      <c r="Y552" s="3">
        <v>25698</v>
      </c>
      <c r="Z552" s="3">
        <v>26071</v>
      </c>
      <c r="AA552" s="3">
        <v>27059</v>
      </c>
      <c r="AB552" s="3">
        <v>27629</v>
      </c>
      <c r="AC552" s="3">
        <v>28981</v>
      </c>
      <c r="AD552" s="3">
        <v>33093</v>
      </c>
      <c r="AE552" s="3">
        <v>30529</v>
      </c>
      <c r="AF552" s="3">
        <v>33582</v>
      </c>
      <c r="AG552" s="3">
        <v>32703</v>
      </c>
      <c r="AH552" s="3">
        <v>30578</v>
      </c>
      <c r="AI552" s="3">
        <v>29022</v>
      </c>
      <c r="AJ552" s="3">
        <v>27053</v>
      </c>
      <c r="AK552" s="3">
        <v>27951</v>
      </c>
      <c r="AL552" s="3">
        <v>30287</v>
      </c>
      <c r="AM552" s="3">
        <v>26997</v>
      </c>
      <c r="AN552" s="3">
        <v>28577</v>
      </c>
      <c r="AO552" s="3">
        <v>25928</v>
      </c>
      <c r="AP552" s="3">
        <v>24480</v>
      </c>
      <c r="AQ552" s="3">
        <v>27976</v>
      </c>
      <c r="AR552" s="3">
        <v>26227</v>
      </c>
      <c r="AS552" s="3">
        <v>29304</v>
      </c>
      <c r="AT552" s="3">
        <v>30187</v>
      </c>
      <c r="AU552" s="3">
        <v>34112</v>
      </c>
      <c r="AV552" s="3">
        <v>33840</v>
      </c>
      <c r="AW552" s="3">
        <v>44771</v>
      </c>
      <c r="AX552" s="3">
        <v>38029</v>
      </c>
      <c r="AY552" s="3">
        <v>38959</v>
      </c>
      <c r="AZ552" s="3">
        <v>30143</v>
      </c>
      <c r="BA552" s="3">
        <v>36164</v>
      </c>
      <c r="BB552" s="3">
        <v>38128</v>
      </c>
    </row>
    <row r="553" spans="1:55" x14ac:dyDescent="0.25">
      <c r="A553" s="14"/>
      <c r="B553" s="6"/>
      <c r="C553" s="6" t="s">
        <v>8</v>
      </c>
      <c r="D553" s="8">
        <v>17137</v>
      </c>
      <c r="E553" s="8">
        <v>15635</v>
      </c>
      <c r="F553" s="8">
        <v>15928</v>
      </c>
      <c r="G553" s="8">
        <v>17988</v>
      </c>
      <c r="H553" s="8">
        <v>16938</v>
      </c>
      <c r="I553" s="8">
        <v>16966</v>
      </c>
      <c r="J553" s="8">
        <v>18307</v>
      </c>
      <c r="K553" s="8">
        <v>17620</v>
      </c>
      <c r="L553" s="8">
        <v>17030</v>
      </c>
      <c r="M553" s="8">
        <v>17735</v>
      </c>
      <c r="N553" s="8">
        <v>23582</v>
      </c>
      <c r="O553" s="8">
        <v>24835</v>
      </c>
      <c r="P553" s="8">
        <v>27816</v>
      </c>
      <c r="Q553" s="8">
        <v>26220</v>
      </c>
      <c r="R553" s="8">
        <v>24295</v>
      </c>
      <c r="S553" s="8">
        <v>25967</v>
      </c>
      <c r="T553" s="8">
        <v>24603</v>
      </c>
      <c r="U553" s="8">
        <v>26441</v>
      </c>
      <c r="V553" s="8">
        <v>27253</v>
      </c>
      <c r="W553" s="8">
        <v>30662</v>
      </c>
      <c r="X553" s="8">
        <v>26265</v>
      </c>
      <c r="Y553" s="8">
        <v>25764</v>
      </c>
      <c r="Z553" s="8">
        <v>25515</v>
      </c>
      <c r="AA553" s="8">
        <v>25333</v>
      </c>
      <c r="AB553" s="8">
        <v>27200</v>
      </c>
      <c r="AC553" s="8">
        <v>28078</v>
      </c>
      <c r="AD553" s="8">
        <v>33350</v>
      </c>
      <c r="AE553" s="8">
        <v>30103</v>
      </c>
      <c r="AF553" s="8">
        <v>33481</v>
      </c>
      <c r="AG553" s="8">
        <v>31357</v>
      </c>
      <c r="AH553" s="8">
        <v>29560</v>
      </c>
      <c r="AI553" s="8">
        <v>28249</v>
      </c>
      <c r="AJ553" s="8">
        <v>25475</v>
      </c>
      <c r="AK553" s="8">
        <v>26660</v>
      </c>
      <c r="AL553" s="8">
        <v>28157</v>
      </c>
      <c r="AM553" s="8">
        <v>27361</v>
      </c>
      <c r="AN553" s="8">
        <v>26838</v>
      </c>
      <c r="AO553" s="8">
        <v>26722</v>
      </c>
      <c r="AP553" s="8">
        <v>23524</v>
      </c>
      <c r="AQ553" s="8">
        <v>27170</v>
      </c>
      <c r="AR553" s="8">
        <v>26200</v>
      </c>
      <c r="AS553" s="8">
        <v>29149</v>
      </c>
      <c r="AT553" s="8">
        <v>30457</v>
      </c>
      <c r="AU553" s="8">
        <v>33198</v>
      </c>
      <c r="AV553" s="8">
        <v>35014</v>
      </c>
      <c r="AW553" s="8">
        <v>44854</v>
      </c>
      <c r="AX553" s="8">
        <v>37476</v>
      </c>
      <c r="AY553" s="8">
        <v>39005</v>
      </c>
      <c r="AZ553" s="8">
        <v>30065</v>
      </c>
      <c r="BA553" s="8">
        <v>35580</v>
      </c>
      <c r="BB553" s="8">
        <v>38130</v>
      </c>
    </row>
    <row r="554" spans="1:55" x14ac:dyDescent="0.25">
      <c r="A554" s="12"/>
      <c r="B554" s="2"/>
      <c r="C554" s="2" t="s">
        <v>9</v>
      </c>
      <c r="D554" s="3">
        <v>45929</v>
      </c>
      <c r="E554" s="3">
        <v>44611</v>
      </c>
      <c r="F554" s="3">
        <v>43681</v>
      </c>
      <c r="G554" s="3">
        <v>47602</v>
      </c>
      <c r="H554" s="3">
        <v>51226</v>
      </c>
      <c r="I554" s="3">
        <v>53554</v>
      </c>
      <c r="J554" s="3">
        <v>56060</v>
      </c>
      <c r="K554" s="3">
        <v>56183</v>
      </c>
      <c r="L554" s="3">
        <v>56404</v>
      </c>
      <c r="M554" s="3">
        <v>55875</v>
      </c>
      <c r="N554" s="3">
        <v>57147</v>
      </c>
      <c r="O554" s="3">
        <v>58382</v>
      </c>
      <c r="P554" s="3">
        <v>59390</v>
      </c>
      <c r="Q554" s="3">
        <v>60331</v>
      </c>
      <c r="R554" s="3">
        <v>57152</v>
      </c>
      <c r="S554" s="3">
        <v>61745</v>
      </c>
      <c r="T554" s="3">
        <v>60376</v>
      </c>
      <c r="U554" s="3">
        <v>61330</v>
      </c>
      <c r="V554" s="3">
        <v>63153</v>
      </c>
      <c r="W554" s="3">
        <v>65914</v>
      </c>
      <c r="X554" s="3">
        <v>64988</v>
      </c>
      <c r="Y554" s="3">
        <v>63548</v>
      </c>
      <c r="Z554" s="3">
        <v>67268</v>
      </c>
      <c r="AA554" s="3">
        <v>69176</v>
      </c>
      <c r="AB554" s="3">
        <v>71290</v>
      </c>
      <c r="AC554" s="3">
        <v>75582</v>
      </c>
      <c r="AD554" s="3">
        <v>82274</v>
      </c>
      <c r="AE554" s="3">
        <v>84680</v>
      </c>
      <c r="AF554" s="3">
        <v>85880</v>
      </c>
      <c r="AG554" s="3">
        <v>87139</v>
      </c>
      <c r="AH554" s="3">
        <v>85694</v>
      </c>
      <c r="AI554" s="3">
        <v>86560</v>
      </c>
      <c r="AJ554" s="3">
        <v>86395</v>
      </c>
      <c r="AK554" s="3">
        <v>85693</v>
      </c>
      <c r="AL554" s="3">
        <v>84287</v>
      </c>
      <c r="AM554" s="3">
        <v>85396</v>
      </c>
      <c r="AN554" s="3">
        <v>87351</v>
      </c>
      <c r="AO554" s="3">
        <v>86686</v>
      </c>
      <c r="AP554" s="3">
        <v>83646</v>
      </c>
      <c r="AQ554" s="3">
        <v>90480</v>
      </c>
      <c r="AR554" s="3">
        <v>90819</v>
      </c>
      <c r="AS554" s="3">
        <v>93736</v>
      </c>
      <c r="AT554" s="3">
        <v>97611</v>
      </c>
      <c r="AU554" s="3">
        <v>97189</v>
      </c>
      <c r="AV554" s="3">
        <v>107904</v>
      </c>
      <c r="AW554" s="3">
        <v>115038</v>
      </c>
      <c r="AX554" s="3">
        <v>121986</v>
      </c>
      <c r="AY554" s="3">
        <v>121175</v>
      </c>
      <c r="AZ554" s="3">
        <v>107391</v>
      </c>
      <c r="BA554" s="3">
        <v>118451</v>
      </c>
      <c r="BB554" s="3">
        <v>116973</v>
      </c>
    </row>
    <row r="555" spans="1:55" x14ac:dyDescent="0.25">
      <c r="A555" s="14"/>
      <c r="B555" s="6" t="s">
        <v>11</v>
      </c>
      <c r="C555" s="6" t="s">
        <v>6</v>
      </c>
      <c r="D555" s="7">
        <v>0</v>
      </c>
      <c r="E555" s="7">
        <v>0</v>
      </c>
      <c r="F555" s="7">
        <v>0</v>
      </c>
      <c r="G555" s="7">
        <v>0</v>
      </c>
      <c r="H555" s="8">
        <v>28699</v>
      </c>
      <c r="I555" s="8">
        <v>31080</v>
      </c>
      <c r="J555" s="8">
        <v>35732</v>
      </c>
      <c r="K555" s="8">
        <v>37098</v>
      </c>
      <c r="L555" s="8">
        <v>40611</v>
      </c>
      <c r="M555" s="8">
        <v>40943</v>
      </c>
      <c r="N555" s="8">
        <v>42134</v>
      </c>
      <c r="O555" s="8">
        <v>43441</v>
      </c>
      <c r="P555" s="8">
        <v>43906</v>
      </c>
      <c r="Q555" s="8">
        <v>54007</v>
      </c>
      <c r="R555" s="8">
        <v>44246</v>
      </c>
      <c r="S555" s="8">
        <v>53633</v>
      </c>
      <c r="T555" s="8">
        <v>45463</v>
      </c>
      <c r="U555" s="8">
        <v>59907</v>
      </c>
      <c r="V555" s="8">
        <v>63468</v>
      </c>
      <c r="W555" s="8">
        <v>74633</v>
      </c>
      <c r="X555" s="8">
        <v>62226</v>
      </c>
      <c r="Y555" s="8">
        <v>69098</v>
      </c>
      <c r="Z555" s="8">
        <v>74505</v>
      </c>
      <c r="AA555" s="8">
        <v>60563</v>
      </c>
      <c r="AB555" s="8">
        <v>68035</v>
      </c>
      <c r="AC555" s="8">
        <v>75606</v>
      </c>
      <c r="AD555" s="8">
        <v>98049</v>
      </c>
      <c r="AE555" s="8">
        <v>103654</v>
      </c>
      <c r="AF555" s="8">
        <v>95857</v>
      </c>
      <c r="AG555" s="8">
        <v>107192</v>
      </c>
      <c r="AH555" s="8">
        <v>104290</v>
      </c>
      <c r="AI555" s="8">
        <v>107297</v>
      </c>
      <c r="AJ555" s="8">
        <v>117206</v>
      </c>
      <c r="AK555" s="8">
        <v>117582</v>
      </c>
      <c r="AL555" s="8">
        <v>137646</v>
      </c>
      <c r="AM555" s="8">
        <v>124706</v>
      </c>
      <c r="AN555" s="8">
        <v>131947</v>
      </c>
      <c r="AO555" s="8">
        <v>157950</v>
      </c>
      <c r="AP555" s="8">
        <v>159826</v>
      </c>
      <c r="AQ555" s="8">
        <v>160347</v>
      </c>
      <c r="AR555" s="8">
        <v>175759</v>
      </c>
      <c r="AS555" s="8">
        <v>184815</v>
      </c>
      <c r="AT555" s="8">
        <v>196869</v>
      </c>
      <c r="AU555" s="8">
        <v>186638</v>
      </c>
      <c r="AV555" s="8">
        <v>215777</v>
      </c>
      <c r="AW555" s="8">
        <v>220665</v>
      </c>
      <c r="AX555" s="8">
        <v>236233</v>
      </c>
      <c r="AY555" s="8">
        <v>220400</v>
      </c>
      <c r="AZ555" s="8">
        <v>211952</v>
      </c>
      <c r="BA555" s="8">
        <v>260222</v>
      </c>
      <c r="BB555" s="8">
        <v>260972</v>
      </c>
    </row>
    <row r="556" spans="1:55" x14ac:dyDescent="0.25">
      <c r="A556" s="12"/>
      <c r="B556" s="2"/>
      <c r="C556" s="2" t="s">
        <v>7</v>
      </c>
      <c r="D556" s="4">
        <v>0</v>
      </c>
      <c r="E556" s="4">
        <v>0</v>
      </c>
      <c r="F556" s="4">
        <v>0</v>
      </c>
      <c r="G556" s="4">
        <v>0</v>
      </c>
      <c r="H556" s="3">
        <v>6648</v>
      </c>
      <c r="I556" s="3">
        <v>7650</v>
      </c>
      <c r="J556" s="3">
        <v>8225</v>
      </c>
      <c r="K556" s="3">
        <v>8355</v>
      </c>
      <c r="L556" s="3">
        <v>9273</v>
      </c>
      <c r="M556" s="3">
        <v>12306</v>
      </c>
      <c r="N556" s="3">
        <v>12627</v>
      </c>
      <c r="O556" s="3">
        <v>13898</v>
      </c>
      <c r="P556" s="3">
        <v>14832</v>
      </c>
      <c r="Q556" s="3">
        <v>17209</v>
      </c>
      <c r="R556" s="3">
        <v>16296</v>
      </c>
      <c r="S556" s="3">
        <v>19826</v>
      </c>
      <c r="T556" s="3">
        <v>19669</v>
      </c>
      <c r="U556" s="3">
        <v>22952</v>
      </c>
      <c r="V556" s="3">
        <v>25488</v>
      </c>
      <c r="W556" s="3">
        <v>27720</v>
      </c>
      <c r="X556" s="3">
        <v>25147</v>
      </c>
      <c r="Y556" s="3">
        <v>27872</v>
      </c>
      <c r="Z556" s="3">
        <v>28286</v>
      </c>
      <c r="AA556" s="3">
        <v>25482</v>
      </c>
      <c r="AB556" s="3">
        <v>25043</v>
      </c>
      <c r="AC556" s="3">
        <v>27040</v>
      </c>
      <c r="AD556" s="3">
        <v>28782</v>
      </c>
      <c r="AE556" s="3">
        <v>28113</v>
      </c>
      <c r="AF556" s="3">
        <v>23900</v>
      </c>
      <c r="AG556" s="3">
        <v>26562</v>
      </c>
      <c r="AH556" s="3">
        <v>25546</v>
      </c>
      <c r="AI556" s="3">
        <v>28220</v>
      </c>
      <c r="AJ556" s="3">
        <v>30047</v>
      </c>
      <c r="AK556" s="3">
        <v>28178</v>
      </c>
      <c r="AL556" s="3">
        <v>32762</v>
      </c>
      <c r="AM556" s="3">
        <v>32462</v>
      </c>
      <c r="AN556" s="3">
        <v>35631</v>
      </c>
      <c r="AO556" s="3">
        <v>38164</v>
      </c>
      <c r="AP556" s="3">
        <v>38548</v>
      </c>
      <c r="AQ556" s="3">
        <v>45572</v>
      </c>
      <c r="AR556" s="3">
        <v>53052</v>
      </c>
      <c r="AS556" s="3">
        <v>54385</v>
      </c>
      <c r="AT556" s="3">
        <v>62914</v>
      </c>
      <c r="AU556" s="3">
        <v>53999</v>
      </c>
      <c r="AV556" s="3">
        <v>63472</v>
      </c>
      <c r="AW556" s="3">
        <v>64129</v>
      </c>
      <c r="AX556" s="3">
        <v>69063</v>
      </c>
      <c r="AY556" s="3">
        <v>78111</v>
      </c>
      <c r="AZ556" s="3">
        <v>77376</v>
      </c>
      <c r="BA556" s="3">
        <v>86715</v>
      </c>
      <c r="BB556" s="3">
        <v>95370</v>
      </c>
    </row>
    <row r="557" spans="1:55" x14ac:dyDescent="0.25">
      <c r="A557" s="14"/>
      <c r="B557" s="6"/>
      <c r="C557" s="6" t="s">
        <v>8</v>
      </c>
      <c r="D557" s="7">
        <v>0</v>
      </c>
      <c r="E557" s="7">
        <v>0</v>
      </c>
      <c r="F557" s="7">
        <v>0</v>
      </c>
      <c r="G557" s="7">
        <v>0</v>
      </c>
      <c r="H557" s="8">
        <v>6467</v>
      </c>
      <c r="I557" s="8">
        <v>7463</v>
      </c>
      <c r="J557" s="8">
        <v>7816</v>
      </c>
      <c r="K557" s="8">
        <v>7924</v>
      </c>
      <c r="L557" s="8">
        <v>8363</v>
      </c>
      <c r="M557" s="8">
        <v>12277</v>
      </c>
      <c r="N557" s="8">
        <v>12342</v>
      </c>
      <c r="O557" s="8">
        <v>11881</v>
      </c>
      <c r="P557" s="8">
        <v>13652</v>
      </c>
      <c r="Q557" s="8">
        <v>15224</v>
      </c>
      <c r="R557" s="8">
        <v>12061</v>
      </c>
      <c r="S557" s="8">
        <v>15781</v>
      </c>
      <c r="T557" s="8">
        <v>15927</v>
      </c>
      <c r="U557" s="8">
        <v>19707</v>
      </c>
      <c r="V557" s="8">
        <v>21241</v>
      </c>
      <c r="W557" s="8">
        <v>24802</v>
      </c>
      <c r="X557" s="8">
        <v>20844</v>
      </c>
      <c r="Y557" s="8">
        <v>26582</v>
      </c>
      <c r="Z557" s="8">
        <v>25893</v>
      </c>
      <c r="AA557" s="8">
        <v>21660</v>
      </c>
      <c r="AB557" s="8">
        <v>18481</v>
      </c>
      <c r="AC557" s="8">
        <v>22333</v>
      </c>
      <c r="AD557" s="8">
        <v>23925</v>
      </c>
      <c r="AE557" s="8">
        <v>30112</v>
      </c>
      <c r="AF557" s="8">
        <v>23557</v>
      </c>
      <c r="AG557" s="8">
        <v>27275</v>
      </c>
      <c r="AH557" s="8">
        <v>25392</v>
      </c>
      <c r="AI557" s="8">
        <v>28098</v>
      </c>
      <c r="AJ557" s="8">
        <v>29296</v>
      </c>
      <c r="AK557" s="8">
        <v>27729</v>
      </c>
      <c r="AL557" s="8">
        <v>31982</v>
      </c>
      <c r="AM557" s="8">
        <v>31643</v>
      </c>
      <c r="AN557" s="8">
        <v>36764</v>
      </c>
      <c r="AO557" s="8">
        <v>39313</v>
      </c>
      <c r="AP557" s="8">
        <v>37927</v>
      </c>
      <c r="AQ557" s="8">
        <v>45633</v>
      </c>
      <c r="AR557" s="8">
        <v>53663</v>
      </c>
      <c r="AS557" s="8">
        <v>52899</v>
      </c>
      <c r="AT557" s="8">
        <v>61242</v>
      </c>
      <c r="AU557" s="8">
        <v>56042</v>
      </c>
      <c r="AV557" s="8">
        <v>64820</v>
      </c>
      <c r="AW557" s="8">
        <v>63432</v>
      </c>
      <c r="AX557" s="8">
        <v>70861</v>
      </c>
      <c r="AY557" s="8">
        <v>78775</v>
      </c>
      <c r="AZ557" s="8">
        <v>76842</v>
      </c>
      <c r="BA557" s="8">
        <v>92663</v>
      </c>
      <c r="BB557" s="8">
        <v>98510</v>
      </c>
    </row>
    <row r="558" spans="1:55" x14ac:dyDescent="0.25">
      <c r="A558" s="12"/>
      <c r="B558" s="2"/>
      <c r="C558" s="2" t="s">
        <v>9</v>
      </c>
      <c r="D558" s="4">
        <v>0</v>
      </c>
      <c r="E558" s="4">
        <v>0</v>
      </c>
      <c r="F558" s="4">
        <v>0</v>
      </c>
      <c r="G558" s="4">
        <v>0</v>
      </c>
      <c r="H558" s="3">
        <v>29927</v>
      </c>
      <c r="I558" s="3">
        <v>31115</v>
      </c>
      <c r="J558" s="3">
        <v>34543</v>
      </c>
      <c r="K558" s="3">
        <v>35477</v>
      </c>
      <c r="L558" s="3">
        <v>37287</v>
      </c>
      <c r="M558" s="3">
        <v>43537</v>
      </c>
      <c r="N558" s="3">
        <v>45985</v>
      </c>
      <c r="O558" s="3">
        <v>46246</v>
      </c>
      <c r="P558" s="3">
        <v>45194</v>
      </c>
      <c r="Q558" s="3">
        <v>52995</v>
      </c>
      <c r="R558" s="3">
        <v>47890</v>
      </c>
      <c r="S558" s="3">
        <v>55462</v>
      </c>
      <c r="T558" s="3">
        <v>53819</v>
      </c>
      <c r="U558" s="3">
        <v>61005</v>
      </c>
      <c r="V558" s="3">
        <v>67212</v>
      </c>
      <c r="W558" s="3">
        <v>72318</v>
      </c>
      <c r="X558" s="3">
        <v>68093</v>
      </c>
      <c r="Y558" s="3">
        <v>72048</v>
      </c>
      <c r="Z558" s="3">
        <v>73844</v>
      </c>
      <c r="AA558" s="3">
        <v>69087</v>
      </c>
      <c r="AB558" s="3">
        <v>70541</v>
      </c>
      <c r="AC558" s="3">
        <v>74406</v>
      </c>
      <c r="AD558" s="3">
        <v>99622</v>
      </c>
      <c r="AE558" s="3">
        <v>100941</v>
      </c>
      <c r="AF558" s="3">
        <v>97567</v>
      </c>
      <c r="AG558" s="3">
        <v>104120</v>
      </c>
      <c r="AH558" s="3">
        <v>104620</v>
      </c>
      <c r="AI558" s="3">
        <v>109290</v>
      </c>
      <c r="AJ558" s="3">
        <v>115894</v>
      </c>
      <c r="AK558" s="3">
        <v>120808</v>
      </c>
      <c r="AL558" s="3">
        <v>132389</v>
      </c>
      <c r="AM558" s="3">
        <v>131681</v>
      </c>
      <c r="AN558" s="3">
        <v>133946</v>
      </c>
      <c r="AO558" s="3">
        <v>145058</v>
      </c>
      <c r="AP558" s="3">
        <v>158770</v>
      </c>
      <c r="AQ558" s="3">
        <v>159216</v>
      </c>
      <c r="AR558" s="3">
        <v>171528</v>
      </c>
      <c r="AS558" s="3">
        <v>184472</v>
      </c>
      <c r="AT558" s="3">
        <v>191095</v>
      </c>
      <c r="AU558" s="3">
        <v>189699</v>
      </c>
      <c r="AV558" s="3">
        <v>204389</v>
      </c>
      <c r="AW558" s="3">
        <v>216136</v>
      </c>
      <c r="AX558" s="3">
        <v>225576</v>
      </c>
      <c r="AY558" s="3">
        <v>230548</v>
      </c>
      <c r="AZ558" s="3">
        <v>221337</v>
      </c>
      <c r="BA558" s="3">
        <v>237964</v>
      </c>
      <c r="BB558" s="3">
        <v>255772</v>
      </c>
    </row>
    <row r="559" spans="1:55" x14ac:dyDescent="0.25">
      <c r="A559" s="14"/>
      <c r="B559" s="6" t="s">
        <v>12</v>
      </c>
      <c r="C559" s="6" t="s">
        <v>6</v>
      </c>
      <c r="D559" s="8">
        <v>150821</v>
      </c>
      <c r="E559" s="8">
        <v>147300</v>
      </c>
      <c r="F559" s="8">
        <v>155105</v>
      </c>
      <c r="G559" s="8">
        <v>169013</v>
      </c>
      <c r="H559" s="8">
        <v>180738</v>
      </c>
      <c r="I559" s="8">
        <v>172901</v>
      </c>
      <c r="J559" s="8">
        <v>178996</v>
      </c>
      <c r="K559" s="8">
        <v>188853</v>
      </c>
      <c r="L559" s="8">
        <v>194855</v>
      </c>
      <c r="M559" s="8">
        <v>201087</v>
      </c>
      <c r="N559" s="8">
        <v>213012</v>
      </c>
      <c r="O559" s="8">
        <v>215772</v>
      </c>
      <c r="P559" s="8">
        <v>208937</v>
      </c>
      <c r="Q559" s="8">
        <v>227555</v>
      </c>
      <c r="R559" s="8">
        <v>225662</v>
      </c>
      <c r="S559" s="8">
        <v>242892</v>
      </c>
      <c r="T559" s="8">
        <v>235387</v>
      </c>
      <c r="U559" s="8">
        <v>250121</v>
      </c>
      <c r="V559" s="8">
        <v>262069</v>
      </c>
      <c r="W559" s="8">
        <v>256170</v>
      </c>
      <c r="X559" s="8">
        <v>269908</v>
      </c>
      <c r="Y559" s="8">
        <v>277902</v>
      </c>
      <c r="Z559" s="8">
        <v>284974</v>
      </c>
      <c r="AA559" s="8">
        <v>306942</v>
      </c>
      <c r="AB559" s="8">
        <v>316758</v>
      </c>
      <c r="AC559" s="8">
        <v>317986</v>
      </c>
      <c r="AD559" s="8">
        <v>316051</v>
      </c>
      <c r="AE559" s="8">
        <v>315092</v>
      </c>
      <c r="AF559" s="8">
        <v>332113</v>
      </c>
      <c r="AG559" s="8">
        <v>345241</v>
      </c>
      <c r="AH559" s="8">
        <v>351370</v>
      </c>
      <c r="AI559" s="8">
        <v>353235</v>
      </c>
      <c r="AJ559" s="8">
        <v>354004</v>
      </c>
      <c r="AK559" s="8">
        <v>354700</v>
      </c>
      <c r="AL559" s="8">
        <v>364010</v>
      </c>
      <c r="AM559" s="8">
        <v>368787</v>
      </c>
      <c r="AN559" s="8">
        <v>381457</v>
      </c>
      <c r="AO559" s="8">
        <v>387305</v>
      </c>
      <c r="AP559" s="8">
        <v>394851</v>
      </c>
      <c r="AQ559" s="8">
        <v>409311</v>
      </c>
      <c r="AR559" s="8">
        <v>399396</v>
      </c>
      <c r="AS559" s="8">
        <v>400105</v>
      </c>
      <c r="AT559" s="8">
        <v>378959</v>
      </c>
      <c r="AU559" s="8">
        <v>392664</v>
      </c>
      <c r="AV559" s="8">
        <v>401307</v>
      </c>
      <c r="AW559" s="8">
        <v>418604</v>
      </c>
      <c r="AX559" s="8">
        <v>420288</v>
      </c>
      <c r="AY559" s="8">
        <v>433603</v>
      </c>
      <c r="AZ559" s="8">
        <v>448071</v>
      </c>
      <c r="BA559" s="8">
        <v>440353</v>
      </c>
      <c r="BB559" s="8">
        <v>450681</v>
      </c>
    </row>
    <row r="560" spans="1:55" x14ac:dyDescent="0.25">
      <c r="A560" s="12"/>
      <c r="B560" s="2"/>
      <c r="C560" s="2" t="s">
        <v>7</v>
      </c>
      <c r="D560" s="3">
        <v>5899</v>
      </c>
      <c r="E560" s="3">
        <v>6424</v>
      </c>
      <c r="F560" s="3">
        <v>6074</v>
      </c>
      <c r="G560" s="3">
        <v>7565</v>
      </c>
      <c r="H560" s="3">
        <v>7311</v>
      </c>
      <c r="I560" s="3">
        <v>7462</v>
      </c>
      <c r="J560" s="3">
        <v>7398</v>
      </c>
      <c r="K560" s="3">
        <v>6737</v>
      </c>
      <c r="L560" s="3">
        <v>6941</v>
      </c>
      <c r="M560" s="3">
        <v>6796</v>
      </c>
      <c r="N560" s="3">
        <v>7729</v>
      </c>
      <c r="O560" s="3">
        <v>8477</v>
      </c>
      <c r="P560" s="3">
        <v>7976</v>
      </c>
      <c r="Q560" s="3">
        <v>7896</v>
      </c>
      <c r="R560" s="3">
        <v>7690</v>
      </c>
      <c r="S560" s="3">
        <v>7861</v>
      </c>
      <c r="T560" s="3">
        <v>8608</v>
      </c>
      <c r="U560" s="3">
        <v>9301</v>
      </c>
      <c r="V560" s="3">
        <v>11606</v>
      </c>
      <c r="W560" s="3">
        <v>11227</v>
      </c>
      <c r="X560" s="3">
        <v>11258</v>
      </c>
      <c r="Y560" s="3">
        <v>10232</v>
      </c>
      <c r="Z560" s="3">
        <v>9884</v>
      </c>
      <c r="AA560" s="3">
        <v>10708</v>
      </c>
      <c r="AB560" s="3">
        <v>10615</v>
      </c>
      <c r="AC560" s="3">
        <v>10311</v>
      </c>
      <c r="AD560" s="3">
        <v>10686</v>
      </c>
      <c r="AE560" s="3">
        <v>10452</v>
      </c>
      <c r="AF560" s="3">
        <v>11701</v>
      </c>
      <c r="AG560" s="3">
        <v>10589</v>
      </c>
      <c r="AH560" s="3">
        <v>10593</v>
      </c>
      <c r="AI560" s="3">
        <v>12028</v>
      </c>
      <c r="AJ560" s="3">
        <v>12954</v>
      </c>
      <c r="AK560" s="3">
        <v>16138</v>
      </c>
      <c r="AL560" s="3">
        <v>19380</v>
      </c>
      <c r="AM560" s="3">
        <v>18127</v>
      </c>
      <c r="AN560" s="3">
        <v>16666</v>
      </c>
      <c r="AO560" s="3">
        <v>24205</v>
      </c>
      <c r="AP560" s="3">
        <v>25191</v>
      </c>
      <c r="AQ560" s="3">
        <v>20239</v>
      </c>
      <c r="AR560" s="3">
        <v>22106</v>
      </c>
      <c r="AS560" s="3">
        <v>26060</v>
      </c>
      <c r="AT560" s="3">
        <v>26390</v>
      </c>
      <c r="AU560" s="3">
        <v>25020</v>
      </c>
      <c r="AV560" s="3">
        <v>26075</v>
      </c>
      <c r="AW560" s="3">
        <v>26500</v>
      </c>
      <c r="AX560" s="3">
        <v>28226</v>
      </c>
      <c r="AY560" s="3">
        <v>29437</v>
      </c>
      <c r="AZ560" s="3">
        <v>27149</v>
      </c>
      <c r="BA560" s="3">
        <v>28075</v>
      </c>
      <c r="BB560" s="3">
        <v>29232</v>
      </c>
    </row>
    <row r="561" spans="1:54" x14ac:dyDescent="0.25">
      <c r="A561" s="14"/>
      <c r="B561" s="6"/>
      <c r="C561" s="6" t="s">
        <v>8</v>
      </c>
      <c r="D561" s="8">
        <v>6359</v>
      </c>
      <c r="E561" s="8">
        <v>6191</v>
      </c>
      <c r="F561" s="8">
        <v>7175</v>
      </c>
      <c r="G561" s="8">
        <v>7820</v>
      </c>
      <c r="H561" s="8">
        <v>8016</v>
      </c>
      <c r="I561" s="8">
        <v>7856</v>
      </c>
      <c r="J561" s="8">
        <v>7697</v>
      </c>
      <c r="K561" s="8">
        <v>7175</v>
      </c>
      <c r="L561" s="8">
        <v>7343</v>
      </c>
      <c r="M561" s="8">
        <v>7846</v>
      </c>
      <c r="N561" s="8">
        <v>8465</v>
      </c>
      <c r="O561" s="8">
        <v>8446</v>
      </c>
      <c r="P561" s="8">
        <v>8496</v>
      </c>
      <c r="Q561" s="8">
        <v>7714</v>
      </c>
      <c r="R561" s="8">
        <v>7400</v>
      </c>
      <c r="S561" s="8">
        <v>7838</v>
      </c>
      <c r="T561" s="8">
        <v>9831</v>
      </c>
      <c r="U561" s="8">
        <v>9426</v>
      </c>
      <c r="V561" s="8">
        <v>11486</v>
      </c>
      <c r="W561" s="8">
        <v>12044</v>
      </c>
      <c r="X561" s="8">
        <v>12413</v>
      </c>
      <c r="Y561" s="8">
        <v>11726</v>
      </c>
      <c r="Z561" s="8">
        <v>10731</v>
      </c>
      <c r="AA561" s="8">
        <v>12515</v>
      </c>
      <c r="AB561" s="8">
        <v>10740</v>
      </c>
      <c r="AC561" s="8">
        <v>11485</v>
      </c>
      <c r="AD561" s="8">
        <v>13063</v>
      </c>
      <c r="AE561" s="8">
        <v>11572</v>
      </c>
      <c r="AF561" s="8">
        <v>14015</v>
      </c>
      <c r="AG561" s="8">
        <v>11484</v>
      </c>
      <c r="AH561" s="8">
        <v>12115</v>
      </c>
      <c r="AI561" s="8">
        <v>14453</v>
      </c>
      <c r="AJ561" s="8">
        <v>14876</v>
      </c>
      <c r="AK561" s="8">
        <v>15837</v>
      </c>
      <c r="AL561" s="8">
        <v>21058</v>
      </c>
      <c r="AM561" s="8">
        <v>19820</v>
      </c>
      <c r="AN561" s="8">
        <v>19110</v>
      </c>
      <c r="AO561" s="8">
        <v>26646</v>
      </c>
      <c r="AP561" s="8">
        <v>25633</v>
      </c>
      <c r="AQ561" s="8">
        <v>22837</v>
      </c>
      <c r="AR561" s="8">
        <v>24093</v>
      </c>
      <c r="AS561" s="8">
        <v>26872</v>
      </c>
      <c r="AT561" s="8">
        <v>28697</v>
      </c>
      <c r="AU561" s="8">
        <v>27385</v>
      </c>
      <c r="AV561" s="8">
        <v>28225</v>
      </c>
      <c r="AW561" s="8">
        <v>29684</v>
      </c>
      <c r="AX561" s="8">
        <v>31395</v>
      </c>
      <c r="AY561" s="8">
        <v>31237</v>
      </c>
      <c r="AZ561" s="8">
        <v>28912</v>
      </c>
      <c r="BA561" s="8">
        <v>30815</v>
      </c>
      <c r="BB561" s="8">
        <v>30399</v>
      </c>
    </row>
    <row r="562" spans="1:54" x14ac:dyDescent="0.25">
      <c r="A562" s="12"/>
      <c r="B562" s="2"/>
      <c r="C562" s="2" t="s">
        <v>9</v>
      </c>
      <c r="D562" s="3">
        <v>156139</v>
      </c>
      <c r="E562" s="3">
        <v>149497</v>
      </c>
      <c r="F562" s="3">
        <v>149999</v>
      </c>
      <c r="G562" s="3">
        <v>165035</v>
      </c>
      <c r="H562" s="3">
        <v>179101</v>
      </c>
      <c r="I562" s="3">
        <v>171611</v>
      </c>
      <c r="J562" s="3">
        <v>178216</v>
      </c>
      <c r="K562" s="3">
        <v>185706</v>
      </c>
      <c r="L562" s="3">
        <v>191177</v>
      </c>
      <c r="M562" s="3">
        <v>198164</v>
      </c>
      <c r="N562" s="3">
        <v>209876</v>
      </c>
      <c r="O562" s="3">
        <v>215920</v>
      </c>
      <c r="P562" s="3">
        <v>212976</v>
      </c>
      <c r="Q562" s="3">
        <v>222575</v>
      </c>
      <c r="R562" s="3">
        <v>226505</v>
      </c>
      <c r="S562" s="3">
        <v>232285</v>
      </c>
      <c r="T562" s="3">
        <v>234714</v>
      </c>
      <c r="U562" s="3">
        <v>244050</v>
      </c>
      <c r="V562" s="3">
        <v>252128</v>
      </c>
      <c r="W562" s="3">
        <v>256149</v>
      </c>
      <c r="X562" s="3">
        <v>270066</v>
      </c>
      <c r="Y562" s="3">
        <v>278456</v>
      </c>
      <c r="Z562" s="3">
        <v>277833</v>
      </c>
      <c r="AA562" s="3">
        <v>292600</v>
      </c>
      <c r="AB562" s="3">
        <v>298287</v>
      </c>
      <c r="AC562" s="3">
        <v>306784</v>
      </c>
      <c r="AD562" s="3">
        <v>308060</v>
      </c>
      <c r="AE562" s="3">
        <v>312026</v>
      </c>
      <c r="AF562" s="3">
        <v>323369</v>
      </c>
      <c r="AG562" s="3">
        <v>335386</v>
      </c>
      <c r="AH562" s="3">
        <v>343820</v>
      </c>
      <c r="AI562" s="3">
        <v>350794</v>
      </c>
      <c r="AJ562" s="3">
        <v>355575</v>
      </c>
      <c r="AK562" s="3">
        <v>359239</v>
      </c>
      <c r="AL562" s="3">
        <v>363712</v>
      </c>
      <c r="AM562" s="3">
        <v>366577</v>
      </c>
      <c r="AN562" s="3">
        <v>376843</v>
      </c>
      <c r="AO562" s="3">
        <v>377384</v>
      </c>
      <c r="AP562" s="3">
        <v>388136</v>
      </c>
      <c r="AQ562" s="3">
        <v>397676</v>
      </c>
      <c r="AR562" s="3">
        <v>393835</v>
      </c>
      <c r="AS562" s="3">
        <v>413113</v>
      </c>
      <c r="AT562" s="3">
        <v>406587</v>
      </c>
      <c r="AU562" s="3">
        <v>411702</v>
      </c>
      <c r="AV562" s="3">
        <v>406895</v>
      </c>
      <c r="AW562" s="3">
        <v>412933</v>
      </c>
      <c r="AX562" s="3">
        <v>418577</v>
      </c>
      <c r="AY562" s="3">
        <v>426277</v>
      </c>
      <c r="AZ562" s="3">
        <v>435110</v>
      </c>
      <c r="BA562" s="3">
        <v>435287</v>
      </c>
      <c r="BB562" s="3">
        <v>446232</v>
      </c>
    </row>
    <row r="563" spans="1:54" x14ac:dyDescent="0.25">
      <c r="A563" s="14"/>
      <c r="B563" s="6" t="s">
        <v>13</v>
      </c>
      <c r="C563" s="6" t="s">
        <v>6</v>
      </c>
      <c r="D563" s="8">
        <v>40812</v>
      </c>
      <c r="E563" s="8">
        <v>38578</v>
      </c>
      <c r="F563" s="8">
        <v>41800</v>
      </c>
      <c r="G563" s="8">
        <v>43720</v>
      </c>
      <c r="H563" s="8">
        <v>41619</v>
      </c>
      <c r="I563" s="8">
        <v>46372</v>
      </c>
      <c r="J563" s="8">
        <v>49309</v>
      </c>
      <c r="K563" s="8">
        <v>53260</v>
      </c>
      <c r="L563" s="8">
        <v>51451</v>
      </c>
      <c r="M563" s="8">
        <v>54812</v>
      </c>
      <c r="N563" s="8">
        <v>55122</v>
      </c>
      <c r="O563" s="8">
        <v>57669</v>
      </c>
      <c r="P563" s="8">
        <v>54004</v>
      </c>
      <c r="Q563" s="8">
        <v>65911</v>
      </c>
      <c r="R563" s="8">
        <v>60328</v>
      </c>
      <c r="S563" s="8">
        <v>63824</v>
      </c>
      <c r="T563" s="8">
        <v>62157</v>
      </c>
      <c r="U563" s="8">
        <v>64411</v>
      </c>
      <c r="V563" s="8">
        <v>63631</v>
      </c>
      <c r="W563" s="8">
        <v>61564</v>
      </c>
      <c r="X563" s="8">
        <v>59403</v>
      </c>
      <c r="Y563" s="8">
        <v>70453</v>
      </c>
      <c r="Z563" s="8">
        <v>65157</v>
      </c>
      <c r="AA563" s="8">
        <v>58577</v>
      </c>
      <c r="AB563" s="8">
        <v>65890</v>
      </c>
      <c r="AC563" s="8">
        <v>70247</v>
      </c>
      <c r="AD563" s="8">
        <v>64544</v>
      </c>
      <c r="AE563" s="8">
        <v>56598</v>
      </c>
      <c r="AF563" s="8">
        <v>54559</v>
      </c>
      <c r="AG563" s="8">
        <v>55377</v>
      </c>
      <c r="AH563" s="8">
        <v>53730</v>
      </c>
      <c r="AI563" s="8">
        <v>53724</v>
      </c>
      <c r="AJ563" s="8">
        <v>65610</v>
      </c>
      <c r="AK563" s="8">
        <v>55498</v>
      </c>
      <c r="AL563" s="8">
        <v>57632</v>
      </c>
      <c r="AM563" s="8">
        <v>55350</v>
      </c>
      <c r="AN563" s="8">
        <v>69783</v>
      </c>
      <c r="AO563" s="8">
        <v>58003</v>
      </c>
      <c r="AP563" s="8">
        <v>60679</v>
      </c>
      <c r="AQ563" s="8">
        <v>59281</v>
      </c>
      <c r="AR563" s="8">
        <v>55337</v>
      </c>
      <c r="AS563" s="8">
        <v>59993</v>
      </c>
      <c r="AT563" s="8">
        <v>53610</v>
      </c>
      <c r="AU563" s="8">
        <v>60134</v>
      </c>
      <c r="AV563" s="8">
        <v>58812</v>
      </c>
      <c r="AW563" s="8">
        <v>59634</v>
      </c>
      <c r="AX563" s="8">
        <v>57650</v>
      </c>
      <c r="AY563" s="8">
        <v>65909</v>
      </c>
      <c r="AZ563" s="8">
        <v>64846</v>
      </c>
      <c r="BA563" s="8">
        <v>59257</v>
      </c>
      <c r="BB563" s="8">
        <v>65228</v>
      </c>
    </row>
    <row r="564" spans="1:54" x14ac:dyDescent="0.25">
      <c r="A564" s="12"/>
      <c r="B564" s="2"/>
      <c r="C564" s="2" t="s">
        <v>7</v>
      </c>
      <c r="D564" s="3">
        <v>2311</v>
      </c>
      <c r="E564" s="3">
        <v>2516</v>
      </c>
      <c r="F564" s="3">
        <v>3633</v>
      </c>
      <c r="G564" s="3">
        <v>3534</v>
      </c>
      <c r="H564" s="3">
        <v>4026</v>
      </c>
      <c r="I564" s="3">
        <v>6268</v>
      </c>
      <c r="J564" s="3">
        <v>8754</v>
      </c>
      <c r="K564" s="3">
        <v>6226</v>
      </c>
      <c r="L564" s="3">
        <v>4214</v>
      </c>
      <c r="M564" s="3">
        <v>5086</v>
      </c>
      <c r="N564" s="3">
        <v>7213</v>
      </c>
      <c r="O564" s="3">
        <v>5854</v>
      </c>
      <c r="P564" s="3">
        <v>6698</v>
      </c>
      <c r="Q564" s="3">
        <v>8844</v>
      </c>
      <c r="R564" s="3">
        <v>8464</v>
      </c>
      <c r="S564" s="3">
        <v>9168</v>
      </c>
      <c r="T564" s="3">
        <v>11701</v>
      </c>
      <c r="U564" s="3">
        <v>10611</v>
      </c>
      <c r="V564" s="3">
        <v>10644</v>
      </c>
      <c r="W564" s="3">
        <v>12191</v>
      </c>
      <c r="X564" s="3">
        <v>12524</v>
      </c>
      <c r="Y564" s="3">
        <v>14027</v>
      </c>
      <c r="Z564" s="3">
        <v>12099</v>
      </c>
      <c r="AA564" s="3">
        <v>12817</v>
      </c>
      <c r="AB564" s="3">
        <v>12629</v>
      </c>
      <c r="AC564" s="3">
        <v>9457</v>
      </c>
      <c r="AD564" s="3">
        <v>7907</v>
      </c>
      <c r="AE564" s="3">
        <v>8145</v>
      </c>
      <c r="AF564" s="3">
        <v>10880</v>
      </c>
      <c r="AG564" s="3">
        <v>8694</v>
      </c>
      <c r="AH564" s="3">
        <v>7571</v>
      </c>
      <c r="AI564" s="3">
        <v>9656</v>
      </c>
      <c r="AJ564" s="3">
        <v>8620</v>
      </c>
      <c r="AK564" s="3">
        <v>6982</v>
      </c>
      <c r="AL564" s="3">
        <v>6044</v>
      </c>
      <c r="AM564" s="3">
        <v>6291</v>
      </c>
      <c r="AN564" s="3">
        <v>6009</v>
      </c>
      <c r="AO564" s="3">
        <v>6868</v>
      </c>
      <c r="AP564" s="3">
        <v>6799</v>
      </c>
      <c r="AQ564" s="3">
        <v>8228</v>
      </c>
      <c r="AR564" s="3">
        <v>7600</v>
      </c>
      <c r="AS564" s="3">
        <v>7033</v>
      </c>
      <c r="AT564" s="3">
        <v>5466</v>
      </c>
      <c r="AU564" s="3">
        <v>6572</v>
      </c>
      <c r="AV564" s="3">
        <v>5262</v>
      </c>
      <c r="AW564" s="3">
        <v>5335</v>
      </c>
      <c r="AX564" s="3">
        <v>4839</v>
      </c>
      <c r="AY564" s="3">
        <v>9679</v>
      </c>
      <c r="AZ564" s="3">
        <v>6112</v>
      </c>
      <c r="BA564" s="3">
        <v>6137</v>
      </c>
      <c r="BB564" s="3">
        <v>6526</v>
      </c>
    </row>
    <row r="565" spans="1:54" x14ac:dyDescent="0.25">
      <c r="A565" s="14"/>
      <c r="B565" s="6"/>
      <c r="C565" s="6" t="s">
        <v>8</v>
      </c>
      <c r="D565" s="8">
        <v>2479</v>
      </c>
      <c r="E565" s="8">
        <v>3179</v>
      </c>
      <c r="F565" s="8">
        <v>3802</v>
      </c>
      <c r="G565" s="8">
        <v>3753</v>
      </c>
      <c r="H565" s="8">
        <v>4342</v>
      </c>
      <c r="I565" s="8">
        <v>8309</v>
      </c>
      <c r="J565" s="8">
        <v>7281</v>
      </c>
      <c r="K565" s="8">
        <v>5845</v>
      </c>
      <c r="L565" s="8">
        <v>4658</v>
      </c>
      <c r="M565" s="8">
        <v>6118</v>
      </c>
      <c r="N565" s="8">
        <v>7930</v>
      </c>
      <c r="O565" s="8">
        <v>5037</v>
      </c>
      <c r="P565" s="8">
        <v>8627</v>
      </c>
      <c r="Q565" s="8">
        <v>10587</v>
      </c>
      <c r="R565" s="8">
        <v>9178</v>
      </c>
      <c r="S565" s="8">
        <v>10758</v>
      </c>
      <c r="T565" s="8">
        <v>11663</v>
      </c>
      <c r="U565" s="8">
        <v>11376</v>
      </c>
      <c r="V565" s="8">
        <v>9985</v>
      </c>
      <c r="W565" s="8">
        <v>11418</v>
      </c>
      <c r="X565" s="8">
        <v>14015</v>
      </c>
      <c r="Y565" s="8">
        <v>13808</v>
      </c>
      <c r="Z565" s="8">
        <v>11495</v>
      </c>
      <c r="AA565" s="8">
        <v>12393</v>
      </c>
      <c r="AB565" s="8">
        <v>12760</v>
      </c>
      <c r="AC565" s="8">
        <v>8716</v>
      </c>
      <c r="AD565" s="8">
        <v>7857</v>
      </c>
      <c r="AE565" s="8">
        <v>8342</v>
      </c>
      <c r="AF565" s="8">
        <v>10197</v>
      </c>
      <c r="AG565" s="8">
        <v>9397</v>
      </c>
      <c r="AH565" s="8">
        <v>7898</v>
      </c>
      <c r="AI565" s="8">
        <v>9278</v>
      </c>
      <c r="AJ565" s="8">
        <v>9135</v>
      </c>
      <c r="AK565" s="8">
        <v>6709</v>
      </c>
      <c r="AL565" s="8">
        <v>6409</v>
      </c>
      <c r="AM565" s="8">
        <v>6686</v>
      </c>
      <c r="AN565" s="8">
        <v>6414</v>
      </c>
      <c r="AO565" s="8">
        <v>6980</v>
      </c>
      <c r="AP565" s="8">
        <v>6342</v>
      </c>
      <c r="AQ565" s="8">
        <v>8521</v>
      </c>
      <c r="AR565" s="8">
        <v>7342</v>
      </c>
      <c r="AS565" s="8">
        <v>7116</v>
      </c>
      <c r="AT565" s="8">
        <v>5715</v>
      </c>
      <c r="AU565" s="8">
        <v>6539</v>
      </c>
      <c r="AV565" s="8">
        <v>5403</v>
      </c>
      <c r="AW565" s="8">
        <v>5378</v>
      </c>
      <c r="AX565" s="8">
        <v>5463</v>
      </c>
      <c r="AY565" s="8">
        <v>9730</v>
      </c>
      <c r="AZ565" s="8">
        <v>5984</v>
      </c>
      <c r="BA565" s="8">
        <v>6648</v>
      </c>
      <c r="BB565" s="8">
        <v>6519</v>
      </c>
    </row>
    <row r="566" spans="1:54" x14ac:dyDescent="0.25">
      <c r="A566" s="12"/>
      <c r="B566" s="2"/>
      <c r="C566" s="2" t="s">
        <v>9</v>
      </c>
      <c r="D566" s="3">
        <v>37829</v>
      </c>
      <c r="E566" s="3">
        <v>38091</v>
      </c>
      <c r="F566" s="3">
        <v>40403</v>
      </c>
      <c r="G566" s="3">
        <v>43990</v>
      </c>
      <c r="H566" s="3">
        <v>43601</v>
      </c>
      <c r="I566" s="3">
        <v>50012</v>
      </c>
      <c r="J566" s="3">
        <v>52184</v>
      </c>
      <c r="K566" s="3">
        <v>51740</v>
      </c>
      <c r="L566" s="3">
        <v>52201</v>
      </c>
      <c r="M566" s="3">
        <v>55437</v>
      </c>
      <c r="N566" s="3">
        <v>58482</v>
      </c>
      <c r="O566" s="3">
        <v>57269</v>
      </c>
      <c r="P566" s="3">
        <v>54053</v>
      </c>
      <c r="Q566" s="3">
        <v>63797</v>
      </c>
      <c r="R566" s="3">
        <v>58293</v>
      </c>
      <c r="S566" s="3">
        <v>61901</v>
      </c>
      <c r="T566" s="3">
        <v>61358</v>
      </c>
      <c r="U566" s="3">
        <v>60949</v>
      </c>
      <c r="V566" s="3">
        <v>64474</v>
      </c>
      <c r="W566" s="3">
        <v>63485</v>
      </c>
      <c r="X566" s="3">
        <v>57853</v>
      </c>
      <c r="Y566" s="3">
        <v>66695</v>
      </c>
      <c r="Z566" s="3">
        <v>63905</v>
      </c>
      <c r="AA566" s="3">
        <v>62455</v>
      </c>
      <c r="AB566" s="3">
        <v>65971</v>
      </c>
      <c r="AC566" s="3">
        <v>65642</v>
      </c>
      <c r="AD566" s="3">
        <v>60353</v>
      </c>
      <c r="AE566" s="3">
        <v>59718</v>
      </c>
      <c r="AF566" s="3">
        <v>59276</v>
      </c>
      <c r="AG566" s="3">
        <v>60401</v>
      </c>
      <c r="AH566" s="3">
        <v>56013</v>
      </c>
      <c r="AI566" s="3">
        <v>55869</v>
      </c>
      <c r="AJ566" s="3">
        <v>61483</v>
      </c>
      <c r="AK566" s="3">
        <v>61062</v>
      </c>
      <c r="AL566" s="3">
        <v>57187</v>
      </c>
      <c r="AM566" s="3">
        <v>56336</v>
      </c>
      <c r="AN566" s="3">
        <v>66968</v>
      </c>
      <c r="AO566" s="3">
        <v>58222</v>
      </c>
      <c r="AP566" s="3">
        <v>59803</v>
      </c>
      <c r="AQ566" s="3">
        <v>60186</v>
      </c>
      <c r="AR566" s="3">
        <v>56912</v>
      </c>
      <c r="AS566" s="3">
        <v>58837</v>
      </c>
      <c r="AT566" s="3">
        <v>54209</v>
      </c>
      <c r="AU566" s="3">
        <v>58966</v>
      </c>
      <c r="AV566" s="3">
        <v>58772</v>
      </c>
      <c r="AW566" s="3">
        <v>59293</v>
      </c>
      <c r="AX566" s="3">
        <v>57792</v>
      </c>
      <c r="AY566" s="3">
        <v>64472</v>
      </c>
      <c r="AZ566" s="3">
        <v>64490</v>
      </c>
      <c r="BA566" s="3">
        <v>61074</v>
      </c>
      <c r="BB566" s="3">
        <v>64743</v>
      </c>
    </row>
    <row r="567" spans="1:54" ht="15.75" thickBot="1" x14ac:dyDescent="0.3">
      <c r="A567" s="12"/>
      <c r="B567" s="26" t="s">
        <v>14</v>
      </c>
      <c r="C567" s="26" t="s">
        <v>42</v>
      </c>
      <c r="D567" s="27">
        <v>53346</v>
      </c>
      <c r="E567" s="27">
        <v>50737</v>
      </c>
      <c r="F567" s="27">
        <v>54263</v>
      </c>
      <c r="G567" s="27">
        <v>57243</v>
      </c>
      <c r="H567" s="27">
        <v>63201</v>
      </c>
      <c r="I567" s="27">
        <v>61161</v>
      </c>
      <c r="J567" s="27">
        <v>64546</v>
      </c>
      <c r="K567" s="27">
        <v>65662</v>
      </c>
      <c r="L567" s="27">
        <v>66699</v>
      </c>
      <c r="M567" s="27">
        <v>69441</v>
      </c>
      <c r="N567" s="27">
        <v>70328</v>
      </c>
      <c r="O567" s="27">
        <v>71170</v>
      </c>
      <c r="P567" s="27">
        <v>74749</v>
      </c>
      <c r="Q567" s="27">
        <v>81278</v>
      </c>
      <c r="R567" s="27">
        <v>80978</v>
      </c>
      <c r="S567" s="27">
        <v>82423</v>
      </c>
      <c r="T567" s="27">
        <v>86107</v>
      </c>
      <c r="U567" s="27">
        <v>92770</v>
      </c>
      <c r="V567" s="27">
        <v>91547</v>
      </c>
      <c r="W567" s="27">
        <v>84626</v>
      </c>
      <c r="X567" s="27">
        <v>88577</v>
      </c>
      <c r="Y567" s="27">
        <v>99902</v>
      </c>
      <c r="Z567" s="27">
        <v>100778</v>
      </c>
      <c r="AA567" s="27">
        <v>96009</v>
      </c>
      <c r="AB567" s="27">
        <v>100112</v>
      </c>
      <c r="AC567" s="27">
        <v>98724</v>
      </c>
      <c r="AD567" s="27">
        <v>103939</v>
      </c>
      <c r="AE567" s="27">
        <v>102780</v>
      </c>
      <c r="AF567" s="27">
        <v>105791</v>
      </c>
      <c r="AG567" s="27">
        <v>109967</v>
      </c>
      <c r="AH567" s="27">
        <v>114425</v>
      </c>
      <c r="AI567" s="27">
        <v>117426</v>
      </c>
      <c r="AJ567" s="27">
        <v>113237</v>
      </c>
      <c r="AK567" s="27">
        <v>111015</v>
      </c>
      <c r="AL567" s="27">
        <v>118021</v>
      </c>
      <c r="AM567" s="27">
        <v>123730</v>
      </c>
      <c r="AN567" s="27">
        <v>124327</v>
      </c>
      <c r="AO567" s="27">
        <v>125506</v>
      </c>
      <c r="AP567" s="27">
        <v>130851</v>
      </c>
      <c r="AQ567" s="27">
        <v>135722</v>
      </c>
      <c r="AR567" s="27">
        <v>130764</v>
      </c>
      <c r="AS567" s="27">
        <v>134398</v>
      </c>
      <c r="AT567" s="27">
        <v>148552</v>
      </c>
      <c r="AU567" s="27">
        <v>142487</v>
      </c>
      <c r="AV567" s="27">
        <v>140674</v>
      </c>
      <c r="AW567" s="27">
        <v>144550</v>
      </c>
      <c r="AX567" s="27">
        <v>164196</v>
      </c>
      <c r="AY567" s="27">
        <v>163087</v>
      </c>
      <c r="AZ567" s="27">
        <v>143932</v>
      </c>
      <c r="BA567" s="27">
        <v>153459</v>
      </c>
      <c r="BB567" s="28">
        <v>161899</v>
      </c>
    </row>
    <row r="568" spans="1:54" x14ac:dyDescent="0.25">
      <c r="A568" s="12"/>
      <c r="B568" s="6"/>
      <c r="C568" s="6" t="s">
        <v>45</v>
      </c>
      <c r="D568" s="8">
        <v>15020</v>
      </c>
      <c r="E568" s="8">
        <v>15438</v>
      </c>
      <c r="F568" s="8">
        <v>13305</v>
      </c>
      <c r="G568" s="8">
        <v>13977</v>
      </c>
      <c r="H568" s="8">
        <v>13322</v>
      </c>
      <c r="I568" s="8">
        <v>14931</v>
      </c>
      <c r="J568" s="8">
        <v>14960</v>
      </c>
      <c r="K568" s="8">
        <v>15715</v>
      </c>
      <c r="L568" s="8">
        <v>15209</v>
      </c>
      <c r="M568" s="8">
        <v>17370</v>
      </c>
      <c r="N568" s="8">
        <v>17250</v>
      </c>
      <c r="O568" s="8">
        <v>17661</v>
      </c>
      <c r="P568" s="8">
        <v>18597</v>
      </c>
      <c r="Q568" s="8">
        <v>22795</v>
      </c>
      <c r="R568" s="8">
        <v>22512</v>
      </c>
      <c r="S568" s="8">
        <v>22813</v>
      </c>
      <c r="T568" s="8">
        <v>25561</v>
      </c>
      <c r="U568" s="8">
        <v>26618</v>
      </c>
      <c r="V568" s="8">
        <v>26307</v>
      </c>
      <c r="W568" s="8">
        <v>29372</v>
      </c>
      <c r="X568" s="8">
        <v>28215</v>
      </c>
      <c r="Y568" s="8">
        <v>30742</v>
      </c>
      <c r="Z568" s="8">
        <v>29784</v>
      </c>
      <c r="AA568" s="8">
        <v>28595</v>
      </c>
      <c r="AB568" s="8">
        <v>28172</v>
      </c>
      <c r="AC568" s="8">
        <v>28040</v>
      </c>
      <c r="AD568" s="8">
        <v>27344</v>
      </c>
      <c r="AE568" s="8">
        <v>28407</v>
      </c>
      <c r="AF568" s="8">
        <v>28773</v>
      </c>
      <c r="AG568" s="8">
        <v>28978</v>
      </c>
      <c r="AH568" s="8">
        <v>32054</v>
      </c>
      <c r="AI568" s="8">
        <v>30884</v>
      </c>
      <c r="AJ568" s="8">
        <v>28566</v>
      </c>
      <c r="AK568" s="8">
        <v>30538</v>
      </c>
      <c r="AL568" s="8">
        <v>32611</v>
      </c>
      <c r="AM568" s="8">
        <v>34253</v>
      </c>
      <c r="AN568" s="8">
        <v>33720</v>
      </c>
      <c r="AO568" s="8">
        <v>34416</v>
      </c>
      <c r="AP568" s="8">
        <v>37162</v>
      </c>
      <c r="AQ568" s="8">
        <v>37023</v>
      </c>
      <c r="AR568" s="8">
        <v>40353</v>
      </c>
      <c r="AS568" s="8">
        <v>39693</v>
      </c>
      <c r="AT568" s="8">
        <v>41714</v>
      </c>
      <c r="AU568" s="8">
        <v>41226</v>
      </c>
      <c r="AV568" s="8">
        <v>45418</v>
      </c>
      <c r="AW568" s="8">
        <v>44757</v>
      </c>
      <c r="AX568" s="8">
        <v>43504</v>
      </c>
      <c r="AY568" s="8">
        <v>45487</v>
      </c>
      <c r="AZ568" s="8">
        <v>47287</v>
      </c>
      <c r="BA568" s="8">
        <v>51409</v>
      </c>
      <c r="BB568" s="25">
        <v>49159</v>
      </c>
    </row>
    <row r="569" spans="1:54" x14ac:dyDescent="0.25">
      <c r="A569" s="12"/>
      <c r="B569" s="2"/>
      <c r="C569" s="2" t="s">
        <v>44</v>
      </c>
      <c r="D569" s="3">
        <v>19104</v>
      </c>
      <c r="E569" s="3">
        <v>17799</v>
      </c>
      <c r="F569" s="3">
        <v>18342</v>
      </c>
      <c r="G569" s="3">
        <v>17892</v>
      </c>
      <c r="H569" s="3">
        <v>19308</v>
      </c>
      <c r="I569" s="3">
        <v>18560</v>
      </c>
      <c r="J569" s="3">
        <v>19819</v>
      </c>
      <c r="K569" s="3">
        <v>20021</v>
      </c>
      <c r="L569" s="3">
        <v>18985</v>
      </c>
      <c r="M569" s="3">
        <v>21552</v>
      </c>
      <c r="N569" s="3">
        <v>21253</v>
      </c>
      <c r="O569" s="3">
        <v>20858</v>
      </c>
      <c r="P569" s="3">
        <v>21804</v>
      </c>
      <c r="Q569" s="3">
        <v>24564</v>
      </c>
      <c r="R569" s="3">
        <v>22677</v>
      </c>
      <c r="S569" s="3">
        <v>22896</v>
      </c>
      <c r="T569" s="3">
        <v>25973</v>
      </c>
      <c r="U569" s="3">
        <v>28249</v>
      </c>
      <c r="V569" s="3">
        <v>27086</v>
      </c>
      <c r="W569" s="3">
        <v>27306</v>
      </c>
      <c r="X569" s="3">
        <v>28372</v>
      </c>
      <c r="Y569" s="3">
        <v>31773</v>
      </c>
      <c r="Z569" s="3">
        <v>30656</v>
      </c>
      <c r="AA569" s="3">
        <v>29319</v>
      </c>
      <c r="AB569" s="3">
        <v>29569</v>
      </c>
      <c r="AC569" s="3">
        <v>29489</v>
      </c>
      <c r="AD569" s="3">
        <v>27620</v>
      </c>
      <c r="AE569" s="3">
        <v>27179</v>
      </c>
      <c r="AF569" s="3">
        <v>27767</v>
      </c>
      <c r="AG569" s="3">
        <v>34140</v>
      </c>
      <c r="AH569" s="3">
        <v>33920</v>
      </c>
      <c r="AI569" s="3">
        <v>32600</v>
      </c>
      <c r="AJ569" s="3">
        <v>28782</v>
      </c>
      <c r="AK569" s="3">
        <v>29734</v>
      </c>
      <c r="AL569" s="3">
        <v>31033</v>
      </c>
      <c r="AM569" s="3">
        <v>35307</v>
      </c>
      <c r="AN569" s="3">
        <v>37937</v>
      </c>
      <c r="AO569" s="3">
        <v>37683</v>
      </c>
      <c r="AP569" s="3">
        <v>37566</v>
      </c>
      <c r="AQ569" s="3">
        <v>41770</v>
      </c>
      <c r="AR569" s="3">
        <v>38290</v>
      </c>
      <c r="AS569" s="3">
        <v>42332</v>
      </c>
      <c r="AT569" s="3">
        <v>47205</v>
      </c>
      <c r="AU569" s="3">
        <v>46535</v>
      </c>
      <c r="AV569" s="3">
        <v>46930</v>
      </c>
      <c r="AW569" s="3">
        <v>49864</v>
      </c>
      <c r="AX569" s="3">
        <v>51439</v>
      </c>
      <c r="AY569" s="3">
        <v>51535</v>
      </c>
      <c r="AZ569" s="3">
        <v>48880</v>
      </c>
      <c r="BA569" s="3">
        <v>51807</v>
      </c>
      <c r="BB569" s="24">
        <v>51824</v>
      </c>
    </row>
    <row r="570" spans="1:54" ht="30" x14ac:dyDescent="0.25">
      <c r="A570" s="12"/>
      <c r="B570" s="6"/>
      <c r="C570" s="6" t="s">
        <v>43</v>
      </c>
      <c r="D570" s="8">
        <v>47461</v>
      </c>
      <c r="E570" s="8">
        <v>49556</v>
      </c>
      <c r="F570" s="8">
        <v>50815</v>
      </c>
      <c r="G570" s="8">
        <v>51824</v>
      </c>
      <c r="H570" s="8">
        <v>54203</v>
      </c>
      <c r="I570" s="8">
        <v>56699</v>
      </c>
      <c r="J570" s="8">
        <v>58820</v>
      </c>
      <c r="K570" s="8">
        <v>60275</v>
      </c>
      <c r="L570" s="8">
        <v>61624</v>
      </c>
      <c r="M570" s="8">
        <v>64717</v>
      </c>
      <c r="N570" s="8">
        <v>67443</v>
      </c>
      <c r="O570" s="8">
        <v>69912</v>
      </c>
      <c r="P570" s="8">
        <v>71903</v>
      </c>
      <c r="Q570" s="8">
        <v>82415</v>
      </c>
      <c r="R570" s="8">
        <v>78649</v>
      </c>
      <c r="S570" s="8">
        <v>81202</v>
      </c>
      <c r="T570" s="8">
        <v>83283</v>
      </c>
      <c r="U570" s="8">
        <v>87171</v>
      </c>
      <c r="V570" s="8">
        <v>90316</v>
      </c>
      <c r="W570" s="8">
        <v>91035</v>
      </c>
      <c r="X570" s="8">
        <v>91196</v>
      </c>
      <c r="Y570" s="8">
        <v>92347</v>
      </c>
      <c r="Z570" s="8">
        <v>94537</v>
      </c>
      <c r="AA570" s="8">
        <v>98532</v>
      </c>
      <c r="AB570" s="8">
        <v>97658</v>
      </c>
      <c r="AC570" s="8">
        <v>100025</v>
      </c>
      <c r="AD570" s="8">
        <v>104770</v>
      </c>
      <c r="AE570" s="8">
        <v>104856</v>
      </c>
      <c r="AF570" s="8">
        <v>105863</v>
      </c>
      <c r="AG570" s="8">
        <v>106824</v>
      </c>
      <c r="AH570" s="8">
        <v>110023</v>
      </c>
      <c r="AI570" s="8">
        <v>113645</v>
      </c>
      <c r="AJ570" s="8">
        <v>113925</v>
      </c>
      <c r="AK570" s="8">
        <v>113469</v>
      </c>
      <c r="AL570" s="8">
        <v>115571</v>
      </c>
      <c r="AM570" s="8">
        <v>117500</v>
      </c>
      <c r="AN570" s="8">
        <v>120740</v>
      </c>
      <c r="AO570" s="8">
        <v>123301</v>
      </c>
      <c r="AP570" s="8">
        <v>124538</v>
      </c>
      <c r="AQ570" s="8">
        <v>127372</v>
      </c>
      <c r="AR570" s="8">
        <v>130097</v>
      </c>
      <c r="AS570" s="8">
        <v>134343</v>
      </c>
      <c r="AT570" s="8">
        <v>138017</v>
      </c>
      <c r="AU570" s="8">
        <v>138898</v>
      </c>
      <c r="AV570" s="8">
        <v>142396</v>
      </c>
      <c r="AW570" s="8">
        <v>141824</v>
      </c>
      <c r="AX570" s="8">
        <v>150411</v>
      </c>
      <c r="AY570" s="8">
        <v>151413</v>
      </c>
      <c r="AZ570" s="8">
        <v>152856</v>
      </c>
      <c r="BA570" s="8">
        <v>154096</v>
      </c>
      <c r="BB570" s="25">
        <v>158202</v>
      </c>
    </row>
    <row r="571" spans="1:54" x14ac:dyDescent="0.25">
      <c r="A571" s="12"/>
      <c r="B571" s="2" t="s">
        <v>15</v>
      </c>
      <c r="C571" s="2" t="s">
        <v>6</v>
      </c>
      <c r="D571" s="3">
        <v>233451</v>
      </c>
      <c r="E571" s="3">
        <v>220049</v>
      </c>
      <c r="F571" s="3">
        <v>246780</v>
      </c>
      <c r="G571" s="3">
        <v>230387</v>
      </c>
      <c r="H571" s="3">
        <v>264911</v>
      </c>
      <c r="I571" s="3">
        <v>259312</v>
      </c>
      <c r="J571" s="3">
        <v>300651</v>
      </c>
      <c r="K571" s="3">
        <v>291948</v>
      </c>
      <c r="L571" s="3">
        <v>323774</v>
      </c>
      <c r="M571" s="3">
        <v>304021</v>
      </c>
      <c r="N571" s="3">
        <v>306531</v>
      </c>
      <c r="O571" s="3">
        <v>344119</v>
      </c>
      <c r="P571" s="3">
        <v>337486</v>
      </c>
      <c r="Q571" s="3">
        <v>366069</v>
      </c>
      <c r="R571" s="3">
        <v>355226</v>
      </c>
      <c r="S571" s="3">
        <v>352647</v>
      </c>
      <c r="T571" s="3">
        <v>414348</v>
      </c>
      <c r="U571" s="3">
        <v>377844</v>
      </c>
      <c r="V571" s="3">
        <v>438942</v>
      </c>
      <c r="W571" s="3">
        <v>417542</v>
      </c>
      <c r="X571" s="3">
        <v>435867</v>
      </c>
      <c r="Y571" s="3">
        <v>444995</v>
      </c>
      <c r="Z571" s="3">
        <v>472739</v>
      </c>
      <c r="AA571" s="3">
        <v>484307</v>
      </c>
      <c r="AB571" s="3">
        <v>508913</v>
      </c>
      <c r="AC571" s="3">
        <v>494811</v>
      </c>
      <c r="AD571" s="3">
        <v>524082</v>
      </c>
      <c r="AE571" s="3">
        <v>498710</v>
      </c>
      <c r="AF571" s="3">
        <v>495276</v>
      </c>
      <c r="AG571" s="3">
        <v>533132</v>
      </c>
      <c r="AH571" s="3">
        <v>588801</v>
      </c>
      <c r="AI571" s="3">
        <v>543510</v>
      </c>
      <c r="AJ571" s="3">
        <v>562634</v>
      </c>
      <c r="AK571" s="3">
        <v>558470</v>
      </c>
      <c r="AL571" s="3">
        <v>523031</v>
      </c>
      <c r="AM571" s="3">
        <v>537516</v>
      </c>
      <c r="AN571" s="3">
        <v>581470</v>
      </c>
      <c r="AO571" s="3">
        <v>610232</v>
      </c>
      <c r="AP571" s="3">
        <v>590436</v>
      </c>
      <c r="AQ571" s="3">
        <v>586797</v>
      </c>
      <c r="AR571" s="3">
        <v>583105</v>
      </c>
      <c r="AS571" s="3">
        <v>583555</v>
      </c>
      <c r="AT571" s="3">
        <v>568637</v>
      </c>
      <c r="AU571" s="3">
        <v>554775</v>
      </c>
      <c r="AV571" s="3">
        <v>626734</v>
      </c>
      <c r="AW571" s="3">
        <v>619136</v>
      </c>
      <c r="AX571" s="3">
        <v>596253</v>
      </c>
      <c r="AY571" s="3">
        <v>612095</v>
      </c>
      <c r="AZ571" s="3">
        <v>682190</v>
      </c>
      <c r="BA571" s="3">
        <v>683807</v>
      </c>
      <c r="BB571" s="3">
        <v>647181</v>
      </c>
    </row>
    <row r="572" spans="1:54" x14ac:dyDescent="0.25">
      <c r="A572" s="14"/>
      <c r="B572" s="6"/>
      <c r="C572" s="6" t="s">
        <v>7</v>
      </c>
      <c r="D572" s="8">
        <v>41527</v>
      </c>
      <c r="E572" s="8">
        <v>46039</v>
      </c>
      <c r="F572" s="8">
        <v>43168</v>
      </c>
      <c r="G572" s="8">
        <v>56641</v>
      </c>
      <c r="H572" s="8">
        <v>49086</v>
      </c>
      <c r="I572" s="8">
        <v>60090</v>
      </c>
      <c r="J572" s="8">
        <v>57611</v>
      </c>
      <c r="K572" s="8">
        <v>52290</v>
      </c>
      <c r="L572" s="8">
        <v>48500</v>
      </c>
      <c r="M572" s="8">
        <v>51418</v>
      </c>
      <c r="N572" s="8">
        <v>55808</v>
      </c>
      <c r="O572" s="8">
        <v>56330</v>
      </c>
      <c r="P572" s="8">
        <v>65618</v>
      </c>
      <c r="Q572" s="8">
        <v>59119</v>
      </c>
      <c r="R572" s="8">
        <v>58422</v>
      </c>
      <c r="S572" s="8">
        <v>66406</v>
      </c>
      <c r="T572" s="8">
        <v>59598</v>
      </c>
      <c r="U572" s="8">
        <v>69904</v>
      </c>
      <c r="V572" s="8">
        <v>68676</v>
      </c>
      <c r="W572" s="8">
        <v>82242</v>
      </c>
      <c r="X572" s="8">
        <v>89496</v>
      </c>
      <c r="Y572" s="8">
        <v>97042</v>
      </c>
      <c r="Z572" s="8">
        <v>93230</v>
      </c>
      <c r="AA572" s="8">
        <v>97994</v>
      </c>
      <c r="AB572" s="8">
        <v>101573</v>
      </c>
      <c r="AC572" s="8">
        <v>80505</v>
      </c>
      <c r="AD572" s="8">
        <v>86488</v>
      </c>
      <c r="AE572" s="8">
        <v>112247</v>
      </c>
      <c r="AF572" s="8">
        <v>102384</v>
      </c>
      <c r="AG572" s="8">
        <v>98797</v>
      </c>
      <c r="AH572" s="8">
        <v>99003</v>
      </c>
      <c r="AI572" s="8">
        <v>108361</v>
      </c>
      <c r="AJ572" s="8">
        <v>108810</v>
      </c>
      <c r="AK572" s="8">
        <v>98561</v>
      </c>
      <c r="AL572" s="8">
        <v>99877</v>
      </c>
      <c r="AM572" s="8">
        <v>97293</v>
      </c>
      <c r="AN572" s="8">
        <v>98466</v>
      </c>
      <c r="AO572" s="8">
        <v>103787</v>
      </c>
      <c r="AP572" s="8">
        <v>100006</v>
      </c>
      <c r="AQ572" s="8">
        <v>109193</v>
      </c>
      <c r="AR572" s="8">
        <v>99941</v>
      </c>
      <c r="AS572" s="8">
        <v>106163</v>
      </c>
      <c r="AT572" s="8">
        <v>103407</v>
      </c>
      <c r="AU572" s="8">
        <v>100334</v>
      </c>
      <c r="AV572" s="8">
        <v>109847</v>
      </c>
      <c r="AW572" s="8">
        <v>111577</v>
      </c>
      <c r="AX572" s="8">
        <v>114008</v>
      </c>
      <c r="AY572" s="8">
        <v>113805</v>
      </c>
      <c r="AZ572" s="8">
        <v>136933</v>
      </c>
      <c r="BA572" s="8">
        <v>133455</v>
      </c>
      <c r="BB572" s="8">
        <v>122674</v>
      </c>
    </row>
    <row r="573" spans="1:54" x14ac:dyDescent="0.25">
      <c r="A573" s="12"/>
      <c r="B573" s="2"/>
      <c r="C573" s="2" t="s">
        <v>8</v>
      </c>
      <c r="D573" s="3">
        <v>43857</v>
      </c>
      <c r="E573" s="3">
        <v>46949</v>
      </c>
      <c r="F573" s="3">
        <v>46227</v>
      </c>
      <c r="G573" s="3">
        <v>58265</v>
      </c>
      <c r="H573" s="3">
        <v>54869</v>
      </c>
      <c r="I573" s="3">
        <v>61066</v>
      </c>
      <c r="J573" s="3">
        <v>58404</v>
      </c>
      <c r="K573" s="3">
        <v>53551</v>
      </c>
      <c r="L573" s="3">
        <v>50268</v>
      </c>
      <c r="M573" s="3">
        <v>55817</v>
      </c>
      <c r="N573" s="3">
        <v>56479</v>
      </c>
      <c r="O573" s="3">
        <v>56060</v>
      </c>
      <c r="P573" s="3">
        <v>64801</v>
      </c>
      <c r="Q573" s="3">
        <v>65867</v>
      </c>
      <c r="R573" s="3">
        <v>61634</v>
      </c>
      <c r="S573" s="3">
        <v>66891</v>
      </c>
      <c r="T573" s="3">
        <v>63833</v>
      </c>
      <c r="U573" s="3">
        <v>66909</v>
      </c>
      <c r="V573" s="3">
        <v>76763</v>
      </c>
      <c r="W573" s="3">
        <v>85603</v>
      </c>
      <c r="X573" s="3">
        <v>90126</v>
      </c>
      <c r="Y573" s="3">
        <v>100376</v>
      </c>
      <c r="Z573" s="3">
        <v>100949</v>
      </c>
      <c r="AA573" s="3">
        <v>101794</v>
      </c>
      <c r="AB573" s="3">
        <v>103646</v>
      </c>
      <c r="AC573" s="3">
        <v>82452</v>
      </c>
      <c r="AD573" s="3">
        <v>89274</v>
      </c>
      <c r="AE573" s="3">
        <v>111565</v>
      </c>
      <c r="AF573" s="3">
        <v>105151</v>
      </c>
      <c r="AG573" s="3">
        <v>103419</v>
      </c>
      <c r="AH573" s="3">
        <v>103843</v>
      </c>
      <c r="AI573" s="3">
        <v>109948</v>
      </c>
      <c r="AJ573" s="3">
        <v>110039</v>
      </c>
      <c r="AK573" s="3">
        <v>103717</v>
      </c>
      <c r="AL573" s="3">
        <v>98215</v>
      </c>
      <c r="AM573" s="3">
        <v>99195</v>
      </c>
      <c r="AN573" s="3">
        <v>106903</v>
      </c>
      <c r="AO573" s="3">
        <v>104413</v>
      </c>
      <c r="AP573" s="3">
        <v>101297</v>
      </c>
      <c r="AQ573" s="3">
        <v>113468</v>
      </c>
      <c r="AR573" s="3">
        <v>101527</v>
      </c>
      <c r="AS573" s="3">
        <v>105915</v>
      </c>
      <c r="AT573" s="3">
        <v>105673</v>
      </c>
      <c r="AU573" s="3">
        <v>108733</v>
      </c>
      <c r="AV573" s="3">
        <v>111826</v>
      </c>
      <c r="AW573" s="3">
        <v>116985</v>
      </c>
      <c r="AX573" s="3">
        <v>111825</v>
      </c>
      <c r="AY573" s="3">
        <v>117282</v>
      </c>
      <c r="AZ573" s="3">
        <v>143660</v>
      </c>
      <c r="BA573" s="3">
        <v>135801</v>
      </c>
      <c r="BB573" s="3">
        <v>124157</v>
      </c>
    </row>
    <row r="574" spans="1:54" ht="15.75" thickBot="1" x14ac:dyDescent="0.3">
      <c r="A574" s="16"/>
      <c r="B574" s="17"/>
      <c r="C574" s="17" t="s">
        <v>9</v>
      </c>
      <c r="D574" s="18">
        <v>228550</v>
      </c>
      <c r="E574" s="18">
        <v>232231</v>
      </c>
      <c r="F574" s="18">
        <v>237725</v>
      </c>
      <c r="G574" s="18">
        <v>234282</v>
      </c>
      <c r="H574" s="18">
        <v>250976</v>
      </c>
      <c r="I574" s="18">
        <v>276081</v>
      </c>
      <c r="J574" s="18">
        <v>272970</v>
      </c>
      <c r="K574" s="18">
        <v>280645</v>
      </c>
      <c r="L574" s="18">
        <v>298359</v>
      </c>
      <c r="M574" s="18">
        <v>317390</v>
      </c>
      <c r="N574" s="18">
        <v>328874</v>
      </c>
      <c r="O574" s="18">
        <v>335674</v>
      </c>
      <c r="P574" s="18">
        <v>352619</v>
      </c>
      <c r="Q574" s="18">
        <v>351582</v>
      </c>
      <c r="R574" s="18">
        <v>353328</v>
      </c>
      <c r="S574" s="18">
        <v>346796</v>
      </c>
      <c r="T574" s="18">
        <v>369481</v>
      </c>
      <c r="U574" s="18">
        <v>398986</v>
      </c>
      <c r="V574" s="18">
        <v>405214</v>
      </c>
      <c r="W574" s="18">
        <v>428576</v>
      </c>
      <c r="X574" s="18">
        <v>443433</v>
      </c>
      <c r="Y574" s="18">
        <v>441758</v>
      </c>
      <c r="Z574" s="18">
        <v>447850</v>
      </c>
      <c r="AA574" s="18">
        <v>465073</v>
      </c>
      <c r="AB574" s="18">
        <v>484075</v>
      </c>
      <c r="AC574" s="18">
        <v>482527</v>
      </c>
      <c r="AD574" s="18">
        <v>508470</v>
      </c>
      <c r="AE574" s="18">
        <v>531254</v>
      </c>
      <c r="AF574" s="18">
        <v>516684</v>
      </c>
      <c r="AG574" s="18">
        <v>526684</v>
      </c>
      <c r="AH574" s="18">
        <v>549477</v>
      </c>
      <c r="AI574" s="18">
        <v>550254</v>
      </c>
      <c r="AJ574" s="18">
        <v>547303</v>
      </c>
      <c r="AK574" s="18">
        <v>547828</v>
      </c>
      <c r="AL574" s="18">
        <v>543801</v>
      </c>
      <c r="AM574" s="18">
        <v>543181</v>
      </c>
      <c r="AN574" s="18">
        <v>564347</v>
      </c>
      <c r="AO574" s="18">
        <v>576030</v>
      </c>
      <c r="AP574" s="18">
        <v>577950</v>
      </c>
      <c r="AQ574" s="18">
        <v>581495</v>
      </c>
      <c r="AR574" s="18">
        <v>584102</v>
      </c>
      <c r="AS574" s="18">
        <v>587057</v>
      </c>
      <c r="AT574" s="18">
        <v>602057</v>
      </c>
      <c r="AU574" s="18">
        <v>580874</v>
      </c>
      <c r="AV574" s="18">
        <v>605637</v>
      </c>
      <c r="AW574" s="18">
        <v>616693</v>
      </c>
      <c r="AX574" s="18">
        <v>618292</v>
      </c>
      <c r="AY574" s="18">
        <v>613280</v>
      </c>
      <c r="AZ574" s="18">
        <v>634755</v>
      </c>
      <c r="BA574" s="18">
        <v>650209</v>
      </c>
      <c r="BB574" s="18">
        <v>660774</v>
      </c>
    </row>
    <row r="575" spans="1:54" x14ac:dyDescent="0.25">
      <c r="A575" s="29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Arg</vt:lpstr>
      <vt:lpstr>Aus</vt:lpstr>
      <vt:lpstr>Bra</vt:lpstr>
      <vt:lpstr>Can</vt:lpstr>
      <vt:lpstr>Chi</vt:lpstr>
      <vt:lpstr>Egypt</vt:lpstr>
      <vt:lpstr>EU-28</vt:lpstr>
      <vt:lpstr>India</vt:lpstr>
      <vt:lpstr>Indo</vt:lpstr>
      <vt:lpstr>Jap</vt:lpstr>
      <vt:lpstr>SKor</vt:lpstr>
      <vt:lpstr>Mex</vt:lpstr>
      <vt:lpstr>Nig</vt:lpstr>
      <vt:lpstr>Pak</vt:lpstr>
      <vt:lpstr>Russ</vt:lpstr>
      <vt:lpstr>SAfr</vt:lpstr>
      <vt:lpstr>Thai</vt:lpstr>
      <vt:lpstr>Turk</vt:lpstr>
      <vt:lpstr>Uzbek</vt:lpstr>
      <vt:lpstr>Viet</vt:lpstr>
      <vt:lpstr>WAfr</vt:lpstr>
      <vt:lpstr>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Bibins</dc:creator>
  <cp:lastModifiedBy>Humphreys, Carter</cp:lastModifiedBy>
  <dcterms:created xsi:type="dcterms:W3CDTF">2011-05-01T18:41:46Z</dcterms:created>
  <dcterms:modified xsi:type="dcterms:W3CDTF">2015-04-28T19:42:12Z</dcterms:modified>
</cp:coreProperties>
</file>