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embeddings/oleObject5.bin" ContentType="application/vnd.openxmlformats-officedocument.oleObject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410" yWindow="-60" windowWidth="7710" windowHeight="8565" tabRatio="1000"/>
  </bookViews>
  <sheets>
    <sheet name="Steady State Conditions" sheetId="28" r:id="rId1"/>
    <sheet name="Transient Conditions" sheetId="32" r:id="rId2"/>
    <sheet name="Sensitivity Analysis" sheetId="29" r:id="rId3"/>
  </sheets>
  <definedNames>
    <definedName name="_Dam1">'Steady State Conditions'!$B$64</definedName>
    <definedName name="_Dam2">'Steady State Conditions'!$B$67</definedName>
    <definedName name="_lam1">'Steady State Conditions'!$B$12</definedName>
    <definedName name="_lam2">'Steady State Conditions'!$B$13</definedName>
    <definedName name="_Pe1">'Steady State Conditions'!$B$63</definedName>
    <definedName name="_Pe2">'Steady State Conditions'!$B$66</definedName>
    <definedName name="_Rf1">'Steady State Conditions'!$B$74</definedName>
    <definedName name="_Rf2">'Steady State Conditions'!$B$75</definedName>
    <definedName name="alpha">'Steady State Conditions'!$B$47</definedName>
    <definedName name="B">'Steady State Conditions'!$B$65</definedName>
    <definedName name="C0">'Steady State Conditions'!$B$16</definedName>
    <definedName name="Calctime">'Transient Conditions'!$B$9</definedName>
    <definedName name="Cbio">'Steady State Conditions'!$B$57</definedName>
    <definedName name="Cbioavg">'Steady State Conditions'!$B$59</definedName>
    <definedName name="Cbl">'Steady State Conditions'!$B$58</definedName>
    <definedName name="Cz">'Steady State Conditions'!$B$53</definedName>
    <definedName name="D" localSheetId="1">'Transient Conditions'!#REF!</definedName>
    <definedName name="D">#REF!</definedName>
    <definedName name="Da">'Transient Conditions'!$B$11</definedName>
    <definedName name="Dbio">'Steady State Conditions'!$B$50</definedName>
    <definedName name="Dbiop">'Steady State Conditions'!$B$28</definedName>
    <definedName name="Dbiopw">'Steady State Conditions'!$B$27</definedName>
    <definedName name="Deff">'Steady State Conditions'!$B$49</definedName>
    <definedName name="Dw">'Steady State Conditions'!$B$11</definedName>
    <definedName name="e">'Steady State Conditions'!$B$35</definedName>
    <definedName name="focbio">'Steady State Conditions'!$B$17</definedName>
    <definedName name="foceff">'Steady State Conditions'!$B$39</definedName>
    <definedName name="focz">'Steady State Conditions'!$B$41</definedName>
    <definedName name="G">'Steady State Conditions'!$B$68</definedName>
    <definedName name="h" localSheetId="1">'Transient Conditions'!#REF!</definedName>
    <definedName name="h">#REF!</definedName>
    <definedName name="hbio">'Steady State Conditions'!$B$23</definedName>
    <definedName name="hcap">'Steady State Conditions'!$B$72</definedName>
    <definedName name="heff">'Steady State Conditions'!$B$73</definedName>
    <definedName name="kbl">'Steady State Conditions'!$B$46</definedName>
    <definedName name="lambda" localSheetId="1">'Transient Conditions'!#REF!</definedName>
    <definedName name="lambda">#REF!</definedName>
    <definedName name="logKDOC">'Steady State Conditions'!$B$45</definedName>
    <definedName name="logKoc">'Steady State Conditions'!$B$44</definedName>
    <definedName name="logKow">'Steady State Conditions'!$B$10</definedName>
    <definedName name="Pe">'Transient Conditions'!$B$10</definedName>
    <definedName name="Rf" localSheetId="1">'Transient Conditions'!#REF!</definedName>
    <definedName name="Rf">#REF!</definedName>
    <definedName name="rhoDOC">'Steady State Conditions'!$B$18</definedName>
    <definedName name="rhop">'Steady State Conditions'!$B$36</definedName>
    <definedName name="Sh">'Steady State Conditions'!$B$69</definedName>
    <definedName name="tadv">'Steady State Conditions'!$B$77</definedName>
    <definedName name="tdecay">'Steady State Conditions'!$B$79</definedName>
    <definedName name="tdiff">'Steady State Conditions'!$B$78</definedName>
    <definedName name="tss">'Steady State Conditions'!$B$60</definedName>
    <definedName name="u" localSheetId="1">'Transient Conditions'!$B$12</definedName>
    <definedName name="u">#REF!</definedName>
    <definedName name="Ueff">'Steady State Conditions'!$B$76</definedName>
    <definedName name="v" localSheetId="1">'Transient Conditions'!#REF!</definedName>
    <definedName name="v">#REF!</definedName>
    <definedName name="Vdar">'Steady State Conditions'!$B$19</definedName>
    <definedName name="Vdep">'Steady State Conditions'!$B$20</definedName>
    <definedName name="Wz">'Steady State Conditions'!$B$54</definedName>
    <definedName name="z">'Steady State Conditions'!$B$40</definedName>
  </definedNames>
  <calcPr calcId="145621"/>
</workbook>
</file>

<file path=xl/calcChain.xml><?xml version="1.0" encoding="utf-8"?>
<calcChain xmlns="http://schemas.openxmlformats.org/spreadsheetml/2006/main">
  <c r="B9" i="32" l="1"/>
  <c r="D9" i="32"/>
  <c r="B20" i="29" l="1"/>
  <c r="C20" i="29" s="1"/>
  <c r="D20" i="29" s="1"/>
  <c r="E20" i="29" s="1"/>
  <c r="F20" i="29" s="1"/>
  <c r="G20" i="29" s="1"/>
  <c r="H20" i="29" s="1"/>
  <c r="I20" i="29" s="1"/>
  <c r="J20" i="29" s="1"/>
  <c r="K20" i="29" s="1"/>
  <c r="L20" i="29" s="1"/>
  <c r="M20" i="29" s="1"/>
  <c r="N20" i="29" s="1"/>
  <c r="O20" i="29" s="1"/>
  <c r="P20" i="29" s="1"/>
  <c r="B19" i="29"/>
  <c r="C19" i="29" s="1"/>
  <c r="D19" i="29" s="1"/>
  <c r="E19" i="29" s="1"/>
  <c r="F19" i="29" s="1"/>
  <c r="G19" i="29" s="1"/>
  <c r="H19" i="29" s="1"/>
  <c r="I19" i="29" s="1"/>
  <c r="J19" i="29" s="1"/>
  <c r="K19" i="29" s="1"/>
  <c r="L19" i="29" s="1"/>
  <c r="M19" i="29" s="1"/>
  <c r="N19" i="29" s="1"/>
  <c r="O19" i="29" s="1"/>
  <c r="P19" i="29" s="1"/>
  <c r="B17" i="29"/>
  <c r="C17" i="29" s="1"/>
  <c r="D17" i="29" s="1"/>
  <c r="E17" i="29" s="1"/>
  <c r="F17" i="29" s="1"/>
  <c r="G17" i="29" s="1"/>
  <c r="H17" i="29" s="1"/>
  <c r="I17" i="29" s="1"/>
  <c r="J17" i="29" s="1"/>
  <c r="K17" i="29" s="1"/>
  <c r="L17" i="29" s="1"/>
  <c r="M17" i="29" s="1"/>
  <c r="N17" i="29" s="1"/>
  <c r="O17" i="29" s="1"/>
  <c r="P17" i="29" s="1"/>
  <c r="B18" i="29"/>
  <c r="B50" i="28"/>
  <c r="B27" i="28" s="1"/>
  <c r="B23" i="28"/>
  <c r="B48" i="28" s="1"/>
  <c r="B37" i="28"/>
  <c r="C37" i="28" s="1"/>
  <c r="C18" i="29" l="1"/>
  <c r="B7" i="29"/>
  <c r="C7" i="29" s="1"/>
  <c r="C38" i="29"/>
  <c r="D38" i="29"/>
  <c r="E38" i="29"/>
  <c r="F38" i="29"/>
  <c r="G38" i="29"/>
  <c r="H38" i="29"/>
  <c r="I38" i="29"/>
  <c r="J38" i="29"/>
  <c r="K38" i="29"/>
  <c r="L38" i="29"/>
  <c r="M38" i="29"/>
  <c r="N38" i="29"/>
  <c r="O38" i="29"/>
  <c r="P38" i="29"/>
  <c r="B23" i="29"/>
  <c r="B27" i="29"/>
  <c r="B13" i="29"/>
  <c r="C13" i="29" s="1"/>
  <c r="D13" i="29" s="1"/>
  <c r="E13" i="29" s="1"/>
  <c r="F13" i="29" s="1"/>
  <c r="G13" i="29" s="1"/>
  <c r="H13" i="29" s="1"/>
  <c r="I13" i="29" s="1"/>
  <c r="J13" i="29" s="1"/>
  <c r="K13" i="29" s="1"/>
  <c r="L13" i="29" s="1"/>
  <c r="M13" i="29" s="1"/>
  <c r="N13" i="29" s="1"/>
  <c r="O13" i="29" s="1"/>
  <c r="P13" i="29" s="1"/>
  <c r="B28" i="29"/>
  <c r="C28" i="29" s="1"/>
  <c r="D28" i="29" s="1"/>
  <c r="E28" i="29" s="1"/>
  <c r="F28" i="29" s="1"/>
  <c r="G28" i="29" s="1"/>
  <c r="H28" i="29" s="1"/>
  <c r="I28" i="29" s="1"/>
  <c r="J28" i="29" s="1"/>
  <c r="K28" i="29" s="1"/>
  <c r="L28" i="29" s="1"/>
  <c r="M28" i="29" s="1"/>
  <c r="N28" i="29" s="1"/>
  <c r="O28" i="29" s="1"/>
  <c r="P28" i="29" s="1"/>
  <c r="B30" i="29"/>
  <c r="C30" i="29" s="1"/>
  <c r="D30" i="29" s="1"/>
  <c r="E30" i="29" s="1"/>
  <c r="F30" i="29" s="1"/>
  <c r="G30" i="29" s="1"/>
  <c r="H30" i="29" s="1"/>
  <c r="I30" i="29" s="1"/>
  <c r="J30" i="29" s="1"/>
  <c r="K30" i="29" s="1"/>
  <c r="L30" i="29" s="1"/>
  <c r="M30" i="29" s="1"/>
  <c r="N30" i="29" s="1"/>
  <c r="O30" i="29" s="1"/>
  <c r="P30" i="29" s="1"/>
  <c r="B25" i="29"/>
  <c r="C25" i="29" s="1"/>
  <c r="D25" i="29" s="1"/>
  <c r="E25" i="29" s="1"/>
  <c r="F25" i="29" s="1"/>
  <c r="G25" i="29" s="1"/>
  <c r="H25" i="29" s="1"/>
  <c r="I25" i="29" s="1"/>
  <c r="J25" i="29" s="1"/>
  <c r="K25" i="29" s="1"/>
  <c r="L25" i="29" s="1"/>
  <c r="M25" i="29" s="1"/>
  <c r="N25" i="29" s="1"/>
  <c r="O25" i="29" s="1"/>
  <c r="P25" i="29" s="1"/>
  <c r="B26" i="29"/>
  <c r="C26" i="29" s="1"/>
  <c r="D26" i="29" s="1"/>
  <c r="E26" i="29" s="1"/>
  <c r="F26" i="29" s="1"/>
  <c r="G26" i="29" s="1"/>
  <c r="H26" i="29" s="1"/>
  <c r="I26" i="29" s="1"/>
  <c r="J26" i="29" s="1"/>
  <c r="K26" i="29" s="1"/>
  <c r="L26" i="29" s="1"/>
  <c r="M26" i="29" s="1"/>
  <c r="N26" i="29" s="1"/>
  <c r="O26" i="29" s="1"/>
  <c r="P26" i="29" s="1"/>
  <c r="B16" i="29"/>
  <c r="B24" i="29"/>
  <c r="B8" i="29"/>
  <c r="C8" i="29" s="1"/>
  <c r="D8" i="29" s="1"/>
  <c r="E8" i="29" s="1"/>
  <c r="F8" i="29" s="1"/>
  <c r="G8" i="29" s="1"/>
  <c r="H8" i="29" s="1"/>
  <c r="I8" i="29" s="1"/>
  <c r="J8" i="29" s="1"/>
  <c r="K8" i="29" s="1"/>
  <c r="L8" i="29" s="1"/>
  <c r="M8" i="29" s="1"/>
  <c r="N8" i="29" s="1"/>
  <c r="O8" i="29" s="1"/>
  <c r="P8" i="29" s="1"/>
  <c r="B14" i="29"/>
  <c r="C14" i="29" s="1"/>
  <c r="D14" i="29" s="1"/>
  <c r="E14" i="29" s="1"/>
  <c r="B15" i="29"/>
  <c r="C15" i="29" s="1"/>
  <c r="D15" i="29" s="1"/>
  <c r="E15" i="29" s="1"/>
  <c r="F15" i="29" s="1"/>
  <c r="G15" i="29" s="1"/>
  <c r="H15" i="29" s="1"/>
  <c r="I15" i="29" s="1"/>
  <c r="J15" i="29" s="1"/>
  <c r="K15" i="29" s="1"/>
  <c r="L15" i="29" s="1"/>
  <c r="M15" i="29" s="1"/>
  <c r="N15" i="29" s="1"/>
  <c r="O15" i="29" s="1"/>
  <c r="P15" i="29" s="1"/>
  <c r="B22" i="29"/>
  <c r="C22" i="29" s="1"/>
  <c r="D22" i="29" s="1"/>
  <c r="E22" i="29" s="1"/>
  <c r="F22" i="29" s="1"/>
  <c r="G22" i="29" s="1"/>
  <c r="H22" i="29" s="1"/>
  <c r="I22" i="29" s="1"/>
  <c r="J22" i="29" s="1"/>
  <c r="K22" i="29" s="1"/>
  <c r="L22" i="29" s="1"/>
  <c r="M22" i="29" s="1"/>
  <c r="N22" i="29" s="1"/>
  <c r="O22" i="29" s="1"/>
  <c r="P22" i="29" s="1"/>
  <c r="B12" i="29"/>
  <c r="C12" i="29" s="1"/>
  <c r="D12" i="29" s="1"/>
  <c r="B9" i="29"/>
  <c r="C9" i="29" s="1"/>
  <c r="D9" i="29" s="1"/>
  <c r="E9" i="29" s="1"/>
  <c r="B10" i="29"/>
  <c r="C10" i="29" s="1"/>
  <c r="B11" i="29"/>
  <c r="C11" i="29" s="1"/>
  <c r="B32" i="29"/>
  <c r="C32" i="29" s="1"/>
  <c r="D32" i="29" s="1"/>
  <c r="E32" i="29" s="1"/>
  <c r="F32" i="29" s="1"/>
  <c r="G32" i="29" s="1"/>
  <c r="H32" i="29" s="1"/>
  <c r="I32" i="29" s="1"/>
  <c r="J32" i="29" s="1"/>
  <c r="K32" i="29" s="1"/>
  <c r="L32" i="29" s="1"/>
  <c r="M32" i="29" s="1"/>
  <c r="N32" i="29" s="1"/>
  <c r="O32" i="29" s="1"/>
  <c r="P32" i="29" s="1"/>
  <c r="B44" i="28"/>
  <c r="B33" i="29"/>
  <c r="C33" i="29" s="1"/>
  <c r="D33" i="29" s="1"/>
  <c r="E33" i="29" s="1"/>
  <c r="F33" i="29" s="1"/>
  <c r="G33" i="29" s="1"/>
  <c r="H33" i="29" s="1"/>
  <c r="I33" i="29" s="1"/>
  <c r="J33" i="29" s="1"/>
  <c r="K33" i="29" s="1"/>
  <c r="L33" i="29" s="1"/>
  <c r="M33" i="29" s="1"/>
  <c r="N33" i="29" s="1"/>
  <c r="O33" i="29" s="1"/>
  <c r="P33" i="29" s="1"/>
  <c r="B6" i="29"/>
  <c r="C6" i="29" s="1"/>
  <c r="D6" i="29" s="1"/>
  <c r="E6" i="29" s="1"/>
  <c r="F6" i="29" s="1"/>
  <c r="G6" i="29" s="1"/>
  <c r="H6" i="29" s="1"/>
  <c r="I6" i="29" s="1"/>
  <c r="J6" i="29" s="1"/>
  <c r="K6" i="29" s="1"/>
  <c r="L6" i="29" s="1"/>
  <c r="M6" i="29" s="1"/>
  <c r="N6" i="29" s="1"/>
  <c r="O6" i="29" s="1"/>
  <c r="P6" i="29" s="1"/>
  <c r="B36" i="29"/>
  <c r="B37" i="29" s="1"/>
  <c r="B38" i="29"/>
  <c r="B67" i="28"/>
  <c r="B46" i="28"/>
  <c r="A19" i="32"/>
  <c r="P16" i="28"/>
  <c r="Q16" i="28" s="1"/>
  <c r="R16" i="28" s="1"/>
  <c r="S16" i="28" s="1"/>
  <c r="T16" i="28" s="1"/>
  <c r="A20" i="32"/>
  <c r="A21" i="32" s="1"/>
  <c r="B79" i="28"/>
  <c r="B45" i="28" l="1"/>
  <c r="B38" i="28"/>
  <c r="B31" i="29" s="1"/>
  <c r="C31" i="29" s="1"/>
  <c r="D31" i="29" s="1"/>
  <c r="E31" i="29" s="1"/>
  <c r="C27" i="29"/>
  <c r="C29" i="29" s="1"/>
  <c r="B29" i="29"/>
  <c r="D18" i="29"/>
  <c r="C24" i="29"/>
  <c r="B39" i="29"/>
  <c r="B41" i="29" s="1"/>
  <c r="C16" i="29"/>
  <c r="B40" i="29"/>
  <c r="B42" i="29" s="1"/>
  <c r="C23" i="29"/>
  <c r="D23" i="29" s="1"/>
  <c r="C67" i="29"/>
  <c r="B63" i="29"/>
  <c r="B57" i="29"/>
  <c r="F9" i="29"/>
  <c r="E67" i="29"/>
  <c r="B67" i="29"/>
  <c r="D67" i="29"/>
  <c r="A22" i="32"/>
  <c r="U16" i="28"/>
  <c r="D11" i="29"/>
  <c r="F14" i="29"/>
  <c r="E12" i="29"/>
  <c r="C57" i="29"/>
  <c r="D10" i="29"/>
  <c r="D27" i="29"/>
  <c r="D29" i="29" s="1"/>
  <c r="C36" i="29"/>
  <c r="D7" i="29"/>
  <c r="B74" i="28" l="1"/>
  <c r="B72" i="28" s="1"/>
  <c r="A45" i="32" s="1"/>
  <c r="B75" i="28"/>
  <c r="B62" i="29"/>
  <c r="B60" i="29" s="1"/>
  <c r="B61" i="29" s="1"/>
  <c r="F31" i="29"/>
  <c r="D24" i="29"/>
  <c r="E18" i="29"/>
  <c r="D16" i="29"/>
  <c r="D39" i="29" s="1"/>
  <c r="C40" i="29"/>
  <c r="C42" i="29" s="1"/>
  <c r="C39" i="29"/>
  <c r="C41" i="29" s="1"/>
  <c r="O17" i="28"/>
  <c r="T17" i="28"/>
  <c r="A48" i="32"/>
  <c r="P17" i="28"/>
  <c r="B73" i="28"/>
  <c r="B47" i="28" s="1"/>
  <c r="B49" i="28" s="1"/>
  <c r="B44" i="32" s="1"/>
  <c r="A47" i="32"/>
  <c r="B21" i="29"/>
  <c r="B54" i="29"/>
  <c r="G9" i="29"/>
  <c r="F67" i="29"/>
  <c r="B66" i="29"/>
  <c r="C37" i="29"/>
  <c r="C62" i="29" s="1"/>
  <c r="E27" i="29"/>
  <c r="E29" i="29" s="1"/>
  <c r="F12" i="29"/>
  <c r="E11" i="29"/>
  <c r="D36" i="29"/>
  <c r="E7" i="29"/>
  <c r="D57" i="29"/>
  <c r="E10" i="29"/>
  <c r="G14" i="29"/>
  <c r="V16" i="28"/>
  <c r="A23" i="32"/>
  <c r="E23" i="29"/>
  <c r="B64" i="29"/>
  <c r="A49" i="32" l="1"/>
  <c r="A67" i="32"/>
  <c r="S17" i="28"/>
  <c r="Q17" i="28"/>
  <c r="U17" i="28"/>
  <c r="A46" i="32"/>
  <c r="A66" i="32"/>
  <c r="A65" i="32"/>
  <c r="R17" i="28"/>
  <c r="G31" i="29"/>
  <c r="F18" i="29"/>
  <c r="E24" i="29"/>
  <c r="D41" i="29"/>
  <c r="D40" i="29"/>
  <c r="D42" i="29" s="1"/>
  <c r="E16" i="29"/>
  <c r="E39" i="29" s="1"/>
  <c r="C21" i="29"/>
  <c r="B59" i="29"/>
  <c r="B69" i="28"/>
  <c r="H9" i="29"/>
  <c r="G67" i="29"/>
  <c r="B78" i="28"/>
  <c r="B76" i="28"/>
  <c r="B64" i="28"/>
  <c r="B11" i="32"/>
  <c r="E36" i="29"/>
  <c r="F7" i="29"/>
  <c r="F11" i="29"/>
  <c r="F27" i="29"/>
  <c r="F29" i="29" s="1"/>
  <c r="F23" i="29"/>
  <c r="V17" i="28"/>
  <c r="W16" i="28"/>
  <c r="D37" i="29"/>
  <c r="D62" i="29" s="1"/>
  <c r="B53" i="29"/>
  <c r="B65" i="29"/>
  <c r="B52" i="29" s="1"/>
  <c r="E57" i="29"/>
  <c r="F10" i="29"/>
  <c r="A50" i="32"/>
  <c r="A24" i="32"/>
  <c r="G12" i="29"/>
  <c r="H14" i="29"/>
  <c r="C63" i="29"/>
  <c r="H31" i="29" l="1"/>
  <c r="E41" i="29"/>
  <c r="F24" i="29"/>
  <c r="G18" i="29"/>
  <c r="E40" i="29"/>
  <c r="E42" i="29" s="1"/>
  <c r="F16" i="29"/>
  <c r="F39" i="29" s="1"/>
  <c r="B56" i="29"/>
  <c r="B58" i="29" s="1"/>
  <c r="D21" i="29"/>
  <c r="C59" i="29"/>
  <c r="I9" i="29"/>
  <c r="H67" i="29"/>
  <c r="B66" i="28"/>
  <c r="B68" i="28" s="1"/>
  <c r="B10" i="32"/>
  <c r="B12" i="32" s="1"/>
  <c r="B63" i="28"/>
  <c r="B65" i="28" s="1"/>
  <c r="B77" i="28"/>
  <c r="B60" i="28" s="1"/>
  <c r="C60" i="29"/>
  <c r="C61" i="29" s="1"/>
  <c r="C54" i="29" s="1"/>
  <c r="A25" i="32"/>
  <c r="A51" i="32"/>
  <c r="X16" i="28"/>
  <c r="W17" i="28"/>
  <c r="G23" i="29"/>
  <c r="F36" i="29"/>
  <c r="G7" i="29"/>
  <c r="I14" i="29"/>
  <c r="H12" i="29"/>
  <c r="D63" i="29"/>
  <c r="F57" i="29"/>
  <c r="G10" i="29"/>
  <c r="B55" i="29"/>
  <c r="G11" i="29"/>
  <c r="E37" i="29"/>
  <c r="E62" i="29" s="1"/>
  <c r="G27" i="29"/>
  <c r="G29" i="29" s="1"/>
  <c r="I31" i="29" l="1"/>
  <c r="H18" i="29"/>
  <c r="F41" i="29"/>
  <c r="G24" i="29"/>
  <c r="F40" i="29"/>
  <c r="F42" i="29" s="1"/>
  <c r="G16" i="29"/>
  <c r="G39" i="29" s="1"/>
  <c r="E21" i="29"/>
  <c r="D59" i="29"/>
  <c r="J9" i="29"/>
  <c r="I67" i="29"/>
  <c r="C17" i="32"/>
  <c r="B58" i="28"/>
  <c r="B56" i="28" s="1"/>
  <c r="B49" i="29"/>
  <c r="B57" i="28"/>
  <c r="B19" i="32"/>
  <c r="B46" i="32" s="1"/>
  <c r="B23" i="32"/>
  <c r="B50" i="32" s="1"/>
  <c r="B18" i="32"/>
  <c r="B45" i="32" s="1"/>
  <c r="B21" i="32"/>
  <c r="B48" i="32" s="1"/>
  <c r="B22" i="32"/>
  <c r="B49" i="32" s="1"/>
  <c r="B38" i="32"/>
  <c r="B65" i="32" s="1"/>
  <c r="B24" i="32"/>
  <c r="B51" i="32" s="1"/>
  <c r="B40" i="32"/>
  <c r="B67" i="32" s="1"/>
  <c r="B39" i="32"/>
  <c r="B66" i="32" s="1"/>
  <c r="B20" i="32"/>
  <c r="B47" i="32" s="1"/>
  <c r="B50" i="29"/>
  <c r="E63" i="29"/>
  <c r="H10" i="29"/>
  <c r="G57" i="29"/>
  <c r="J14" i="29"/>
  <c r="X17" i="28"/>
  <c r="Y16" i="28"/>
  <c r="D60" i="29"/>
  <c r="D61" i="29" s="1"/>
  <c r="D54" i="29" s="1"/>
  <c r="G36" i="29"/>
  <c r="H7" i="29"/>
  <c r="H23" i="29"/>
  <c r="A26" i="32"/>
  <c r="A52" i="32"/>
  <c r="B25" i="32"/>
  <c r="B52" i="32" s="1"/>
  <c r="C66" i="29"/>
  <c r="H27" i="29"/>
  <c r="H29" i="29" s="1"/>
  <c r="H11" i="29"/>
  <c r="I12" i="29"/>
  <c r="F37" i="29"/>
  <c r="F62" i="29" s="1"/>
  <c r="C64" i="29"/>
  <c r="J31" i="29" l="1"/>
  <c r="B53" i="28"/>
  <c r="B54" i="28" s="1"/>
  <c r="G41" i="29"/>
  <c r="H24" i="29"/>
  <c r="I18" i="29"/>
  <c r="B51" i="29"/>
  <c r="B47" i="29" s="1"/>
  <c r="G40" i="29"/>
  <c r="G42" i="29" s="1"/>
  <c r="H16" i="29"/>
  <c r="H39" i="29" s="1"/>
  <c r="B45" i="29"/>
  <c r="B46" i="29" s="1"/>
  <c r="F21" i="29"/>
  <c r="E59" i="29"/>
  <c r="R18" i="28"/>
  <c r="R19" i="28" s="1"/>
  <c r="K9" i="29"/>
  <c r="J67" i="29"/>
  <c r="C19" i="32"/>
  <c r="C46" i="32" s="1"/>
  <c r="C22" i="32"/>
  <c r="C49" i="32" s="1"/>
  <c r="C40" i="32"/>
  <c r="C67" i="32" s="1"/>
  <c r="C20" i="32"/>
  <c r="C47" i="32" s="1"/>
  <c r="C18" i="32"/>
  <c r="C45" i="32" s="1"/>
  <c r="C21" i="32"/>
  <c r="C48" i="32" s="1"/>
  <c r="C24" i="32"/>
  <c r="C51" i="32" s="1"/>
  <c r="C44" i="32"/>
  <c r="C39" i="32"/>
  <c r="C66" i="32" s="1"/>
  <c r="C38" i="32"/>
  <c r="C65" i="32" s="1"/>
  <c r="D17" i="32"/>
  <c r="D23" i="32" s="1"/>
  <c r="D50" i="32" s="1"/>
  <c r="C23" i="32"/>
  <c r="C50" i="32" s="1"/>
  <c r="C25" i="32"/>
  <c r="C52" i="32" s="1"/>
  <c r="V18" i="28"/>
  <c r="V19" i="28" s="1"/>
  <c r="Q18" i="28"/>
  <c r="Q19" i="28" s="1"/>
  <c r="S18" i="28"/>
  <c r="S19" i="28" s="1"/>
  <c r="B59" i="28"/>
  <c r="B55" i="28" s="1"/>
  <c r="O18" i="28"/>
  <c r="O19" i="28" s="1"/>
  <c r="X18" i="28"/>
  <c r="X19" i="28" s="1"/>
  <c r="P18" i="28"/>
  <c r="P19" i="28" s="1"/>
  <c r="T18" i="28"/>
  <c r="T19" i="28" s="1"/>
  <c r="U18" i="28"/>
  <c r="U19" i="28" s="1"/>
  <c r="W18" i="28"/>
  <c r="W19" i="28" s="1"/>
  <c r="D64" i="29"/>
  <c r="D56" i="29" s="1"/>
  <c r="B48" i="29"/>
  <c r="G37" i="29"/>
  <c r="G62" i="29" s="1"/>
  <c r="C56" i="29"/>
  <c r="C53" i="29"/>
  <c r="C65" i="29"/>
  <c r="C52" i="29" s="1"/>
  <c r="J12" i="29"/>
  <c r="E60" i="29"/>
  <c r="E61" i="29" s="1"/>
  <c r="E54" i="29" s="1"/>
  <c r="K14" i="29"/>
  <c r="I11" i="29"/>
  <c r="I23" i="29"/>
  <c r="Z16" i="28"/>
  <c r="Y17" i="28"/>
  <c r="Y18" i="28" s="1"/>
  <c r="Y19" i="28" s="1"/>
  <c r="I27" i="29"/>
  <c r="I29" i="29" s="1"/>
  <c r="F63" i="29"/>
  <c r="A53" i="32"/>
  <c r="A27" i="32"/>
  <c r="C26" i="32"/>
  <c r="C53" i="32" s="1"/>
  <c r="B26" i="32"/>
  <c r="B53" i="32" s="1"/>
  <c r="H36" i="29"/>
  <c r="I7" i="29"/>
  <c r="D66" i="29"/>
  <c r="H57" i="29"/>
  <c r="I10" i="29"/>
  <c r="K31" i="29" l="1"/>
  <c r="J18" i="29"/>
  <c r="H41" i="29"/>
  <c r="I24" i="29"/>
  <c r="H40" i="29"/>
  <c r="H42" i="29" s="1"/>
  <c r="I16" i="29"/>
  <c r="D53" i="29"/>
  <c r="D55" i="29" s="1"/>
  <c r="D20" i="32"/>
  <c r="D47" i="32" s="1"/>
  <c r="G21" i="29"/>
  <c r="F59" i="29"/>
  <c r="D21" i="32"/>
  <c r="D48" i="32" s="1"/>
  <c r="D22" i="32"/>
  <c r="D49" i="32" s="1"/>
  <c r="D44" i="32"/>
  <c r="D40" i="32"/>
  <c r="D67" i="32" s="1"/>
  <c r="D39" i="32"/>
  <c r="D66" i="32" s="1"/>
  <c r="L9" i="29"/>
  <c r="K67" i="29"/>
  <c r="D26" i="32"/>
  <c r="D53" i="32" s="1"/>
  <c r="D25" i="32"/>
  <c r="D52" i="32" s="1"/>
  <c r="D19" i="32"/>
  <c r="D46" i="32" s="1"/>
  <c r="E17" i="32"/>
  <c r="E26" i="32" s="1"/>
  <c r="E53" i="32" s="1"/>
  <c r="D18" i="32"/>
  <c r="D45" i="32" s="1"/>
  <c r="D38" i="32"/>
  <c r="D65" i="32" s="1"/>
  <c r="D24" i="32"/>
  <c r="D51" i="32" s="1"/>
  <c r="D65" i="29"/>
  <c r="D52" i="29" s="1"/>
  <c r="E64" i="29"/>
  <c r="E56" i="29" s="1"/>
  <c r="F60" i="29"/>
  <c r="F61" i="29" s="1"/>
  <c r="F54" i="29" s="1"/>
  <c r="AA16" i="28"/>
  <c r="Z17" i="28"/>
  <c r="Z18" i="28" s="1"/>
  <c r="Z19" i="28" s="1"/>
  <c r="K12" i="29"/>
  <c r="C58" i="29"/>
  <c r="I36" i="29"/>
  <c r="J7" i="29"/>
  <c r="J27" i="29"/>
  <c r="J29" i="29" s="1"/>
  <c r="J11" i="29"/>
  <c r="D58" i="29"/>
  <c r="E66" i="29"/>
  <c r="C55" i="29"/>
  <c r="I57" i="29"/>
  <c r="J10" i="29"/>
  <c r="H37" i="29"/>
  <c r="H62" i="29" s="1"/>
  <c r="A54" i="32"/>
  <c r="A28" i="32"/>
  <c r="B27" i="32"/>
  <c r="B54" i="32" s="1"/>
  <c r="C27" i="32"/>
  <c r="C54" i="32" s="1"/>
  <c r="D27" i="32"/>
  <c r="D54" i="32" s="1"/>
  <c r="J23" i="29"/>
  <c r="L14" i="29"/>
  <c r="G63" i="29"/>
  <c r="L31" i="29" l="1"/>
  <c r="J24" i="29"/>
  <c r="K18" i="29"/>
  <c r="I40" i="29"/>
  <c r="I42" i="29" s="1"/>
  <c r="J16" i="29"/>
  <c r="J39" i="29" s="1"/>
  <c r="I39" i="29"/>
  <c r="I41" i="29" s="1"/>
  <c r="H21" i="29"/>
  <c r="G59" i="29"/>
  <c r="E65" i="29"/>
  <c r="E52" i="29" s="1"/>
  <c r="E39" i="32"/>
  <c r="E66" i="32" s="1"/>
  <c r="E25" i="32"/>
  <c r="E52" i="32" s="1"/>
  <c r="E21" i="32"/>
  <c r="E48" i="32" s="1"/>
  <c r="E23" i="32"/>
  <c r="E50" i="32" s="1"/>
  <c r="E24" i="32"/>
  <c r="E51" i="32" s="1"/>
  <c r="E27" i="32"/>
  <c r="E54" i="32" s="1"/>
  <c r="F17" i="32"/>
  <c r="F27" i="32" s="1"/>
  <c r="F54" i="32" s="1"/>
  <c r="E44" i="32"/>
  <c r="E19" i="32"/>
  <c r="E46" i="32" s="1"/>
  <c r="E22" i="32"/>
  <c r="E49" i="32" s="1"/>
  <c r="E18" i="32"/>
  <c r="E45" i="32" s="1"/>
  <c r="L67" i="29"/>
  <c r="M9" i="29"/>
  <c r="E40" i="32"/>
  <c r="E67" i="32" s="1"/>
  <c r="E20" i="32"/>
  <c r="E47" i="32" s="1"/>
  <c r="E38" i="32"/>
  <c r="E65" i="32" s="1"/>
  <c r="D50" i="29"/>
  <c r="D48" i="29" s="1"/>
  <c r="E53" i="29"/>
  <c r="E55" i="29" s="1"/>
  <c r="F64" i="29"/>
  <c r="F65" i="29" s="1"/>
  <c r="F66" i="29"/>
  <c r="C50" i="29"/>
  <c r="C48" i="29" s="1"/>
  <c r="C49" i="29"/>
  <c r="AB16" i="28"/>
  <c r="AA17" i="28"/>
  <c r="AA18" i="28" s="1"/>
  <c r="AA19" i="28" s="1"/>
  <c r="A55" i="32"/>
  <c r="A29" i="32"/>
  <c r="C28" i="32"/>
  <c r="C55" i="32" s="1"/>
  <c r="B28" i="32"/>
  <c r="B55" i="32" s="1"/>
  <c r="E28" i="32"/>
  <c r="E55" i="32" s="1"/>
  <c r="D28" i="32"/>
  <c r="D55" i="32" s="1"/>
  <c r="H63" i="29"/>
  <c r="D49" i="29"/>
  <c r="J36" i="29"/>
  <c r="K7" i="29"/>
  <c r="K11" i="29"/>
  <c r="K27" i="29"/>
  <c r="K29" i="29" s="1"/>
  <c r="G60" i="29"/>
  <c r="G61" i="29" s="1"/>
  <c r="G54" i="29" s="1"/>
  <c r="M14" i="29"/>
  <c r="K23" i="29"/>
  <c r="J57" i="29"/>
  <c r="K10" i="29"/>
  <c r="E58" i="29"/>
  <c r="I37" i="29"/>
  <c r="I62" i="29" s="1"/>
  <c r="L12" i="29"/>
  <c r="M31" i="29" l="1"/>
  <c r="L18" i="29"/>
  <c r="J41" i="29"/>
  <c r="K24" i="29"/>
  <c r="J40" i="29"/>
  <c r="J42" i="29" s="1"/>
  <c r="K16" i="29"/>
  <c r="K39" i="29" s="1"/>
  <c r="C45" i="29"/>
  <c r="C46" i="29" s="1"/>
  <c r="D45" i="29"/>
  <c r="D46" i="29" s="1"/>
  <c r="I21" i="29"/>
  <c r="H59" i="29"/>
  <c r="F19" i="32"/>
  <c r="F46" i="32" s="1"/>
  <c r="F18" i="32"/>
  <c r="F45" i="32" s="1"/>
  <c r="G17" i="32"/>
  <c r="G28" i="32" s="1"/>
  <c r="G55" i="32" s="1"/>
  <c r="F26" i="32"/>
  <c r="F53" i="32" s="1"/>
  <c r="F21" i="32"/>
  <c r="F48" i="32" s="1"/>
  <c r="F23" i="32"/>
  <c r="F50" i="32" s="1"/>
  <c r="F39" i="32"/>
  <c r="F66" i="32" s="1"/>
  <c r="N9" i="29"/>
  <c r="M67" i="29"/>
  <c r="F28" i="32"/>
  <c r="F55" i="32" s="1"/>
  <c r="F38" i="32"/>
  <c r="F65" i="32" s="1"/>
  <c r="F20" i="32"/>
  <c r="F47" i="32" s="1"/>
  <c r="F40" i="32"/>
  <c r="F67" i="32" s="1"/>
  <c r="F25" i="32"/>
  <c r="F52" i="32" s="1"/>
  <c r="F44" i="32"/>
  <c r="F24" i="32"/>
  <c r="F51" i="32" s="1"/>
  <c r="F22" i="32"/>
  <c r="F49" i="32" s="1"/>
  <c r="F53" i="29"/>
  <c r="F55" i="29" s="1"/>
  <c r="F52" i="29"/>
  <c r="F56" i="29"/>
  <c r="F58" i="29" s="1"/>
  <c r="E49" i="29"/>
  <c r="E50" i="29"/>
  <c r="E48" i="29" s="1"/>
  <c r="M12" i="29"/>
  <c r="K57" i="29"/>
  <c r="L10" i="29"/>
  <c r="L23" i="29"/>
  <c r="L11" i="29"/>
  <c r="I63" i="29"/>
  <c r="G64" i="29"/>
  <c r="L27" i="29"/>
  <c r="L29" i="29" s="1"/>
  <c r="AC16" i="28"/>
  <c r="AB17" i="28"/>
  <c r="AB18" i="28" s="1"/>
  <c r="AB19" i="28" s="1"/>
  <c r="N14" i="29"/>
  <c r="C51" i="29"/>
  <c r="C47" i="29" s="1"/>
  <c r="G66" i="29"/>
  <c r="J37" i="29"/>
  <c r="J62" i="29" s="1"/>
  <c r="K36" i="29"/>
  <c r="L7" i="29"/>
  <c r="H60" i="29"/>
  <c r="H61" i="29" s="1"/>
  <c r="H54" i="29" s="1"/>
  <c r="A30" i="32"/>
  <c r="A56" i="32"/>
  <c r="D29" i="32"/>
  <c r="D56" i="32" s="1"/>
  <c r="B29" i="32"/>
  <c r="B56" i="32" s="1"/>
  <c r="C29" i="32"/>
  <c r="C56" i="32" s="1"/>
  <c r="E29" i="32"/>
  <c r="E56" i="32" s="1"/>
  <c r="F29" i="32"/>
  <c r="F56" i="32" s="1"/>
  <c r="D51" i="29"/>
  <c r="D47" i="29" s="1"/>
  <c r="G29" i="32" l="1"/>
  <c r="G56" i="32" s="1"/>
  <c r="G26" i="32"/>
  <c r="G53" i="32" s="1"/>
  <c r="G40" i="32"/>
  <c r="G67" i="32" s="1"/>
  <c r="N31" i="29"/>
  <c r="M18" i="29"/>
  <c r="K41" i="29"/>
  <c r="L24" i="29"/>
  <c r="K40" i="29"/>
  <c r="K42" i="29" s="1"/>
  <c r="L16" i="29"/>
  <c r="L39" i="29" s="1"/>
  <c r="E45" i="29"/>
  <c r="E46" i="29" s="1"/>
  <c r="G19" i="32"/>
  <c r="G46" i="32" s="1"/>
  <c r="G27" i="32"/>
  <c r="G54" i="32" s="1"/>
  <c r="G21" i="32"/>
  <c r="G48" i="32" s="1"/>
  <c r="G18" i="32"/>
  <c r="G45" i="32" s="1"/>
  <c r="G39" i="32"/>
  <c r="G66" i="32" s="1"/>
  <c r="G25" i="32"/>
  <c r="G52" i="32" s="1"/>
  <c r="G20" i="32"/>
  <c r="G47" i="32" s="1"/>
  <c r="G44" i="32"/>
  <c r="H17" i="32"/>
  <c r="H29" i="32" s="1"/>
  <c r="H56" i="32" s="1"/>
  <c r="G23" i="32"/>
  <c r="G50" i="32" s="1"/>
  <c r="J21" i="29"/>
  <c r="I59" i="29"/>
  <c r="G22" i="32"/>
  <c r="G49" i="32" s="1"/>
  <c r="G38" i="32"/>
  <c r="G65" i="32" s="1"/>
  <c r="G24" i="32"/>
  <c r="G51" i="32" s="1"/>
  <c r="N67" i="29"/>
  <c r="O9" i="29"/>
  <c r="F49" i="29"/>
  <c r="E51" i="29"/>
  <c r="E47" i="29" s="1"/>
  <c r="F50" i="29"/>
  <c r="F48" i="29" s="1"/>
  <c r="H64" i="29"/>
  <c r="AD16" i="28"/>
  <c r="AC17" i="28"/>
  <c r="AC18" i="28" s="1"/>
  <c r="AC19" i="28" s="1"/>
  <c r="I60" i="29"/>
  <c r="I61" i="29" s="1"/>
  <c r="I54" i="29" s="1"/>
  <c r="L57" i="29"/>
  <c r="M10" i="29"/>
  <c r="M27" i="29"/>
  <c r="M29" i="29" s="1"/>
  <c r="N12" i="29"/>
  <c r="A57" i="32"/>
  <c r="A31" i="32"/>
  <c r="E30" i="32"/>
  <c r="E57" i="32" s="1"/>
  <c r="B30" i="32"/>
  <c r="B57" i="32" s="1"/>
  <c r="G30" i="32"/>
  <c r="G57" i="32" s="1"/>
  <c r="F30" i="32"/>
  <c r="F57" i="32" s="1"/>
  <c r="C30" i="32"/>
  <c r="C57" i="32" s="1"/>
  <c r="D30" i="32"/>
  <c r="D57" i="32" s="1"/>
  <c r="H66" i="29"/>
  <c r="L36" i="29"/>
  <c r="M7" i="29"/>
  <c r="J63" i="29"/>
  <c r="O14" i="29"/>
  <c r="G56" i="29"/>
  <c r="G53" i="29"/>
  <c r="G65" i="29"/>
  <c r="G52" i="29" s="1"/>
  <c r="K37" i="29"/>
  <c r="K62" i="29" s="1"/>
  <c r="M11" i="29"/>
  <c r="M23" i="29"/>
  <c r="O31" i="29" l="1"/>
  <c r="H30" i="32"/>
  <c r="H57" i="32" s="1"/>
  <c r="H25" i="32"/>
  <c r="H52" i="32" s="1"/>
  <c r="H38" i="32"/>
  <c r="H65" i="32" s="1"/>
  <c r="L41" i="29"/>
  <c r="M24" i="29"/>
  <c r="N18" i="29"/>
  <c r="L40" i="29"/>
  <c r="L42" i="29" s="1"/>
  <c r="M16" i="29"/>
  <c r="M39" i="29" s="1"/>
  <c r="F45" i="29"/>
  <c r="F46" i="29" s="1"/>
  <c r="H24" i="32"/>
  <c r="H51" i="32" s="1"/>
  <c r="H26" i="32"/>
  <c r="H53" i="32" s="1"/>
  <c r="H21" i="32"/>
  <c r="H48" i="32" s="1"/>
  <c r="H28" i="32"/>
  <c r="H55" i="32" s="1"/>
  <c r="H22" i="32"/>
  <c r="H49" i="32" s="1"/>
  <c r="H18" i="32"/>
  <c r="H45" i="32" s="1"/>
  <c r="H40" i="32"/>
  <c r="H67" i="32" s="1"/>
  <c r="H23" i="32"/>
  <c r="H50" i="32" s="1"/>
  <c r="H39" i="32"/>
  <c r="H66" i="32" s="1"/>
  <c r="H19" i="32"/>
  <c r="H46" i="32" s="1"/>
  <c r="I17" i="32"/>
  <c r="I30" i="32" s="1"/>
  <c r="I57" i="32" s="1"/>
  <c r="H20" i="32"/>
  <c r="H47" i="32" s="1"/>
  <c r="H27" i="32"/>
  <c r="H54" i="32" s="1"/>
  <c r="H44" i="32"/>
  <c r="K21" i="29"/>
  <c r="J59" i="29"/>
  <c r="O67" i="29"/>
  <c r="P9" i="29"/>
  <c r="P67" i="29" s="1"/>
  <c r="F51" i="29"/>
  <c r="F47" i="29" s="1"/>
  <c r="N11" i="29"/>
  <c r="G55" i="29"/>
  <c r="L37" i="29"/>
  <c r="L62" i="29" s="1"/>
  <c r="H53" i="29"/>
  <c r="H56" i="29"/>
  <c r="N23" i="29"/>
  <c r="G58" i="29"/>
  <c r="P14" i="29"/>
  <c r="M36" i="29"/>
  <c r="N7" i="29"/>
  <c r="I64" i="29"/>
  <c r="AE16" i="28"/>
  <c r="AD17" i="28"/>
  <c r="AD18" i="28" s="1"/>
  <c r="AD19" i="28" s="1"/>
  <c r="O12" i="29"/>
  <c r="K63" i="29"/>
  <c r="A32" i="32"/>
  <c r="A58" i="32"/>
  <c r="G31" i="32"/>
  <c r="G58" i="32" s="1"/>
  <c r="H31" i="32"/>
  <c r="H58" i="32" s="1"/>
  <c r="F31" i="32"/>
  <c r="F58" i="32" s="1"/>
  <c r="E31" i="32"/>
  <c r="E58" i="32" s="1"/>
  <c r="B31" i="32"/>
  <c r="B58" i="32" s="1"/>
  <c r="D31" i="32"/>
  <c r="D58" i="32" s="1"/>
  <c r="C31" i="32"/>
  <c r="C58" i="32" s="1"/>
  <c r="I66" i="29"/>
  <c r="M57" i="29"/>
  <c r="N10" i="29"/>
  <c r="H65" i="29"/>
  <c r="H52" i="29" s="1"/>
  <c r="J60" i="29"/>
  <c r="J61" i="29" s="1"/>
  <c r="J54" i="29" s="1"/>
  <c r="N27" i="29"/>
  <c r="N29" i="29" s="1"/>
  <c r="I20" i="32" l="1"/>
  <c r="I47" i="32" s="1"/>
  <c r="P31" i="29"/>
  <c r="I29" i="32"/>
  <c r="I56" i="32" s="1"/>
  <c r="O18" i="29"/>
  <c r="M41" i="29"/>
  <c r="N24" i="29"/>
  <c r="M40" i="29"/>
  <c r="M42" i="29" s="1"/>
  <c r="N16" i="29"/>
  <c r="I22" i="32"/>
  <c r="I49" i="32" s="1"/>
  <c r="I21" i="32"/>
  <c r="I48" i="32" s="1"/>
  <c r="I39" i="32"/>
  <c r="I66" i="32" s="1"/>
  <c r="I31" i="32"/>
  <c r="I58" i="32" s="1"/>
  <c r="I26" i="32"/>
  <c r="I53" i="32" s="1"/>
  <c r="I18" i="32"/>
  <c r="I45" i="32" s="1"/>
  <c r="I23" i="32"/>
  <c r="I50" i="32" s="1"/>
  <c r="I28" i="32"/>
  <c r="I55" i="32" s="1"/>
  <c r="I24" i="32"/>
  <c r="I51" i="32" s="1"/>
  <c r="I25" i="32"/>
  <c r="I52" i="32" s="1"/>
  <c r="I38" i="32"/>
  <c r="I65" i="32" s="1"/>
  <c r="I27" i="32"/>
  <c r="I54" i="32" s="1"/>
  <c r="I19" i="32"/>
  <c r="I46" i="32" s="1"/>
  <c r="J17" i="32"/>
  <c r="J31" i="32" s="1"/>
  <c r="J58" i="32" s="1"/>
  <c r="I44" i="32"/>
  <c r="I40" i="32"/>
  <c r="I67" i="32" s="1"/>
  <c r="L21" i="29"/>
  <c r="K59" i="29"/>
  <c r="J64" i="29"/>
  <c r="J65" i="29" s="1"/>
  <c r="G50" i="29"/>
  <c r="G48" i="29" s="1"/>
  <c r="N36" i="29"/>
  <c r="O7" i="29"/>
  <c r="H55" i="29"/>
  <c r="O27" i="29"/>
  <c r="O29" i="29" s="1"/>
  <c r="I53" i="29"/>
  <c r="I56" i="29"/>
  <c r="I65" i="29"/>
  <c r="I52" i="29" s="1"/>
  <c r="M37" i="29"/>
  <c r="M62" i="29" s="1"/>
  <c r="O23" i="29"/>
  <c r="A59" i="32"/>
  <c r="A33" i="32"/>
  <c r="I32" i="32"/>
  <c r="I59" i="32" s="1"/>
  <c r="G32" i="32"/>
  <c r="G59" i="32" s="1"/>
  <c r="E32" i="32"/>
  <c r="E59" i="32" s="1"/>
  <c r="D32" i="32"/>
  <c r="D59" i="32" s="1"/>
  <c r="F32" i="32"/>
  <c r="F59" i="32" s="1"/>
  <c r="B32" i="32"/>
  <c r="B59" i="32" s="1"/>
  <c r="H32" i="32"/>
  <c r="H59" i="32" s="1"/>
  <c r="C32" i="32"/>
  <c r="C59" i="32" s="1"/>
  <c r="P12" i="29"/>
  <c r="L63" i="29"/>
  <c r="O11" i="29"/>
  <c r="AF16" i="28"/>
  <c r="AE17" i="28"/>
  <c r="AE18" i="28" s="1"/>
  <c r="AE19" i="28" s="1"/>
  <c r="N57" i="29"/>
  <c r="O10" i="29"/>
  <c r="J66" i="29"/>
  <c r="K60" i="29"/>
  <c r="K61" i="29" s="1"/>
  <c r="K54" i="29" s="1"/>
  <c r="G49" i="29"/>
  <c r="H58" i="29"/>
  <c r="P62" i="29" l="1"/>
  <c r="O24" i="29"/>
  <c r="P18" i="29"/>
  <c r="G45" i="29"/>
  <c r="G46" i="29" s="1"/>
  <c r="N40" i="29"/>
  <c r="N42" i="29" s="1"/>
  <c r="O16" i="29"/>
  <c r="O39" i="29" s="1"/>
  <c r="N39" i="29"/>
  <c r="N41" i="29" s="1"/>
  <c r="J38" i="32"/>
  <c r="J65" i="32" s="1"/>
  <c r="J21" i="32"/>
  <c r="J48" i="32" s="1"/>
  <c r="J32" i="32"/>
  <c r="J59" i="32" s="1"/>
  <c r="J28" i="32"/>
  <c r="J55" i="32" s="1"/>
  <c r="J19" i="32"/>
  <c r="J46" i="32" s="1"/>
  <c r="J39" i="32"/>
  <c r="J66" i="32" s="1"/>
  <c r="J23" i="32"/>
  <c r="J50" i="32" s="1"/>
  <c r="J22" i="32"/>
  <c r="J49" i="32" s="1"/>
  <c r="J29" i="32"/>
  <c r="J56" i="32" s="1"/>
  <c r="J25" i="32"/>
  <c r="J52" i="32" s="1"/>
  <c r="J24" i="32"/>
  <c r="J51" i="32" s="1"/>
  <c r="J20" i="32"/>
  <c r="J47" i="32" s="1"/>
  <c r="K17" i="32"/>
  <c r="K32" i="32" s="1"/>
  <c r="K59" i="32" s="1"/>
  <c r="J18" i="32"/>
  <c r="J45" i="32" s="1"/>
  <c r="J40" i="32"/>
  <c r="J67" i="32" s="1"/>
  <c r="J44" i="32"/>
  <c r="J27" i="32"/>
  <c r="J54" i="32" s="1"/>
  <c r="J26" i="32"/>
  <c r="J53" i="32" s="1"/>
  <c r="J30" i="32"/>
  <c r="J57" i="32" s="1"/>
  <c r="M21" i="29"/>
  <c r="L59" i="29"/>
  <c r="J53" i="29"/>
  <c r="J55" i="29" s="1"/>
  <c r="H49" i="29"/>
  <c r="J52" i="29"/>
  <c r="J56" i="29"/>
  <c r="J58" i="29" s="1"/>
  <c r="K64" i="29"/>
  <c r="K65" i="29" s="1"/>
  <c r="K66" i="29"/>
  <c r="H50" i="29"/>
  <c r="AF17" i="28"/>
  <c r="AF18" i="28" s="1"/>
  <c r="AF19" i="28" s="1"/>
  <c r="AG16" i="28"/>
  <c r="L60" i="29"/>
  <c r="L61" i="29" s="1"/>
  <c r="L54" i="29" s="1"/>
  <c r="O57" i="29"/>
  <c r="P10" i="29"/>
  <c r="P57" i="29" s="1"/>
  <c r="P11" i="29"/>
  <c r="P27" i="29"/>
  <c r="P29" i="29" s="1"/>
  <c r="O36" i="29"/>
  <c r="P7" i="29"/>
  <c r="P36" i="29" s="1"/>
  <c r="P37" i="29" s="1"/>
  <c r="P23" i="29"/>
  <c r="I58" i="29"/>
  <c r="A34" i="32"/>
  <c r="A60" i="32"/>
  <c r="B33" i="32"/>
  <c r="B60" i="32" s="1"/>
  <c r="E33" i="32"/>
  <c r="E60" i="32" s="1"/>
  <c r="F33" i="32"/>
  <c r="F60" i="32" s="1"/>
  <c r="G33" i="32"/>
  <c r="G60" i="32" s="1"/>
  <c r="H33" i="32"/>
  <c r="H60" i="32" s="1"/>
  <c r="J33" i="32"/>
  <c r="J60" i="32" s="1"/>
  <c r="I33" i="32"/>
  <c r="I60" i="32" s="1"/>
  <c r="D33" i="32"/>
  <c r="D60" i="32" s="1"/>
  <c r="C33" i="32"/>
  <c r="C60" i="32" s="1"/>
  <c r="N37" i="29"/>
  <c r="N62" i="29" s="1"/>
  <c r="M63" i="29"/>
  <c r="I55" i="29"/>
  <c r="G51" i="29"/>
  <c r="G47" i="29" s="1"/>
  <c r="K19" i="32" l="1"/>
  <c r="K46" i="32" s="1"/>
  <c r="K22" i="32"/>
  <c r="K49" i="32" s="1"/>
  <c r="K38" i="32"/>
  <c r="K65" i="32" s="1"/>
  <c r="K28" i="32"/>
  <c r="K55" i="32" s="1"/>
  <c r="K40" i="32"/>
  <c r="K67" i="32" s="1"/>
  <c r="O41" i="29"/>
  <c r="P24" i="29"/>
  <c r="O40" i="29"/>
  <c r="O42" i="29" s="1"/>
  <c r="P16" i="29"/>
  <c r="P40" i="29" s="1"/>
  <c r="P42" i="29" s="1"/>
  <c r="H45" i="29"/>
  <c r="H46" i="29" s="1"/>
  <c r="K25" i="32"/>
  <c r="K52" i="32" s="1"/>
  <c r="H51" i="29"/>
  <c r="H47" i="29" s="1"/>
  <c r="K33" i="32"/>
  <c r="K60" i="32" s="1"/>
  <c r="K18" i="32"/>
  <c r="K45" i="32" s="1"/>
  <c r="K30" i="32"/>
  <c r="K57" i="32" s="1"/>
  <c r="K21" i="32"/>
  <c r="K48" i="32" s="1"/>
  <c r="K29" i="32"/>
  <c r="K56" i="32" s="1"/>
  <c r="K39" i="32"/>
  <c r="K66" i="32" s="1"/>
  <c r="L17" i="32"/>
  <c r="L33" i="32" s="1"/>
  <c r="L60" i="32" s="1"/>
  <c r="K20" i="32"/>
  <c r="K47" i="32" s="1"/>
  <c r="K24" i="32"/>
  <c r="K51" i="32" s="1"/>
  <c r="K27" i="32"/>
  <c r="K54" i="32" s="1"/>
  <c r="K26" i="32"/>
  <c r="K53" i="32" s="1"/>
  <c r="K31" i="32"/>
  <c r="K58" i="32" s="1"/>
  <c r="K44" i="32"/>
  <c r="K23" i="32"/>
  <c r="K50" i="32" s="1"/>
  <c r="N21" i="29"/>
  <c r="M59" i="29"/>
  <c r="K52" i="29"/>
  <c r="I49" i="29"/>
  <c r="H48" i="29"/>
  <c r="K56" i="29"/>
  <c r="K58" i="29" s="1"/>
  <c r="K53" i="29"/>
  <c r="K55" i="29" s="1"/>
  <c r="J49" i="29"/>
  <c r="M60" i="29"/>
  <c r="M61" i="29" s="1"/>
  <c r="M54" i="29" s="1"/>
  <c r="J50" i="29"/>
  <c r="P60" i="29"/>
  <c r="P63" i="29"/>
  <c r="L64" i="29"/>
  <c r="L65" i="29" s="1"/>
  <c r="AH16" i="28"/>
  <c r="AG17" i="28"/>
  <c r="AG18" i="28" s="1"/>
  <c r="AG19" i="28" s="1"/>
  <c r="I50" i="29"/>
  <c r="N63" i="29"/>
  <c r="O37" i="29"/>
  <c r="O62" i="29" s="1"/>
  <c r="L66" i="29"/>
  <c r="A35" i="32"/>
  <c r="A61" i="32"/>
  <c r="E34" i="32"/>
  <c r="E61" i="32" s="1"/>
  <c r="K34" i="32"/>
  <c r="K61" i="32" s="1"/>
  <c r="C34" i="32"/>
  <c r="C61" i="32" s="1"/>
  <c r="G34" i="32"/>
  <c r="G61" i="32" s="1"/>
  <c r="I34" i="32"/>
  <c r="I61" i="32" s="1"/>
  <c r="F34" i="32"/>
  <c r="F61" i="32" s="1"/>
  <c r="J34" i="32"/>
  <c r="J61" i="32" s="1"/>
  <c r="H34" i="32"/>
  <c r="H61" i="32" s="1"/>
  <c r="B34" i="32"/>
  <c r="B61" i="32" s="1"/>
  <c r="D34" i="32"/>
  <c r="D61" i="32" s="1"/>
  <c r="L38" i="32" l="1"/>
  <c r="L65" i="32" s="1"/>
  <c r="L30" i="32"/>
  <c r="L57" i="32" s="1"/>
  <c r="L29" i="32"/>
  <c r="L56" i="32" s="1"/>
  <c r="P61" i="29"/>
  <c r="P39" i="29"/>
  <c r="P41" i="29" s="1"/>
  <c r="L28" i="32"/>
  <c r="L55" i="32" s="1"/>
  <c r="L23" i="32"/>
  <c r="L50" i="32" s="1"/>
  <c r="L39" i="32"/>
  <c r="L66" i="32" s="1"/>
  <c r="L19" i="32"/>
  <c r="L46" i="32" s="1"/>
  <c r="J45" i="29"/>
  <c r="J46" i="29" s="1"/>
  <c r="L24" i="32"/>
  <c r="L51" i="32" s="1"/>
  <c r="L20" i="32"/>
  <c r="L47" i="32" s="1"/>
  <c r="L44" i="32"/>
  <c r="L31" i="32"/>
  <c r="L58" i="32" s="1"/>
  <c r="L34" i="32"/>
  <c r="L61" i="32" s="1"/>
  <c r="L27" i="32"/>
  <c r="L54" i="32" s="1"/>
  <c r="L26" i="32"/>
  <c r="L53" i="32" s="1"/>
  <c r="L25" i="32"/>
  <c r="L52" i="32" s="1"/>
  <c r="I45" i="29"/>
  <c r="I46" i="29" s="1"/>
  <c r="L32" i="32"/>
  <c r="L59" i="32" s="1"/>
  <c r="L21" i="32"/>
  <c r="L48" i="32" s="1"/>
  <c r="L40" i="32"/>
  <c r="L67" i="32" s="1"/>
  <c r="L22" i="32"/>
  <c r="L49" i="32" s="1"/>
  <c r="L18" i="32"/>
  <c r="L45" i="32" s="1"/>
  <c r="O21" i="29"/>
  <c r="N59" i="29"/>
  <c r="L52" i="29"/>
  <c r="M66" i="29"/>
  <c r="M64" i="29"/>
  <c r="M65" i="29" s="1"/>
  <c r="K49" i="29"/>
  <c r="K50" i="29"/>
  <c r="K48" i="29" s="1"/>
  <c r="I51" i="29"/>
  <c r="I47" i="29" s="1"/>
  <c r="I48" i="29"/>
  <c r="J51" i="29"/>
  <c r="J47" i="29" s="1"/>
  <c r="J48" i="29"/>
  <c r="N60" i="29"/>
  <c r="N61" i="29" s="1"/>
  <c r="N54" i="29" s="1"/>
  <c r="AI16" i="28"/>
  <c r="AH17" i="28"/>
  <c r="AH18" i="28" s="1"/>
  <c r="AH19" i="28" s="1"/>
  <c r="O63" i="29"/>
  <c r="A62" i="32"/>
  <c r="A36" i="32"/>
  <c r="F35" i="32"/>
  <c r="F62" i="32" s="1"/>
  <c r="E35" i="32"/>
  <c r="E62" i="32" s="1"/>
  <c r="J35" i="32"/>
  <c r="J62" i="32" s="1"/>
  <c r="D35" i="32"/>
  <c r="D62" i="32" s="1"/>
  <c r="H35" i="32"/>
  <c r="H62" i="32" s="1"/>
  <c r="C35" i="32"/>
  <c r="C62" i="32" s="1"/>
  <c r="I35" i="32"/>
  <c r="I62" i="32" s="1"/>
  <c r="B35" i="32"/>
  <c r="B62" i="32" s="1"/>
  <c r="G35" i="32"/>
  <c r="G62" i="32" s="1"/>
  <c r="K35" i="32"/>
  <c r="K62" i="32" s="1"/>
  <c r="L35" i="32"/>
  <c r="L62" i="32" s="1"/>
  <c r="L53" i="29"/>
  <c r="L56" i="29"/>
  <c r="P64" i="29" l="1"/>
  <c r="P53" i="29" s="1"/>
  <c r="P54" i="29"/>
  <c r="P66" i="29"/>
  <c r="K45" i="29"/>
  <c r="K46" i="29" s="1"/>
  <c r="P21" i="29"/>
  <c r="P59" i="29" s="1"/>
  <c r="O59" i="29"/>
  <c r="M53" i="29"/>
  <c r="M55" i="29" s="1"/>
  <c r="M56" i="29"/>
  <c r="M58" i="29" s="1"/>
  <c r="M52" i="29"/>
  <c r="K51" i="29"/>
  <c r="K47" i="29" s="1"/>
  <c r="AI17" i="28"/>
  <c r="AI18" i="28" s="1"/>
  <c r="AI19" i="28" s="1"/>
  <c r="AJ16" i="28"/>
  <c r="N64" i="29"/>
  <c r="L58" i="29"/>
  <c r="A63" i="32"/>
  <c r="A37" i="32"/>
  <c r="G36" i="32"/>
  <c r="G63" i="32" s="1"/>
  <c r="H36" i="32"/>
  <c r="H63" i="32" s="1"/>
  <c r="F36" i="32"/>
  <c r="F63" i="32" s="1"/>
  <c r="L36" i="32"/>
  <c r="L63" i="32" s="1"/>
  <c r="D36" i="32"/>
  <c r="D63" i="32" s="1"/>
  <c r="I36" i="32"/>
  <c r="I63" i="32" s="1"/>
  <c r="K36" i="32"/>
  <c r="K63" i="32" s="1"/>
  <c r="E36" i="32"/>
  <c r="E63" i="32" s="1"/>
  <c r="J36" i="32"/>
  <c r="J63" i="32" s="1"/>
  <c r="B36" i="32"/>
  <c r="B63" i="32" s="1"/>
  <c r="C36" i="32"/>
  <c r="C63" i="32" s="1"/>
  <c r="O60" i="29"/>
  <c r="O61" i="29" s="1"/>
  <c r="O54" i="29" s="1"/>
  <c r="L55" i="29"/>
  <c r="N66" i="29"/>
  <c r="P65" i="29" l="1"/>
  <c r="P52" i="29" s="1"/>
  <c r="P55" i="29"/>
  <c r="P56" i="29"/>
  <c r="P58" i="29" s="1"/>
  <c r="O64" i="29"/>
  <c r="O56" i="29" s="1"/>
  <c r="L50" i="29"/>
  <c r="L48" i="29" s="1"/>
  <c r="O66" i="29"/>
  <c r="M49" i="29"/>
  <c r="L49" i="29"/>
  <c r="M50" i="29"/>
  <c r="A64" i="32"/>
  <c r="B37" i="32"/>
  <c r="B64" i="32" s="1"/>
  <c r="C37" i="32"/>
  <c r="C64" i="32" s="1"/>
  <c r="D37" i="32"/>
  <c r="D64" i="32" s="1"/>
  <c r="E37" i="32"/>
  <c r="E64" i="32" s="1"/>
  <c r="I37" i="32"/>
  <c r="I64" i="32" s="1"/>
  <c r="J37" i="32"/>
  <c r="J64" i="32" s="1"/>
  <c r="F37" i="32"/>
  <c r="F64" i="32" s="1"/>
  <c r="G37" i="32"/>
  <c r="G64" i="32" s="1"/>
  <c r="H37" i="32"/>
  <c r="H64" i="32" s="1"/>
  <c r="K37" i="32"/>
  <c r="K64" i="32" s="1"/>
  <c r="L37" i="32"/>
  <c r="L64" i="32" s="1"/>
  <c r="N53" i="29"/>
  <c r="N56" i="29"/>
  <c r="N65" i="29"/>
  <c r="N52" i="29" s="1"/>
  <c r="AJ17" i="28"/>
  <c r="AJ18" i="28" s="1"/>
  <c r="AJ19" i="28" s="1"/>
  <c r="AK16" i="28"/>
  <c r="P50" i="29" l="1"/>
  <c r="P48" i="29" s="1"/>
  <c r="L45" i="29"/>
  <c r="L46" i="29" s="1"/>
  <c r="M45" i="29"/>
  <c r="M46" i="29" s="1"/>
  <c r="M51" i="29"/>
  <c r="M47" i="29" s="1"/>
  <c r="O53" i="29"/>
  <c r="O55" i="29" s="1"/>
  <c r="O65" i="29"/>
  <c r="O52" i="29" s="1"/>
  <c r="L51" i="29"/>
  <c r="L47" i="29" s="1"/>
  <c r="M48" i="29"/>
  <c r="P49" i="29"/>
  <c r="P45" i="29" s="1"/>
  <c r="P46" i="29" s="1"/>
  <c r="O58" i="29"/>
  <c r="N58" i="29"/>
  <c r="AL16" i="28"/>
  <c r="AK17" i="28"/>
  <c r="AK18" i="28" s="1"/>
  <c r="AK19" i="28" s="1"/>
  <c r="N55" i="29"/>
  <c r="N49" i="29" l="1"/>
  <c r="O50" i="29"/>
  <c r="O48" i="29" s="1"/>
  <c r="O49" i="29"/>
  <c r="P51" i="29"/>
  <c r="P47" i="29" s="1"/>
  <c r="N50" i="29"/>
  <c r="AM16" i="28"/>
  <c r="AL17" i="28"/>
  <c r="AL18" i="28" s="1"/>
  <c r="AL19" i="28" s="1"/>
  <c r="N45" i="29" l="1"/>
  <c r="N46" i="29" s="1"/>
  <c r="O45" i="29"/>
  <c r="O46" i="29" s="1"/>
  <c r="O51" i="29"/>
  <c r="O47" i="29" s="1"/>
  <c r="AN16" i="28"/>
  <c r="AM17" i="28"/>
  <c r="AM18" i="28" s="1"/>
  <c r="AM19" i="28" s="1"/>
  <c r="N51" i="29"/>
  <c r="N47" i="29" s="1"/>
  <c r="N48" i="29"/>
  <c r="AO16" i="28" l="1"/>
  <c r="AN17" i="28"/>
  <c r="AN18" i="28" s="1"/>
  <c r="AN19" i="28" s="1"/>
  <c r="AP16" i="28" l="1"/>
  <c r="AO17" i="28"/>
  <c r="AO18" i="28" s="1"/>
  <c r="AO19" i="28" s="1"/>
  <c r="AQ16" i="28" l="1"/>
  <c r="AP17" i="28"/>
  <c r="AP18" i="28" s="1"/>
  <c r="AP19" i="28" s="1"/>
  <c r="AQ17" i="28" l="1"/>
  <c r="AQ18" i="28" s="1"/>
  <c r="AQ19" i="28" s="1"/>
  <c r="AR16" i="28"/>
  <c r="AR17" i="28" l="1"/>
  <c r="AR18" i="28" s="1"/>
  <c r="AR19" i="28" s="1"/>
  <c r="AS16" i="28"/>
  <c r="AT16" i="28" l="1"/>
  <c r="AS17" i="28"/>
  <c r="AS18" i="28" s="1"/>
  <c r="AS19" i="28" s="1"/>
  <c r="AU16" i="28" l="1"/>
  <c r="AT17" i="28"/>
  <c r="AT18" i="28" s="1"/>
  <c r="AT19" i="28" s="1"/>
  <c r="AU17" i="28" l="1"/>
  <c r="AU18" i="28" s="1"/>
  <c r="AU19" i="28" s="1"/>
  <c r="AV16" i="28"/>
  <c r="AW16" i="28" l="1"/>
  <c r="AV17" i="28"/>
  <c r="AV18" i="28" s="1"/>
  <c r="AV19" i="28" s="1"/>
  <c r="AX16" i="28" l="1"/>
  <c r="AW17" i="28"/>
  <c r="AW18" i="28" s="1"/>
  <c r="AW19" i="28" s="1"/>
  <c r="AY16" i="28" l="1"/>
  <c r="AX17" i="28"/>
  <c r="AX18" i="28" s="1"/>
  <c r="AX19" i="28" s="1"/>
  <c r="AZ16" i="28" l="1"/>
  <c r="AY17" i="28"/>
  <c r="AY18" i="28" s="1"/>
  <c r="AY19" i="28" s="1"/>
  <c r="AZ17" i="28" l="1"/>
  <c r="AZ18" i="28" s="1"/>
  <c r="AZ19" i="28" s="1"/>
  <c r="BA16" i="28"/>
  <c r="BB16" i="28" l="1"/>
  <c r="BA17" i="28"/>
  <c r="BA18" i="28" s="1"/>
  <c r="BA19" i="28" s="1"/>
  <c r="BC16" i="28" l="1"/>
  <c r="BB17" i="28"/>
  <c r="BB18" i="28" s="1"/>
  <c r="BB19" i="28" s="1"/>
  <c r="BD16" i="28" l="1"/>
  <c r="BC17" i="28"/>
  <c r="BC18" i="28" s="1"/>
  <c r="BC19" i="28" s="1"/>
  <c r="BE16" i="28" l="1"/>
  <c r="BD17" i="28"/>
  <c r="BD18" i="28" s="1"/>
  <c r="BD19" i="28" s="1"/>
  <c r="BF16" i="28" l="1"/>
  <c r="BE17" i="28"/>
  <c r="BE18" i="28" s="1"/>
  <c r="BE19" i="28" s="1"/>
  <c r="BG16" i="28" l="1"/>
  <c r="BF17" i="28"/>
  <c r="BF18" i="28" s="1"/>
  <c r="BF19" i="28" s="1"/>
  <c r="BH16" i="28" l="1"/>
  <c r="BG17" i="28"/>
  <c r="BG18" i="28" s="1"/>
  <c r="BG19" i="28" s="1"/>
  <c r="BH17" i="28" l="1"/>
  <c r="BH18" i="28" s="1"/>
  <c r="BH19" i="28" s="1"/>
  <c r="BI16" i="28"/>
  <c r="BJ16" i="28" l="1"/>
  <c r="BI17" i="28"/>
  <c r="BI18" i="28" s="1"/>
  <c r="BI19" i="28" s="1"/>
  <c r="BK16" i="28" l="1"/>
  <c r="BJ17" i="28"/>
  <c r="BJ18" i="28" s="1"/>
  <c r="BJ19" i="28" s="1"/>
  <c r="BL16" i="28" l="1"/>
  <c r="BK17" i="28"/>
  <c r="BK18" i="28" s="1"/>
  <c r="BK19" i="28" s="1"/>
  <c r="BL17" i="28" l="1"/>
  <c r="BL18" i="28" s="1"/>
  <c r="BL19" i="28" s="1"/>
  <c r="BM16" i="28"/>
  <c r="BN16" i="28" l="1"/>
  <c r="BM17" i="28"/>
  <c r="BM18" i="28" s="1"/>
  <c r="BM19" i="28" s="1"/>
  <c r="BO16" i="28" l="1"/>
  <c r="BN17" i="28"/>
  <c r="BN18" i="28" s="1"/>
  <c r="BN19" i="28" s="1"/>
  <c r="BO17" i="28" l="1"/>
  <c r="BO18" i="28" s="1"/>
  <c r="BO19" i="28" s="1"/>
  <c r="BP16" i="28"/>
  <c r="BP17" i="28" l="1"/>
  <c r="BP18" i="28" s="1"/>
  <c r="BP19" i="28" s="1"/>
  <c r="BQ16" i="28"/>
  <c r="BR16" i="28" l="1"/>
  <c r="BQ17" i="28"/>
  <c r="BQ18" i="28" s="1"/>
  <c r="BQ19" i="28" s="1"/>
  <c r="BR17" i="28" l="1"/>
  <c r="BR18" i="28" s="1"/>
  <c r="BR19" i="28" s="1"/>
  <c r="BS16" i="28"/>
  <c r="BT16" i="28" l="1"/>
  <c r="BS17" i="28"/>
  <c r="BS18" i="28" s="1"/>
  <c r="BS19" i="28" s="1"/>
  <c r="BU16" i="28" l="1"/>
  <c r="BT17" i="28"/>
  <c r="BT18" i="28" s="1"/>
  <c r="BT19" i="28" s="1"/>
  <c r="BV16" i="28" l="1"/>
  <c r="BU17" i="28"/>
  <c r="BU18" i="28" s="1"/>
  <c r="BU19" i="28" s="1"/>
  <c r="BV17" i="28" l="1"/>
  <c r="BV18" i="28" s="1"/>
  <c r="BV19" i="28" s="1"/>
  <c r="BW16" i="28"/>
  <c r="BW17" i="28" l="1"/>
  <c r="BW18" i="28" s="1"/>
  <c r="BW19" i="28" s="1"/>
  <c r="BX16" i="28"/>
  <c r="BX17" i="28" l="1"/>
  <c r="BX18" i="28" s="1"/>
  <c r="BX19" i="28" s="1"/>
  <c r="BY16" i="28"/>
  <c r="BZ16" i="28" l="1"/>
  <c r="BY17" i="28"/>
  <c r="BY18" i="28" s="1"/>
  <c r="BY19" i="28" s="1"/>
  <c r="CA16" i="28" l="1"/>
  <c r="BZ17" i="28"/>
  <c r="BZ18" i="28" s="1"/>
  <c r="BZ19" i="28" s="1"/>
  <c r="CA17" i="28" l="1"/>
  <c r="CA18" i="28" s="1"/>
  <c r="CA19" i="28" s="1"/>
  <c r="CB16" i="28"/>
  <c r="CB17" i="28" l="1"/>
  <c r="CB18" i="28" s="1"/>
  <c r="CB19" i="28" s="1"/>
  <c r="CC16" i="28"/>
  <c r="CD16" i="28" l="1"/>
  <c r="CC17" i="28"/>
  <c r="CC18" i="28" s="1"/>
  <c r="CC19" i="28" s="1"/>
  <c r="CE16" i="28" l="1"/>
  <c r="CD17" i="28"/>
  <c r="CD18" i="28" s="1"/>
  <c r="CD19" i="28" s="1"/>
  <c r="CE17" i="28" l="1"/>
  <c r="CE18" i="28" s="1"/>
  <c r="CE19" i="28" s="1"/>
  <c r="CF16" i="28"/>
  <c r="CF17" i="28" l="1"/>
  <c r="CF18" i="28" s="1"/>
  <c r="CF19" i="28" s="1"/>
  <c r="CG16" i="28"/>
  <c r="CH16" i="28" l="1"/>
  <c r="CG17" i="28"/>
  <c r="CG18" i="28" s="1"/>
  <c r="CG19" i="28" s="1"/>
  <c r="CI16" i="28" l="1"/>
  <c r="CH17" i="28"/>
  <c r="CH18" i="28" s="1"/>
  <c r="CH19" i="28" s="1"/>
  <c r="CJ16" i="28" l="1"/>
  <c r="CI17" i="28"/>
  <c r="CI18" i="28" s="1"/>
  <c r="CI19" i="28" s="1"/>
  <c r="CJ17" i="28" l="1"/>
  <c r="CJ18" i="28" s="1"/>
  <c r="CJ19" i="28" s="1"/>
  <c r="CK16" i="28"/>
  <c r="CL16" i="28" l="1"/>
  <c r="CK17" i="28"/>
  <c r="CK18" i="28" s="1"/>
  <c r="CK19" i="28" s="1"/>
  <c r="CL17" i="28" l="1"/>
  <c r="CL18" i="28" s="1"/>
  <c r="CL19" i="28" s="1"/>
  <c r="CM16" i="28"/>
  <c r="CM17" i="28" l="1"/>
  <c r="CM18" i="28" s="1"/>
  <c r="CM19" i="28" s="1"/>
  <c r="CN16" i="28"/>
  <c r="CO16" i="28" l="1"/>
  <c r="CN17" i="28"/>
  <c r="CN18" i="28" s="1"/>
  <c r="CN19" i="28" s="1"/>
  <c r="CP16" i="28" l="1"/>
  <c r="CO17" i="28"/>
  <c r="CO18" i="28" s="1"/>
  <c r="CO19" i="28" s="1"/>
  <c r="CQ16" i="28" l="1"/>
  <c r="CP17" i="28"/>
  <c r="CP18" i="28" s="1"/>
  <c r="CP19" i="28" s="1"/>
  <c r="CQ17" i="28" l="1"/>
  <c r="CQ18" i="28" s="1"/>
  <c r="CQ19" i="28" s="1"/>
  <c r="CR16" i="28"/>
  <c r="CR17" i="28" l="1"/>
  <c r="CR18" i="28" s="1"/>
  <c r="CR19" i="28" s="1"/>
  <c r="CS16" i="28"/>
  <c r="CT16" i="28" l="1"/>
  <c r="CS17" i="28"/>
  <c r="CS18" i="28" s="1"/>
  <c r="CS19" i="28" s="1"/>
  <c r="CU16" i="28" l="1"/>
  <c r="CT17" i="28"/>
  <c r="CT18" i="28" s="1"/>
  <c r="CT19" i="28" s="1"/>
  <c r="CV16" i="28" l="1"/>
  <c r="CU17" i="28"/>
  <c r="CU18" i="28" s="1"/>
  <c r="CU19" i="28" s="1"/>
  <c r="CV17" i="28" l="1"/>
  <c r="CV18" i="28" s="1"/>
  <c r="CV19" i="28" s="1"/>
  <c r="CW16" i="28"/>
  <c r="CX16" i="28" l="1"/>
  <c r="CW17" i="28"/>
  <c r="CW18" i="28" s="1"/>
  <c r="CW19" i="28" s="1"/>
  <c r="CX17" i="28" l="1"/>
  <c r="CX18" i="28" s="1"/>
  <c r="CX19" i="28" s="1"/>
  <c r="CY16" i="28"/>
  <c r="CZ16" i="28" l="1"/>
  <c r="CY17" i="28"/>
  <c r="CY18" i="28" s="1"/>
  <c r="CY19" i="28" s="1"/>
  <c r="CZ17" i="28" l="1"/>
  <c r="CZ18" i="28" s="1"/>
  <c r="CZ19" i="28" s="1"/>
  <c r="DA16" i="28"/>
  <c r="DB16" i="28" l="1"/>
  <c r="DA17" i="28"/>
  <c r="DA18" i="28" s="1"/>
  <c r="DA19" i="28" s="1"/>
  <c r="DC16" i="28" l="1"/>
  <c r="DB17" i="28"/>
  <c r="DB18" i="28" s="1"/>
  <c r="DB19" i="28" s="1"/>
  <c r="DC17" i="28" l="1"/>
  <c r="DC18" i="28" s="1"/>
  <c r="DC19" i="28" s="1"/>
  <c r="DD16" i="28"/>
  <c r="DE16" i="28" l="1"/>
  <c r="DD17" i="28"/>
  <c r="DD18" i="28" s="1"/>
  <c r="DD19" i="28" s="1"/>
  <c r="DF16" i="28" l="1"/>
  <c r="DE17" i="28"/>
  <c r="DE18" i="28" s="1"/>
  <c r="DE19" i="28" s="1"/>
  <c r="DF17" i="28" l="1"/>
  <c r="DF18" i="28" s="1"/>
  <c r="DF19" i="28" s="1"/>
  <c r="DG16" i="28"/>
  <c r="DH16" i="28" l="1"/>
  <c r="DG17" i="28"/>
  <c r="DG18" i="28" s="1"/>
  <c r="DG19" i="28" s="1"/>
  <c r="DH17" i="28" l="1"/>
  <c r="DH18" i="28" s="1"/>
  <c r="DH19" i="28" s="1"/>
  <c r="DI16" i="28"/>
  <c r="DJ16" i="28" l="1"/>
  <c r="DI17" i="28"/>
  <c r="DI18" i="28" s="1"/>
  <c r="DI19" i="28" s="1"/>
  <c r="DK16" i="28" l="1"/>
  <c r="DK17" i="28" s="1"/>
  <c r="DK18" i="28" s="1"/>
  <c r="DK19" i="28" s="1"/>
  <c r="DJ17" i="28"/>
  <c r="DJ18" i="28" s="1"/>
  <c r="DJ19" i="28" s="1"/>
</calcChain>
</file>

<file path=xl/sharedStrings.xml><?xml version="1.0" encoding="utf-8"?>
<sst xmlns="http://schemas.openxmlformats.org/spreadsheetml/2006/main" count="236" uniqueCount="161">
  <si>
    <t>cm</t>
  </si>
  <si>
    <t>cm/yr</t>
  </si>
  <si>
    <t>cm/hr</t>
  </si>
  <si>
    <t>log L/kg</t>
  </si>
  <si>
    <t>ug/L</t>
  </si>
  <si>
    <t>ug/kg</t>
  </si>
  <si>
    <r>
      <t xml:space="preserve">Cap Effective Depth, </t>
    </r>
    <r>
      <rPr>
        <i/>
        <sz val="10"/>
        <rFont val="Arial"/>
        <family val="2"/>
      </rPr>
      <t>h</t>
    </r>
    <r>
      <rPr>
        <i/>
        <vertAlign val="subscript"/>
        <sz val="10"/>
        <rFont val="Arial"/>
        <family val="2"/>
      </rPr>
      <t>eff</t>
    </r>
  </si>
  <si>
    <t>Output</t>
  </si>
  <si>
    <t>STEADY-STATE CAP DESIGN MODEL</t>
  </si>
  <si>
    <r>
      <t xml:space="preserve">Fraction organic carbon at depth of interest, </t>
    </r>
    <r>
      <rPr>
        <i/>
        <sz val="10"/>
        <rFont val="Arial"/>
        <family val="2"/>
      </rPr>
      <t>f</t>
    </r>
    <r>
      <rPr>
        <i/>
        <vertAlign val="subscript"/>
        <sz val="10"/>
        <rFont val="Arial"/>
        <family val="2"/>
      </rPr>
      <t>oc</t>
    </r>
    <r>
      <rPr>
        <i/>
        <sz val="10"/>
        <rFont val="Arial"/>
        <family val="2"/>
      </rPr>
      <t>(z)</t>
    </r>
  </si>
  <si>
    <r>
      <t xml:space="preserve">Pore Water Concentration at Depth, </t>
    </r>
    <r>
      <rPr>
        <i/>
        <sz val="10"/>
        <rFont val="Arial"/>
        <family val="2"/>
      </rPr>
      <t>C(z)</t>
    </r>
  </si>
  <si>
    <r>
      <t xml:space="preserve">Loading at Depth, </t>
    </r>
    <r>
      <rPr>
        <i/>
        <sz val="10"/>
        <rFont val="Arial"/>
        <family val="2"/>
      </rPr>
      <t>W(z)</t>
    </r>
  </si>
  <si>
    <r>
      <t>Flux to Overlying Water Column,</t>
    </r>
    <r>
      <rPr>
        <i/>
        <sz val="10"/>
        <rFont val="Arial"/>
        <family val="2"/>
      </rPr>
      <t xml:space="preserve"> J</t>
    </r>
  </si>
  <si>
    <r>
      <t>Contaminant Pore Water Concentration, C</t>
    </r>
    <r>
      <rPr>
        <i/>
        <vertAlign val="subscript"/>
        <sz val="10"/>
        <rFont val="Arial"/>
        <family val="2"/>
      </rPr>
      <t>0</t>
    </r>
  </si>
  <si>
    <r>
      <t xml:space="preserve">Depth of Interest, </t>
    </r>
    <r>
      <rPr>
        <i/>
        <sz val="10"/>
        <rFont val="Arial"/>
        <family val="2"/>
      </rPr>
      <t>z</t>
    </r>
  </si>
  <si>
    <r>
      <t xml:space="preserve">Organic Carbon Partition Coefficient, log </t>
    </r>
    <r>
      <rPr>
        <i/>
        <sz val="10"/>
        <rFont val="Arial"/>
        <family val="2"/>
      </rPr>
      <t>K</t>
    </r>
    <r>
      <rPr>
        <i/>
        <vertAlign val="subscript"/>
        <sz val="10"/>
        <rFont val="Arial"/>
        <family val="2"/>
      </rPr>
      <t>oc</t>
    </r>
  </si>
  <si>
    <r>
      <t xml:space="preserve">Water Diffusivity, </t>
    </r>
    <r>
      <rPr>
        <i/>
        <sz val="10"/>
        <rFont val="Arial"/>
        <family val="2"/>
      </rPr>
      <t>D</t>
    </r>
    <r>
      <rPr>
        <i/>
        <vertAlign val="subscript"/>
        <sz val="10"/>
        <rFont val="Arial"/>
        <family val="2"/>
      </rPr>
      <t>w</t>
    </r>
  </si>
  <si>
    <r>
      <t xml:space="preserve">Porosity, </t>
    </r>
    <r>
      <rPr>
        <sz val="10"/>
        <rFont val="Symbol"/>
        <family val="1"/>
        <charset val="2"/>
      </rPr>
      <t>e</t>
    </r>
  </si>
  <si>
    <r>
      <t xml:space="preserve">Particle Density, </t>
    </r>
    <r>
      <rPr>
        <i/>
        <sz val="10"/>
        <rFont val="Times New Roman"/>
        <family val="1"/>
      </rPr>
      <t>ρ</t>
    </r>
    <r>
      <rPr>
        <i/>
        <vertAlign val="subscript"/>
        <sz val="10"/>
        <rFont val="Arial"/>
        <family val="2"/>
      </rPr>
      <t>P</t>
    </r>
  </si>
  <si>
    <r>
      <t xml:space="preserve">Particle Biodiffusion Coefficient, </t>
    </r>
    <r>
      <rPr>
        <i/>
        <sz val="10"/>
        <rFont val="Arial"/>
        <family val="2"/>
      </rPr>
      <t>D</t>
    </r>
    <r>
      <rPr>
        <i/>
        <vertAlign val="subscript"/>
        <sz val="10"/>
        <rFont val="Arial"/>
        <family val="2"/>
      </rPr>
      <t>bio</t>
    </r>
    <r>
      <rPr>
        <i/>
        <vertAlign val="superscript"/>
        <sz val="10"/>
        <rFont val="Arial"/>
        <family val="2"/>
      </rPr>
      <t xml:space="preserve">p </t>
    </r>
  </si>
  <si>
    <t>Other Parameters</t>
  </si>
  <si>
    <t>Dimensionless Parameters</t>
  </si>
  <si>
    <t>yr</t>
  </si>
  <si>
    <t>Parameters</t>
  </si>
  <si>
    <t>u</t>
  </si>
  <si>
    <t>create an array of concentration profiles.</t>
  </si>
  <si>
    <r>
      <t xml:space="preserve">Boundary Layer Mass Transfer Coefficient, </t>
    </r>
    <r>
      <rPr>
        <i/>
        <sz val="10"/>
        <rFont val="Arial"/>
        <family val="2"/>
      </rPr>
      <t>k</t>
    </r>
    <r>
      <rPr>
        <i/>
        <vertAlign val="subscript"/>
        <sz val="10"/>
        <rFont val="Arial"/>
        <family val="2"/>
      </rPr>
      <t>bl</t>
    </r>
  </si>
  <si>
    <t xml:space="preserve">Contaminant </t>
  </si>
  <si>
    <r>
      <t xml:space="preserve">Containment Layer Retardation Factor, </t>
    </r>
    <r>
      <rPr>
        <i/>
        <sz val="10"/>
        <rFont val="Arial"/>
        <family val="2"/>
      </rPr>
      <t>R</t>
    </r>
    <r>
      <rPr>
        <i/>
        <vertAlign val="subscript"/>
        <sz val="10"/>
        <rFont val="Arial"/>
        <family val="2"/>
      </rPr>
      <t>1</t>
    </r>
  </si>
  <si>
    <r>
      <t xml:space="preserve">Colloidal Organic Carbon Partition Coefficient, log </t>
    </r>
    <r>
      <rPr>
        <i/>
        <sz val="10"/>
        <rFont val="Arial"/>
        <family val="2"/>
      </rPr>
      <t>K</t>
    </r>
    <r>
      <rPr>
        <i/>
        <vertAlign val="subscript"/>
        <sz val="10"/>
        <rFont val="Arial"/>
        <family val="2"/>
      </rPr>
      <t>DOC</t>
    </r>
  </si>
  <si>
    <t>Contaminant Properties</t>
  </si>
  <si>
    <r>
      <t xml:space="preserve">Colloidal Organic Carbon Concentration, </t>
    </r>
    <r>
      <rPr>
        <i/>
        <sz val="10"/>
        <rFont val="Symbol"/>
        <family val="1"/>
        <charset val="2"/>
      </rPr>
      <t>r</t>
    </r>
    <r>
      <rPr>
        <i/>
        <vertAlign val="subscript"/>
        <sz val="10"/>
        <rFont val="Arial"/>
        <family val="2"/>
      </rPr>
      <t>DOC</t>
    </r>
  </si>
  <si>
    <t>mg/L</t>
  </si>
  <si>
    <t>z/hcap</t>
  </si>
  <si>
    <t>STEADY-STATE CAP DESIGN MODEL -- Array/Multiple Contaminant Worksheet</t>
  </si>
  <si>
    <t>Pe</t>
  </si>
  <si>
    <t>Da</t>
  </si>
  <si>
    <t>tau</t>
  </si>
  <si>
    <t>time</t>
  </si>
  <si>
    <t>Dimensionless Calculations</t>
  </si>
  <si>
    <t>zeta</t>
  </si>
  <si>
    <t>Concentration Profiles</t>
  </si>
  <si>
    <t>depth</t>
  </si>
  <si>
    <t>Model Equations</t>
  </si>
  <si>
    <r>
      <t>Effective Cap Layer Peclet No.,</t>
    </r>
    <r>
      <rPr>
        <i/>
        <sz val="10"/>
        <rFont val="Arial"/>
        <family val="2"/>
      </rPr>
      <t xml:space="preserve"> Pe</t>
    </r>
    <r>
      <rPr>
        <i/>
        <vertAlign val="subscript"/>
        <sz val="10"/>
        <rFont val="Arial"/>
        <family val="2"/>
      </rPr>
      <t>1</t>
    </r>
  </si>
  <si>
    <r>
      <t xml:space="preserve">Effective Cap Layer Damkohler No., </t>
    </r>
    <r>
      <rPr>
        <i/>
        <sz val="10"/>
        <rFont val="Arial"/>
        <family val="2"/>
      </rPr>
      <t>Da</t>
    </r>
    <r>
      <rPr>
        <i/>
        <vertAlign val="subscript"/>
        <sz val="10"/>
        <rFont val="Arial"/>
        <family val="2"/>
      </rPr>
      <t>1</t>
    </r>
  </si>
  <si>
    <r>
      <t>g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= SQRT(</t>
    </r>
    <r>
      <rPr>
        <i/>
        <sz val="10"/>
        <rFont val="Arial"/>
        <family val="2"/>
      </rPr>
      <t>Pe</t>
    </r>
    <r>
      <rPr>
        <i/>
        <vertAlign val="subscript"/>
        <sz val="10"/>
        <rFont val="Arial"/>
        <family val="2"/>
      </rPr>
      <t>1</t>
    </r>
    <r>
      <rPr>
        <i/>
        <vertAlign val="superscript"/>
        <sz val="10"/>
        <rFont val="Arial"/>
        <family val="2"/>
      </rPr>
      <t>2</t>
    </r>
    <r>
      <rPr>
        <sz val="10"/>
        <rFont val="Arial"/>
        <family val="2"/>
      </rPr>
      <t>/4+</t>
    </r>
    <r>
      <rPr>
        <i/>
        <sz val="10"/>
        <rFont val="Arial"/>
        <family val="2"/>
      </rPr>
      <t>Da</t>
    </r>
    <r>
      <rPr>
        <sz val="10"/>
        <rFont val="Arial"/>
        <family val="2"/>
      </rPr>
      <t>)</t>
    </r>
  </si>
  <si>
    <r>
      <t>b</t>
    </r>
    <r>
      <rPr>
        <i/>
        <sz val="10"/>
        <rFont val="Arial"/>
        <family val="2"/>
      </rPr>
      <t xml:space="preserve"> = </t>
    </r>
    <r>
      <rPr>
        <sz val="10"/>
        <rFont val="Arial"/>
        <family val="2"/>
      </rPr>
      <t>SQRT(</t>
    </r>
    <r>
      <rPr>
        <i/>
        <sz val="10"/>
        <rFont val="Arial"/>
        <family val="2"/>
      </rPr>
      <t>Pe</t>
    </r>
    <r>
      <rPr>
        <i/>
        <vertAlign val="subscript"/>
        <sz val="10"/>
        <rFont val="Arial"/>
        <family val="2"/>
      </rPr>
      <t>1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/4+</t>
    </r>
    <r>
      <rPr>
        <i/>
        <sz val="10"/>
        <rFont val="Arial"/>
        <family val="2"/>
      </rPr>
      <t>Da</t>
    </r>
    <r>
      <rPr>
        <sz val="10"/>
        <rFont val="Arial"/>
        <family val="2"/>
      </rPr>
      <t>)</t>
    </r>
  </si>
  <si>
    <r>
      <t xml:space="preserve">Sherwood Number at Interface, </t>
    </r>
    <r>
      <rPr>
        <i/>
        <sz val="10"/>
        <rFont val="Arial"/>
        <family val="2"/>
      </rPr>
      <t>Sh</t>
    </r>
  </si>
  <si>
    <r>
      <t>t</t>
    </r>
    <r>
      <rPr>
        <i/>
        <vertAlign val="subscript"/>
        <sz val="10"/>
        <rFont val="Arial"/>
        <family val="2"/>
      </rPr>
      <t>avd/diff</t>
    </r>
  </si>
  <si>
    <r>
      <t xml:space="preserve">Characteristic Advection Time-cap layer, </t>
    </r>
    <r>
      <rPr>
        <i/>
        <sz val="10"/>
        <rFont val="Arial"/>
        <family val="2"/>
      </rPr>
      <t>t</t>
    </r>
    <r>
      <rPr>
        <i/>
        <vertAlign val="subscript"/>
        <sz val="10"/>
        <rFont val="Arial"/>
        <family val="2"/>
      </rPr>
      <t>adv</t>
    </r>
  </si>
  <si>
    <r>
      <t xml:space="preserve">Characteristic Diffusion Time-cap layer, </t>
    </r>
    <r>
      <rPr>
        <i/>
        <sz val="10"/>
        <rFont val="Arial"/>
        <family val="2"/>
      </rPr>
      <t>t</t>
    </r>
    <r>
      <rPr>
        <i/>
        <vertAlign val="subscript"/>
        <sz val="10"/>
        <rFont val="Arial"/>
        <family val="2"/>
      </rPr>
      <t>diff</t>
    </r>
  </si>
  <si>
    <r>
      <t xml:space="preserve">Characteristic Reaction Time-cap layer, </t>
    </r>
    <r>
      <rPr>
        <i/>
        <sz val="10"/>
        <rFont val="Arial"/>
        <family val="2"/>
      </rPr>
      <t>t</t>
    </r>
    <r>
      <rPr>
        <i/>
        <vertAlign val="subscript"/>
        <sz val="10"/>
        <rFont val="Arial"/>
        <family val="2"/>
      </rPr>
      <t>decay</t>
    </r>
  </si>
  <si>
    <r>
      <t xml:space="preserve">Effective Advective Velocity, </t>
    </r>
    <r>
      <rPr>
        <i/>
        <sz val="10"/>
        <rFont val="Arial"/>
        <family val="2"/>
      </rPr>
      <t>U</t>
    </r>
  </si>
  <si>
    <t>*Van Genuchten, M.T.  1981. “Analytical solutions for chemical transport with simultaneous adsorption,
zero order production and first order decay.” Journal of Hydrology, 49(3):213-233.</t>
  </si>
  <si>
    <t>TRANSIENT MODEL</t>
  </si>
  <si>
    <t>from Van Genchten 1981*</t>
  </si>
  <si>
    <r>
      <t>Instructions:</t>
    </r>
    <r>
      <rPr>
        <sz val="10"/>
        <rFont val="Arial"/>
        <family val="2"/>
      </rPr>
      <t xml:space="preserve"> The values in the "Parameter" Cells are linked to those on the "Steady State Conditions"</t>
    </r>
  </si>
  <si>
    <t>Model Equations:</t>
  </si>
  <si>
    <r>
      <t>Instructions:</t>
    </r>
    <r>
      <rPr>
        <sz val="10"/>
        <rFont val="Arial"/>
        <family val="2"/>
      </rPr>
      <t xml:space="preserve"> Copy column "C" to create multiple solution rows; then change the parameters/chemical of interest. </t>
    </r>
  </si>
  <si>
    <r>
      <t>Cap-Water Interface Concentration,</t>
    </r>
    <r>
      <rPr>
        <i/>
        <sz val="10"/>
        <rFont val="Arial"/>
        <family val="2"/>
      </rPr>
      <t xml:space="preserve"> C</t>
    </r>
    <r>
      <rPr>
        <i/>
        <vertAlign val="subscript"/>
        <sz val="10"/>
        <rFont val="Arial"/>
        <family val="2"/>
      </rPr>
      <t>bl</t>
    </r>
    <r>
      <rPr>
        <i/>
        <sz val="10"/>
        <rFont val="Arial"/>
        <family val="2"/>
      </rPr>
      <t>/C</t>
    </r>
    <r>
      <rPr>
        <i/>
        <vertAlign val="subscript"/>
        <sz val="10"/>
        <rFont val="Arial"/>
        <family val="2"/>
      </rPr>
      <t>0,</t>
    </r>
    <r>
      <rPr>
        <i/>
        <sz val="10"/>
        <rFont val="Arial"/>
        <family val="2"/>
      </rPr>
      <t>C</t>
    </r>
    <r>
      <rPr>
        <i/>
        <vertAlign val="subscript"/>
        <sz val="10"/>
        <rFont val="Arial"/>
        <family val="2"/>
      </rPr>
      <t>bl</t>
    </r>
  </si>
  <si>
    <t>Cap Materials -Granular (G) or Consolidated Silty/Clay (C)</t>
  </si>
  <si>
    <t>G</t>
  </si>
  <si>
    <t>Underlying sediment consolidation due to cap placement</t>
  </si>
  <si>
    <t>ss time</t>
  </si>
  <si>
    <r>
      <t xml:space="preserve">Darcy Velocity, </t>
    </r>
    <r>
      <rPr>
        <i/>
        <sz val="10"/>
        <rFont val="Arial"/>
        <family val="2"/>
      </rPr>
      <t>V (</t>
    </r>
    <r>
      <rPr>
        <sz val="10"/>
        <rFont val="Arial"/>
        <family val="2"/>
      </rPr>
      <t>positive is upwelling)</t>
    </r>
  </si>
  <si>
    <r>
      <t xml:space="preserve">Characteristic Time to~1% of steady state, </t>
    </r>
    <r>
      <rPr>
        <i/>
        <sz val="10"/>
        <rFont val="Arial"/>
        <family val="2"/>
      </rPr>
      <t>t</t>
    </r>
    <r>
      <rPr>
        <i/>
        <vertAlign val="subscript"/>
        <sz val="10"/>
        <rFont val="Arial"/>
        <family val="2"/>
      </rPr>
      <t>adv/diff</t>
    </r>
  </si>
  <si>
    <r>
      <t xml:space="preserve">Depositional Velocity, </t>
    </r>
    <r>
      <rPr>
        <i/>
        <sz val="10"/>
        <rFont val="Arial"/>
        <family val="2"/>
      </rPr>
      <t>V</t>
    </r>
    <r>
      <rPr>
        <i/>
        <vertAlign val="subscript"/>
        <sz val="10"/>
        <rFont val="Arial"/>
        <family val="2"/>
      </rPr>
      <t xml:space="preserve">dep </t>
    </r>
    <r>
      <rPr>
        <i/>
        <sz val="10"/>
        <rFont val="Arial"/>
        <family val="2"/>
      </rPr>
      <t>(positive is deposition of sediments)</t>
    </r>
  </si>
  <si>
    <t>from Lampert and  Reible (2009)*</t>
  </si>
  <si>
    <t>Commonly Used Parameter Estimates</t>
  </si>
  <si>
    <r>
      <t>Cap final thickness,</t>
    </r>
    <r>
      <rPr>
        <i/>
        <sz val="10"/>
        <rFont val="Arial"/>
        <family val="2"/>
      </rPr>
      <t xml:space="preserve"> h</t>
    </r>
    <r>
      <rPr>
        <i/>
        <vertAlign val="subscript"/>
        <sz val="10"/>
        <rFont val="Arial"/>
        <family val="2"/>
      </rPr>
      <t>cap</t>
    </r>
  </si>
  <si>
    <r>
      <t xml:space="preserve">Octanol-water partition coefficient, log </t>
    </r>
    <r>
      <rPr>
        <i/>
        <sz val="10"/>
        <rFont val="Arial"/>
        <family val="2"/>
      </rPr>
      <t>K</t>
    </r>
    <r>
      <rPr>
        <i/>
        <vertAlign val="subscript"/>
        <sz val="10"/>
        <rFont val="Arial"/>
        <family val="2"/>
      </rPr>
      <t>ow</t>
    </r>
  </si>
  <si>
    <r>
      <t xml:space="preserve">Depositional Velocity, </t>
    </r>
    <r>
      <rPr>
        <i/>
        <sz val="10"/>
        <rFont val="Arial"/>
        <family val="2"/>
      </rPr>
      <t>V</t>
    </r>
    <r>
      <rPr>
        <i/>
        <vertAlign val="subscript"/>
        <sz val="10"/>
        <rFont val="Arial"/>
        <family val="2"/>
      </rPr>
      <t>dep</t>
    </r>
  </si>
  <si>
    <t>Underlying sediment consolidation</t>
  </si>
  <si>
    <r>
      <t>g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= SQRT(</t>
    </r>
    <r>
      <rPr>
        <i/>
        <sz val="10"/>
        <rFont val="Arial"/>
        <family val="2"/>
      </rPr>
      <t>Pe</t>
    </r>
    <r>
      <rPr>
        <i/>
        <vertAlign val="subscript"/>
        <sz val="10"/>
        <rFont val="Arial"/>
        <family val="2"/>
      </rPr>
      <t>2</t>
    </r>
    <r>
      <rPr>
        <i/>
        <vertAlign val="superscript"/>
        <sz val="10"/>
        <rFont val="Arial"/>
        <family val="2"/>
      </rPr>
      <t>2</t>
    </r>
    <r>
      <rPr>
        <sz val="10"/>
        <rFont val="Arial"/>
        <family val="2"/>
      </rPr>
      <t>/4+</t>
    </r>
    <r>
      <rPr>
        <i/>
        <sz val="10"/>
        <rFont val="Arial"/>
        <family val="2"/>
      </rPr>
      <t>Da</t>
    </r>
    <r>
      <rPr>
        <i/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</si>
  <si>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b</t>
    </r>
    <r>
      <rPr>
        <i/>
        <sz val="10"/>
        <rFont val="Arial"/>
        <family val="2"/>
      </rPr>
      <t xml:space="preserve"> = </t>
    </r>
    <r>
      <rPr>
        <sz val="10"/>
        <rFont val="Arial"/>
        <family val="2"/>
      </rPr>
      <t>SQRT(</t>
    </r>
    <r>
      <rPr>
        <i/>
        <sz val="10"/>
        <rFont val="Arial"/>
        <family val="2"/>
      </rPr>
      <t>Pe</t>
    </r>
    <r>
      <rPr>
        <i/>
        <vertAlign val="subscript"/>
        <sz val="10"/>
        <rFont val="Arial"/>
        <family val="2"/>
      </rPr>
      <t>1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/4+</t>
    </r>
    <r>
      <rPr>
        <i/>
        <sz val="10"/>
        <rFont val="Arial"/>
        <family val="2"/>
      </rPr>
      <t>Da</t>
    </r>
    <r>
      <rPr>
        <i/>
        <vertAlign val="sub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</si>
  <si>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t>Cap-Water Interface Concentration,</t>
    </r>
    <r>
      <rPr>
        <i/>
        <sz val="10"/>
        <rFont val="Arial"/>
        <family val="2"/>
      </rPr>
      <t xml:space="preserve"> C</t>
    </r>
    <r>
      <rPr>
        <i/>
        <vertAlign val="subscript"/>
        <sz val="10"/>
        <rFont val="Arial"/>
        <family val="2"/>
      </rPr>
      <t>bl</t>
    </r>
    <r>
      <rPr>
        <i/>
        <sz val="10"/>
        <rFont val="Arial"/>
        <family val="2"/>
      </rPr>
      <t>/C</t>
    </r>
    <r>
      <rPr>
        <i/>
        <vertAlign val="subscript"/>
        <sz val="10"/>
        <rFont val="Arial"/>
        <family val="2"/>
      </rPr>
      <t>0</t>
    </r>
  </si>
  <si>
    <t>Column "B" is linked to the front worksheet.  This example shows the effect of log Kow.</t>
  </si>
  <si>
    <r>
      <t xml:space="preserve">Characteristic Time to ~1% of pre-cap, </t>
    </r>
    <r>
      <rPr>
        <i/>
        <sz val="10"/>
        <rFont val="Arial"/>
        <family val="2"/>
      </rPr>
      <t>t</t>
    </r>
    <r>
      <rPr>
        <i/>
        <vertAlign val="subscript"/>
        <sz val="10"/>
        <rFont val="Arial"/>
        <family val="2"/>
      </rPr>
      <t>adv/diff</t>
    </r>
  </si>
  <si>
    <r>
      <t xml:space="preserve">page.  </t>
    </r>
    <r>
      <rPr>
        <sz val="10"/>
        <color indexed="10"/>
        <rFont val="Arial"/>
        <family val="2"/>
      </rPr>
      <t>DO NOT CHANGE THE CELLS IN RED</t>
    </r>
    <r>
      <rPr>
        <sz val="10"/>
        <rFont val="Arial"/>
        <family val="2"/>
      </rPr>
      <t xml:space="preserve">; feel free to change the cells with </t>
    </r>
    <r>
      <rPr>
        <sz val="10"/>
        <color indexed="17"/>
        <rFont val="Arial"/>
        <family val="2"/>
      </rPr>
      <t>GREEN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color to</t>
    </r>
  </si>
  <si>
    <t>*Lampert, D.J. and Reible, D.D.  2009.  “An Analytical Modeling Approach for Evaluation of Capping of Contaminated Sediments,” Soil &amp; Sediment Contamination, 2009, 18(4):470-488.</t>
  </si>
  <si>
    <r>
      <t>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/s</t>
    </r>
  </si>
  <si>
    <r>
      <t>yr</t>
    </r>
    <r>
      <rPr>
        <vertAlign val="superscript"/>
        <sz val="10"/>
        <rFont val="Arial"/>
        <family val="2"/>
      </rPr>
      <t>-1</t>
    </r>
  </si>
  <si>
    <r>
      <t>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/yr</t>
    </r>
  </si>
  <si>
    <r>
      <t>g/cm</t>
    </r>
    <r>
      <rPr>
        <vertAlign val="superscript"/>
        <sz val="10"/>
        <rFont val="Arial"/>
        <family val="2"/>
      </rPr>
      <t>3</t>
    </r>
  </si>
  <si>
    <r>
      <t>ug/m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/yr</t>
    </r>
  </si>
  <si>
    <r>
      <t>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/s</t>
    </r>
  </si>
  <si>
    <r>
      <t>yr</t>
    </r>
    <r>
      <rPr>
        <vertAlign val="superscript"/>
        <sz val="10"/>
        <rFont val="Arial"/>
        <family val="2"/>
      </rPr>
      <t>-1</t>
    </r>
  </si>
  <si>
    <r>
      <t>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/yr</t>
    </r>
  </si>
  <si>
    <r>
      <t>g/cm</t>
    </r>
    <r>
      <rPr>
        <vertAlign val="superscript"/>
        <sz val="10"/>
        <rFont val="Arial"/>
        <family val="2"/>
      </rPr>
      <t>3</t>
    </r>
  </si>
  <si>
    <r>
      <t>ug/m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/yr</t>
    </r>
  </si>
  <si>
    <t>Inputs</t>
  </si>
  <si>
    <t>Outputs</t>
  </si>
  <si>
    <t>Estimates</t>
  </si>
  <si>
    <t>(not allowed to be less than 1 cm)</t>
  </si>
  <si>
    <t>(not allowed to be more negative than that which will offset diffusion)</t>
  </si>
  <si>
    <t>Sediment/Conventional Cap Properties</t>
  </si>
  <si>
    <t>Active Cap Properties</t>
  </si>
  <si>
    <r>
      <t xml:space="preserve">Conventional Cap Layer Retardation Factor, </t>
    </r>
    <r>
      <rPr>
        <i/>
        <sz val="10"/>
        <rFont val="Arial"/>
        <family val="2"/>
      </rPr>
      <t>R</t>
    </r>
    <r>
      <rPr>
        <i/>
        <vertAlign val="subscript"/>
        <sz val="10"/>
        <rFont val="Arial"/>
        <family val="2"/>
      </rPr>
      <t>2</t>
    </r>
  </si>
  <si>
    <r>
      <t xml:space="preserve">Active Layer Retardation Factor, </t>
    </r>
    <r>
      <rPr>
        <i/>
        <sz val="10"/>
        <rFont val="Arial"/>
        <family val="2"/>
      </rPr>
      <t>R</t>
    </r>
    <r>
      <rPr>
        <i/>
        <vertAlign val="subscript"/>
        <sz val="10"/>
        <rFont val="Arial"/>
        <family val="2"/>
      </rPr>
      <t>1</t>
    </r>
  </si>
  <si>
    <r>
      <t>Conventional Cap layer fraction organic carbon, (</t>
    </r>
    <r>
      <rPr>
        <i/>
        <sz val="10"/>
        <rFont val="Arial"/>
        <family val="2"/>
      </rPr>
      <t>f</t>
    </r>
    <r>
      <rPr>
        <i/>
        <vertAlign val="subscript"/>
        <sz val="10"/>
        <rFont val="Arial"/>
        <family val="2"/>
      </rPr>
      <t>oc</t>
    </r>
    <r>
      <rPr>
        <i/>
        <sz val="10"/>
        <rFont val="Arial"/>
        <family val="2"/>
      </rPr>
      <t>)</t>
    </r>
    <r>
      <rPr>
        <i/>
        <vertAlign val="subscript"/>
        <sz val="10"/>
        <rFont val="Arial"/>
        <family val="2"/>
      </rPr>
      <t>bio</t>
    </r>
  </si>
  <si>
    <r>
      <t xml:space="preserve">Active Cap Decay Rate, </t>
    </r>
    <r>
      <rPr>
        <i/>
        <sz val="10"/>
        <rFont val="Symbol"/>
        <family val="1"/>
        <charset val="2"/>
      </rPr>
      <t>l</t>
    </r>
    <r>
      <rPr>
        <i/>
        <vertAlign val="subscript"/>
        <sz val="10"/>
        <rFont val="Symbol"/>
        <family val="1"/>
        <charset val="2"/>
      </rPr>
      <t>1</t>
    </r>
  </si>
  <si>
    <r>
      <t xml:space="preserve">Conventional Layer Decay Rate, </t>
    </r>
    <r>
      <rPr>
        <i/>
        <sz val="10"/>
        <rFont val="Symbol"/>
        <family val="1"/>
        <charset val="2"/>
      </rPr>
      <t>l</t>
    </r>
    <r>
      <rPr>
        <i/>
        <vertAlign val="subscript"/>
        <sz val="10"/>
        <rFont val="Symbol"/>
        <family val="1"/>
        <charset val="2"/>
      </rPr>
      <t>2</t>
    </r>
  </si>
  <si>
    <r>
      <t xml:space="preserve">Active Cap Layer Decay Rate, </t>
    </r>
    <r>
      <rPr>
        <i/>
        <sz val="10"/>
        <rFont val="Symbol"/>
        <family val="1"/>
        <charset val="2"/>
      </rPr>
      <t>l</t>
    </r>
    <r>
      <rPr>
        <i/>
        <vertAlign val="subscript"/>
        <sz val="10"/>
        <rFont val="Symbol"/>
        <family val="1"/>
        <charset val="2"/>
      </rPr>
      <t>1</t>
    </r>
  </si>
  <si>
    <r>
      <t xml:space="preserve">Conventional Cap Layer Decay Rate, </t>
    </r>
    <r>
      <rPr>
        <i/>
        <sz val="10"/>
        <rFont val="Symbol"/>
        <family val="1"/>
        <charset val="2"/>
      </rPr>
      <t>l</t>
    </r>
    <r>
      <rPr>
        <i/>
        <vertAlign val="subscript"/>
        <sz val="10"/>
        <rFont val="Symbol"/>
        <family val="1"/>
        <charset val="2"/>
      </rPr>
      <t>2</t>
    </r>
  </si>
  <si>
    <t>Conventional Cap Layer Thickness</t>
  </si>
  <si>
    <r>
      <t xml:space="preserve">Particle Biodiffusion Coefficient, </t>
    </r>
    <r>
      <rPr>
        <i/>
        <sz val="10"/>
        <rFont val="Arial"/>
        <family val="2"/>
      </rPr>
      <t>D</t>
    </r>
    <r>
      <rPr>
        <i/>
        <vertAlign val="subscript"/>
        <sz val="10"/>
        <rFont val="Arial"/>
        <family val="2"/>
      </rPr>
      <t>bio</t>
    </r>
  </si>
  <si>
    <t>Total Cap placed depth</t>
  </si>
  <si>
    <r>
      <t xml:space="preserve">Active Cap fraction organic carbon, </t>
    </r>
    <r>
      <rPr>
        <i/>
        <sz val="10"/>
        <rFont val="Arial"/>
        <family val="2"/>
      </rPr>
      <t>(f</t>
    </r>
    <r>
      <rPr>
        <i/>
        <vertAlign val="subscript"/>
        <sz val="10"/>
        <rFont val="Arial"/>
        <family val="2"/>
      </rPr>
      <t>oc</t>
    </r>
    <r>
      <rPr>
        <i/>
        <sz val="10"/>
        <rFont val="Arial"/>
        <family val="2"/>
      </rPr>
      <t>)</t>
    </r>
    <r>
      <rPr>
        <i/>
        <vertAlign val="subscript"/>
        <sz val="10"/>
        <rFont val="Arial"/>
        <family val="2"/>
      </rPr>
      <t xml:space="preserve">eff   </t>
    </r>
    <r>
      <rPr>
        <i/>
        <sz val="10"/>
        <rFont val="Arial"/>
        <family val="2"/>
      </rPr>
      <t>Kd/Koc</t>
    </r>
  </si>
  <si>
    <t>Average Conventional Cap Layer Loading</t>
  </si>
  <si>
    <r>
      <t>Active-Conventional Cap Interface Concentration</t>
    </r>
    <r>
      <rPr>
        <i/>
        <sz val="10"/>
        <rFont val="Arial"/>
        <family val="2"/>
      </rPr>
      <t/>
    </r>
  </si>
  <si>
    <t>Average Conventional Layer Concentration</t>
  </si>
  <si>
    <r>
      <t xml:space="preserve">Conventional Layer Diffusion/Dispersion Coeff., </t>
    </r>
    <r>
      <rPr>
        <i/>
        <sz val="10"/>
        <rFont val="Arial"/>
        <family val="2"/>
      </rPr>
      <t>D</t>
    </r>
    <r>
      <rPr>
        <i/>
        <vertAlign val="subscript"/>
        <sz val="10"/>
        <rFont val="Arial"/>
        <family val="2"/>
      </rPr>
      <t>2</t>
    </r>
  </si>
  <si>
    <r>
      <t xml:space="preserve">Active Cap Layer Diffusion/Dispersion Coeff., </t>
    </r>
    <r>
      <rPr>
        <i/>
        <sz val="10"/>
        <rFont val="Arial"/>
        <family val="2"/>
      </rPr>
      <t>D</t>
    </r>
    <r>
      <rPr>
        <i/>
        <vertAlign val="subscript"/>
        <sz val="10"/>
        <rFont val="Arial"/>
        <family val="2"/>
      </rPr>
      <t>1</t>
    </r>
  </si>
  <si>
    <r>
      <t xml:space="preserve">Conventional Layer Peclet No., </t>
    </r>
    <r>
      <rPr>
        <i/>
        <sz val="10"/>
        <rFont val="Arial"/>
        <family val="2"/>
      </rPr>
      <t>Pe</t>
    </r>
    <r>
      <rPr>
        <i/>
        <vertAlign val="subscript"/>
        <sz val="10"/>
        <rFont val="Arial"/>
        <family val="2"/>
      </rPr>
      <t>2</t>
    </r>
  </si>
  <si>
    <r>
      <t xml:space="preserve">Conventional Layer Damkohler No., </t>
    </r>
    <r>
      <rPr>
        <i/>
        <sz val="10"/>
        <rFont val="Arial"/>
        <family val="2"/>
      </rPr>
      <t>Da</t>
    </r>
    <r>
      <rPr>
        <i/>
        <vertAlign val="subscript"/>
        <sz val="10"/>
        <rFont val="Arial"/>
        <family val="2"/>
      </rPr>
      <t>2</t>
    </r>
  </si>
  <si>
    <r>
      <t xml:space="preserve">Conventional Layer Retardation Factor, </t>
    </r>
    <r>
      <rPr>
        <i/>
        <sz val="10"/>
        <rFont val="Arial"/>
        <family val="2"/>
      </rPr>
      <t>R</t>
    </r>
    <r>
      <rPr>
        <i/>
        <vertAlign val="subscript"/>
        <sz val="10"/>
        <rFont val="Arial"/>
        <family val="2"/>
      </rPr>
      <t>2</t>
    </r>
  </si>
  <si>
    <r>
      <t>Instructions:</t>
    </r>
    <r>
      <rPr>
        <sz val="10"/>
        <rFont val="Arial"/>
        <family val="2"/>
      </rPr>
      <t xml:space="preserve"> This spreadsheet determines concentrations and fluxes in a two layer sediment cap at steady-state, assuming advection, diffusion, dispersion, deposition/erosion, sorption onto colloidal organic matter, and boundary layer mass transfer. This is normally used to estimate migration through an active layer (lower layer) and a conventional cap layer (upper layer). </t>
    </r>
    <r>
      <rPr>
        <b/>
        <sz val="10"/>
        <rFont val="Arial"/>
        <family val="2"/>
      </rPr>
      <t>This model does not consider a bioturbation layer!</t>
    </r>
    <r>
      <rPr>
        <sz val="10"/>
        <rFont val="Arial"/>
        <family val="2"/>
      </rPr>
      <t xml:space="preserve"> The deposition velocity is negative in the case of erosion, and is assumed to be constant and to have minimal effect on the thickness of the cap.  The cells in </t>
    </r>
    <r>
      <rPr>
        <sz val="10"/>
        <color indexed="17"/>
        <rFont val="Arial"/>
        <family val="2"/>
      </rPr>
      <t>GREEN</t>
    </r>
    <r>
      <rPr>
        <sz val="10"/>
        <rFont val="Arial"/>
        <family val="2"/>
      </rPr>
      <t xml:space="preserve"> are input cells; these can be changed for the design of interest.  Cells in </t>
    </r>
    <r>
      <rPr>
        <sz val="10"/>
        <color indexed="52"/>
        <rFont val="Arial"/>
        <family val="2"/>
      </rPr>
      <t>YELLOW</t>
    </r>
    <r>
      <rPr>
        <sz val="10"/>
        <rFont val="Arial"/>
        <family val="2"/>
      </rPr>
      <t xml:space="preserve"> are commonly used parameter estimates. These can be changed but note that physically unrealistic parameter values may result.  A second worksheet calculates the transient profiles for a semi-infinite case.  </t>
    </r>
    <r>
      <rPr>
        <sz val="10"/>
        <color indexed="10"/>
        <rFont val="Arial"/>
        <family val="2"/>
      </rPr>
      <t>DO NOT CHANGE THE CELLS IN RED</t>
    </r>
    <r>
      <rPr>
        <sz val="10"/>
        <rFont val="Arial"/>
        <family val="2"/>
      </rPr>
      <t xml:space="preserve"> (or the spreadsheet will not function properly).  These are calculated values for model outputs.  The third worksheet title "array" allows the user to create an array of outputs for a given input (e.g., to study different compounds for a given site).</t>
    </r>
  </si>
  <si>
    <r>
      <t>Cap-Conventional Layer Interface Concentration,</t>
    </r>
    <r>
      <rPr>
        <i/>
        <sz val="10"/>
        <rFont val="Arial"/>
        <family val="2"/>
      </rPr>
      <t xml:space="preserve"> C</t>
    </r>
    <r>
      <rPr>
        <i/>
        <vertAlign val="subscript"/>
        <sz val="10"/>
        <rFont val="Arial"/>
        <family val="2"/>
      </rPr>
      <t>bio</t>
    </r>
    <r>
      <rPr>
        <i/>
        <sz val="10"/>
        <rFont val="Arial"/>
        <family val="2"/>
      </rPr>
      <t>/C</t>
    </r>
    <r>
      <rPr>
        <i/>
        <vertAlign val="subscript"/>
        <sz val="10"/>
        <rFont val="Arial"/>
        <family val="2"/>
      </rPr>
      <t xml:space="preserve">0, </t>
    </r>
    <r>
      <rPr>
        <i/>
        <sz val="10"/>
        <rFont val="Arial"/>
        <family val="2"/>
      </rPr>
      <t xml:space="preserve"> C</t>
    </r>
    <r>
      <rPr>
        <i/>
        <vertAlign val="subscript"/>
        <sz val="10"/>
        <rFont val="Arial"/>
        <family val="2"/>
      </rPr>
      <t>bio</t>
    </r>
  </si>
  <si>
    <t>Average Conventional Cap Concentration</t>
  </si>
  <si>
    <r>
      <t xml:space="preserve">Conventional Cap Layer Peclet No., </t>
    </r>
    <r>
      <rPr>
        <i/>
        <sz val="10"/>
        <rFont val="Arial"/>
        <family val="2"/>
      </rPr>
      <t>Pe</t>
    </r>
    <r>
      <rPr>
        <i/>
        <vertAlign val="subscript"/>
        <sz val="10"/>
        <rFont val="Arial"/>
        <family val="2"/>
      </rPr>
      <t>2</t>
    </r>
  </si>
  <si>
    <r>
      <t xml:space="preserve">Conventional Cap Layer Damkohler No., </t>
    </r>
    <r>
      <rPr>
        <i/>
        <sz val="10"/>
        <rFont val="Arial"/>
        <family val="2"/>
      </rPr>
      <t>Da</t>
    </r>
    <r>
      <rPr>
        <i/>
        <vertAlign val="subscript"/>
        <sz val="10"/>
        <rFont val="Arial"/>
        <family val="2"/>
      </rPr>
      <t>2</t>
    </r>
  </si>
  <si>
    <r>
      <t>Active Cap Layer Peclet No.,</t>
    </r>
    <r>
      <rPr>
        <i/>
        <sz val="10"/>
        <rFont val="Arial"/>
        <family val="2"/>
      </rPr>
      <t xml:space="preserve"> Pe</t>
    </r>
    <r>
      <rPr>
        <i/>
        <vertAlign val="subscript"/>
        <sz val="10"/>
        <rFont val="Arial"/>
        <family val="2"/>
      </rPr>
      <t>1</t>
    </r>
  </si>
  <si>
    <r>
      <t xml:space="preserve">Active Cap Layer Damkohler No., </t>
    </r>
    <r>
      <rPr>
        <i/>
        <sz val="10"/>
        <rFont val="Arial"/>
        <family val="2"/>
      </rPr>
      <t>Da</t>
    </r>
    <r>
      <rPr>
        <i/>
        <vertAlign val="subscript"/>
        <sz val="10"/>
        <rFont val="Arial"/>
        <family val="2"/>
      </rPr>
      <t>1</t>
    </r>
  </si>
  <si>
    <r>
      <t xml:space="preserve">Characteristic Advection Time-Active cap layer, </t>
    </r>
    <r>
      <rPr>
        <i/>
        <sz val="10"/>
        <rFont val="Arial"/>
        <family val="2"/>
      </rPr>
      <t>t</t>
    </r>
    <r>
      <rPr>
        <i/>
        <vertAlign val="subscript"/>
        <sz val="10"/>
        <rFont val="Arial"/>
        <family val="2"/>
      </rPr>
      <t>adv</t>
    </r>
  </si>
  <si>
    <r>
      <t xml:space="preserve">Characteristic Diffusion Time-Active cap layer, </t>
    </r>
    <r>
      <rPr>
        <i/>
        <sz val="10"/>
        <rFont val="Arial"/>
        <family val="2"/>
      </rPr>
      <t>t</t>
    </r>
    <r>
      <rPr>
        <i/>
        <vertAlign val="subscript"/>
        <sz val="10"/>
        <rFont val="Arial"/>
        <family val="2"/>
      </rPr>
      <t>diff</t>
    </r>
  </si>
  <si>
    <r>
      <t xml:space="preserve">Characteristic Reaction Time-Active cap layer, </t>
    </r>
    <r>
      <rPr>
        <i/>
        <sz val="10"/>
        <rFont val="Arial"/>
        <family val="2"/>
      </rPr>
      <t>t</t>
    </r>
    <r>
      <rPr>
        <i/>
        <vertAlign val="subscript"/>
        <sz val="10"/>
        <rFont val="Arial"/>
        <family val="2"/>
      </rPr>
      <t>decay</t>
    </r>
  </si>
  <si>
    <t>This simulates transient behavior only in the active cap layer and does not accurately predict concentrations in the conventional cap layer</t>
  </si>
  <si>
    <t>Conventional Cap Layer Diffusion Coefficient</t>
  </si>
  <si>
    <r>
      <t xml:space="preserve">Conventional cap Layer Diffusion/Dispersion Coeff., </t>
    </r>
    <r>
      <rPr>
        <i/>
        <sz val="10"/>
        <rFont val="Arial"/>
        <family val="2"/>
      </rPr>
      <t>D</t>
    </r>
    <r>
      <rPr>
        <i/>
        <vertAlign val="subscript"/>
        <sz val="10"/>
        <rFont val="Arial"/>
        <family val="2"/>
      </rPr>
      <t>2</t>
    </r>
  </si>
  <si>
    <r>
      <t xml:space="preserve">Dispersivity- active layer, </t>
    </r>
    <r>
      <rPr>
        <i/>
        <sz val="10"/>
        <rFont val="Arial"/>
        <family val="2"/>
      </rPr>
      <t>α</t>
    </r>
  </si>
  <si>
    <t>Dispersivity- conventional layer</t>
  </si>
  <si>
    <r>
      <t>Active Layer Loading kg/m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/cm</t>
    </r>
  </si>
  <si>
    <r>
      <t>lb/ft</t>
    </r>
    <r>
      <rPr>
        <vertAlign val="superscript"/>
        <sz val="10"/>
        <color rgb="FFFF0000"/>
        <rFont val="Arial"/>
        <family val="2"/>
      </rPr>
      <t>2</t>
    </r>
    <r>
      <rPr>
        <sz val="10"/>
        <color rgb="FFFF0000"/>
        <rFont val="Arial"/>
        <family val="2"/>
      </rPr>
      <t>/cm</t>
    </r>
  </si>
  <si>
    <t>Active Cap consolidation depth</t>
  </si>
  <si>
    <r>
      <t xml:space="preserve">Active Cap Effective thickness (w/ot conventional layer, </t>
    </r>
    <r>
      <rPr>
        <i/>
        <sz val="10"/>
        <rFont val="Arial"/>
        <family val="2"/>
      </rPr>
      <t>h</t>
    </r>
    <r>
      <rPr>
        <i/>
        <vertAlign val="subscript"/>
        <sz val="10"/>
        <rFont val="Arial"/>
        <family val="2"/>
      </rPr>
      <t xml:space="preserve">eff </t>
    </r>
    <r>
      <rPr>
        <i/>
        <sz val="10"/>
        <rFont val="Arial"/>
        <family val="2"/>
      </rPr>
      <t>)</t>
    </r>
  </si>
  <si>
    <t>Conventional Cap Placed thickness</t>
  </si>
  <si>
    <t>Conventional Cap Consolidation Depth</t>
  </si>
  <si>
    <r>
      <t xml:space="preserve">Effective fraction organic carbon, </t>
    </r>
    <r>
      <rPr>
        <i/>
        <sz val="10"/>
        <rFont val="Arial"/>
        <family val="2"/>
      </rPr>
      <t>(f</t>
    </r>
    <r>
      <rPr>
        <i/>
        <vertAlign val="subscript"/>
        <sz val="10"/>
        <rFont val="Arial"/>
        <family val="2"/>
      </rPr>
      <t>oc</t>
    </r>
    <r>
      <rPr>
        <i/>
        <sz val="10"/>
        <rFont val="Arial"/>
        <family val="2"/>
      </rPr>
      <t>)</t>
    </r>
    <r>
      <rPr>
        <i/>
        <vertAlign val="subscript"/>
        <sz val="10"/>
        <rFont val="Arial"/>
        <family val="2"/>
      </rPr>
      <t>eff</t>
    </r>
    <r>
      <rPr>
        <i/>
        <sz val="10"/>
        <rFont val="Arial"/>
        <family val="2"/>
      </rPr>
      <t xml:space="preserve">  = Kd/Koc=W/Cpw/Koc</t>
    </r>
  </si>
  <si>
    <t xml:space="preserve">Kd in active layer </t>
  </si>
  <si>
    <t>L/kg</t>
  </si>
  <si>
    <r>
      <t xml:space="preserve">Depth of Interest, </t>
    </r>
    <r>
      <rPr>
        <i/>
        <sz val="10"/>
        <rFont val="Arial"/>
        <family val="2"/>
      </rPr>
      <t>z- from cap-water interface</t>
    </r>
  </si>
  <si>
    <r>
      <t xml:space="preserve">Conventional Cap Layer Porosity, </t>
    </r>
    <r>
      <rPr>
        <sz val="10"/>
        <rFont val="Symbol"/>
        <family val="1"/>
        <charset val="2"/>
      </rPr>
      <t>e</t>
    </r>
  </si>
  <si>
    <r>
      <t xml:space="preserve">Conventional Cap Layer Particle Density, </t>
    </r>
    <r>
      <rPr>
        <i/>
        <sz val="10"/>
        <rFont val="Times New Roman"/>
        <family val="1"/>
      </rPr>
      <t>ρ</t>
    </r>
    <r>
      <rPr>
        <i/>
        <vertAlign val="subscript"/>
        <sz val="10"/>
        <rFont val="Arial"/>
        <family val="2"/>
      </rPr>
      <t>P</t>
    </r>
  </si>
  <si>
    <r>
      <t xml:space="preserve">Active Layer Dispersivity, </t>
    </r>
    <r>
      <rPr>
        <i/>
        <sz val="10"/>
        <rFont val="Arial"/>
        <family val="2"/>
      </rPr>
      <t>α</t>
    </r>
  </si>
  <si>
    <t>Conventional Layer Dispersivity</t>
  </si>
  <si>
    <t>Conventional Cap Layer consolidation</t>
  </si>
  <si>
    <t>Active  Cap consolidation depth</t>
  </si>
  <si>
    <t>Active Cap Materials -Granular (G) or Consolidated (C)</t>
  </si>
  <si>
    <t>Conventional Cap Materials- Granular (G) or Consolidated (C )</t>
  </si>
  <si>
    <r>
      <t xml:space="preserve">Conventional Cap Porosity, </t>
    </r>
    <r>
      <rPr>
        <sz val="10"/>
        <rFont val="Symbol"/>
        <family val="1"/>
        <charset val="2"/>
      </rPr>
      <t>e</t>
    </r>
  </si>
  <si>
    <r>
      <t xml:space="preserve">Conventional Cap Particle Density, </t>
    </r>
    <r>
      <rPr>
        <i/>
        <sz val="10"/>
        <rFont val="Times New Roman"/>
        <family val="1"/>
      </rPr>
      <t>ρ</t>
    </r>
    <r>
      <rPr>
        <i/>
        <vertAlign val="subscript"/>
        <sz val="10"/>
        <rFont val="Arial"/>
        <family val="2"/>
      </rPr>
      <t>P</t>
    </r>
  </si>
  <si>
    <r>
      <t xml:space="preserve">Active Layer Porosity, </t>
    </r>
    <r>
      <rPr>
        <sz val="10"/>
        <rFont val="Symbol"/>
        <family val="1"/>
        <charset val="2"/>
      </rPr>
      <t>e</t>
    </r>
  </si>
  <si>
    <r>
      <t xml:space="preserve">Active Layer Particle Density, </t>
    </r>
    <r>
      <rPr>
        <i/>
        <sz val="10"/>
        <rFont val="Times New Roman"/>
        <family val="1"/>
      </rPr>
      <t>ρ</t>
    </r>
    <r>
      <rPr>
        <i/>
        <vertAlign val="subscript"/>
        <sz val="10"/>
        <rFont val="Arial"/>
        <family val="2"/>
      </rPr>
      <t>P</t>
    </r>
  </si>
  <si>
    <t>Active Layer Loading</t>
  </si>
  <si>
    <t>kg/m^2/cm</t>
  </si>
  <si>
    <t>Active Cap Partition Coefficient</t>
  </si>
  <si>
    <t>Conventional Cap Layer fraction organic carbon</t>
  </si>
  <si>
    <t>Active Cap Layer thickenss</t>
  </si>
  <si>
    <t>PYR</t>
  </si>
  <si>
    <t>Version 4.11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</si>
</sst>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0.0"/>
    <numFmt numFmtId="166" formatCode="0.0%"/>
    <numFmt numFmtId="167" formatCode="0.000E+00"/>
    <numFmt numFmtId="168" formatCode="0.0E+00"/>
    <numFmt numFmtId="169" formatCode="0E+00"/>
    <numFmt numFmtId="170" formatCode="0.00000%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i/>
      <vertAlign val="subscript"/>
      <sz val="10"/>
      <name val="Arial"/>
      <family val="2"/>
    </font>
    <font>
      <i/>
      <sz val="10"/>
      <name val="Symbol"/>
      <family val="1"/>
      <charset val="2"/>
    </font>
    <font>
      <i/>
      <sz val="10"/>
      <name val="Times New Roman"/>
      <family val="1"/>
    </font>
    <font>
      <i/>
      <vertAlign val="superscript"/>
      <sz val="10"/>
      <name val="Arial"/>
      <family val="2"/>
    </font>
    <font>
      <sz val="10"/>
      <name val="Symbol"/>
      <family val="1"/>
      <charset val="2"/>
    </font>
    <font>
      <i/>
      <vertAlign val="subscript"/>
      <sz val="10"/>
      <name val="Symbol"/>
      <family val="1"/>
      <charset val="2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sz val="10"/>
      <color rgb="FFFF0000"/>
      <name val="Arial"/>
      <family val="2"/>
    </font>
    <font>
      <vertAlign val="superscript"/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FFC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2" fontId="0" fillId="0" borderId="0" xfId="0" applyNumberFormat="1"/>
    <xf numFmtId="0" fontId="4" fillId="0" borderId="0" xfId="0" applyFont="1"/>
    <xf numFmtId="1" fontId="0" fillId="0" borderId="0" xfId="0" applyNumberFormat="1"/>
    <xf numFmtId="0" fontId="3" fillId="0" borderId="0" xfId="0" applyFont="1"/>
    <xf numFmtId="0" fontId="5" fillId="0" borderId="0" xfId="0" applyFont="1"/>
    <xf numFmtId="166" fontId="0" fillId="0" borderId="0" xfId="0" applyNumberFormat="1"/>
    <xf numFmtId="169" fontId="0" fillId="0" borderId="0" xfId="0" applyNumberFormat="1"/>
    <xf numFmtId="0" fontId="0" fillId="0" borderId="1" xfId="0" applyBorder="1"/>
    <xf numFmtId="0" fontId="0" fillId="0" borderId="0" xfId="0" applyBorder="1"/>
    <xf numFmtId="0" fontId="0" fillId="0" borderId="2" xfId="0" applyBorder="1"/>
    <xf numFmtId="2" fontId="0" fillId="0" borderId="0" xfId="0" applyNumberFormat="1" applyBorder="1"/>
    <xf numFmtId="2" fontId="0" fillId="0" borderId="3" xfId="0" applyNumberFormat="1" applyBorder="1"/>
    <xf numFmtId="2" fontId="0" fillId="0" borderId="4" xfId="0" applyNumberFormat="1" applyBorder="1"/>
    <xf numFmtId="2" fontId="0" fillId="0" borderId="5" xfId="0" applyNumberFormat="1" applyBorder="1"/>
    <xf numFmtId="0" fontId="12" fillId="0" borderId="0" xfId="0" applyFont="1"/>
    <xf numFmtId="0" fontId="13" fillId="0" borderId="0" xfId="0" applyFont="1"/>
    <xf numFmtId="166" fontId="15" fillId="0" borderId="0" xfId="0" applyNumberFormat="1" applyFont="1"/>
    <xf numFmtId="1" fontId="15" fillId="0" borderId="0" xfId="0" applyNumberFormat="1" applyFont="1"/>
    <xf numFmtId="0" fontId="15" fillId="0" borderId="0" xfId="0" applyFont="1"/>
    <xf numFmtId="2" fontId="15" fillId="0" borderId="0" xfId="0" applyNumberFormat="1" applyFont="1"/>
    <xf numFmtId="164" fontId="15" fillId="0" borderId="0" xfId="0" applyNumberFormat="1" applyFont="1"/>
    <xf numFmtId="0" fontId="7" fillId="0" borderId="0" xfId="0" applyFont="1"/>
    <xf numFmtId="0" fontId="16" fillId="0" borderId="0" xfId="0" applyFont="1"/>
    <xf numFmtId="1" fontId="14" fillId="0" borderId="0" xfId="0" applyNumberFormat="1" applyFont="1"/>
    <xf numFmtId="0" fontId="15" fillId="0" borderId="0" xfId="0" applyFont="1" applyBorder="1"/>
    <xf numFmtId="0" fontId="1" fillId="0" borderId="0" xfId="0" applyFont="1"/>
    <xf numFmtId="0" fontId="17" fillId="0" borderId="0" xfId="0" applyFont="1"/>
    <xf numFmtId="168" fontId="0" fillId="0" borderId="0" xfId="0" applyNumberFormat="1"/>
    <xf numFmtId="167" fontId="0" fillId="0" borderId="0" xfId="0" applyNumberFormat="1"/>
    <xf numFmtId="0" fontId="0" fillId="0" borderId="4" xfId="0" applyBorder="1"/>
    <xf numFmtId="0" fontId="18" fillId="0" borderId="0" xfId="0" applyFont="1"/>
    <xf numFmtId="165" fontId="15" fillId="0" borderId="0" xfId="0" applyNumberFormat="1" applyFont="1"/>
    <xf numFmtId="0" fontId="0" fillId="0" borderId="0" xfId="0" applyAlignment="1">
      <alignment horizontal="left"/>
    </xf>
    <xf numFmtId="165" fontId="0" fillId="0" borderId="0" xfId="0" applyNumberFormat="1"/>
    <xf numFmtId="170" fontId="0" fillId="0" borderId="0" xfId="0" applyNumberFormat="1"/>
    <xf numFmtId="164" fontId="14" fillId="0" borderId="0" xfId="0" applyNumberFormat="1" applyFont="1"/>
    <xf numFmtId="0" fontId="13" fillId="0" borderId="6" xfId="0" applyFont="1" applyBorder="1" applyAlignment="1">
      <alignment horizontal="right"/>
    </xf>
    <xf numFmtId="165" fontId="15" fillId="0" borderId="4" xfId="0" applyNumberFormat="1" applyFont="1" applyBorder="1"/>
    <xf numFmtId="0" fontId="15" fillId="0" borderId="2" xfId="0" applyFont="1" applyBorder="1"/>
    <xf numFmtId="0" fontId="4" fillId="0" borderId="0" xfId="0" applyFont="1" applyAlignment="1">
      <alignment horizontal="centerContinuous"/>
    </xf>
    <xf numFmtId="10" fontId="15" fillId="0" borderId="0" xfId="0" applyNumberFormat="1" applyFont="1"/>
    <xf numFmtId="165" fontId="14" fillId="0" borderId="0" xfId="0" applyNumberFormat="1" applyFont="1"/>
    <xf numFmtId="165" fontId="15" fillId="0" borderId="0" xfId="0" applyNumberFormat="1" applyFont="1" applyBorder="1"/>
    <xf numFmtId="0" fontId="0" fillId="0" borderId="0" xfId="0" applyNumberFormat="1"/>
    <xf numFmtId="14" fontId="0" fillId="0" borderId="0" xfId="0" applyNumberFormat="1" applyAlignment="1">
      <alignment horizontal="left"/>
    </xf>
    <xf numFmtId="2" fontId="0" fillId="0" borderId="7" xfId="0" applyNumberFormat="1" applyBorder="1"/>
    <xf numFmtId="2" fontId="0" fillId="0" borderId="8" xfId="0" applyNumberFormat="1" applyBorder="1"/>
    <xf numFmtId="2" fontId="0" fillId="0" borderId="6" xfId="0" applyNumberFormat="1" applyBorder="1"/>
    <xf numFmtId="2" fontId="21" fillId="0" borderId="0" xfId="0" applyNumberFormat="1" applyFont="1"/>
    <xf numFmtId="0" fontId="3" fillId="0" borderId="0" xfId="0" applyFont="1" applyAlignment="1">
      <alignment horizontal="left"/>
    </xf>
    <xf numFmtId="2" fontId="23" fillId="0" borderId="0" xfId="0" applyNumberFormat="1" applyFont="1"/>
    <xf numFmtId="0" fontId="22" fillId="0" borderId="0" xfId="0" applyFont="1" applyAlignment="1">
      <alignment horizontal="right"/>
    </xf>
    <xf numFmtId="0" fontId="22" fillId="0" borderId="0" xfId="0" applyFont="1"/>
    <xf numFmtId="168" fontId="22" fillId="0" borderId="0" xfId="0" applyNumberFormat="1" applyFont="1"/>
    <xf numFmtId="2" fontId="22" fillId="0" borderId="0" xfId="0" applyNumberFormat="1" applyFont="1"/>
    <xf numFmtId="1" fontId="14" fillId="0" borderId="0" xfId="1" applyNumberFormat="1" applyFont="1" applyAlignment="1" applyProtection="1"/>
    <xf numFmtId="165" fontId="15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2" fontId="14" fillId="0" borderId="0" xfId="0" applyNumberFormat="1" applyFont="1"/>
    <xf numFmtId="1" fontId="22" fillId="0" borderId="4" xfId="0" applyNumberFormat="1" applyFont="1" applyBorder="1"/>
    <xf numFmtId="164" fontId="22" fillId="0" borderId="4" xfId="0" applyNumberFormat="1" applyFont="1" applyBorder="1"/>
    <xf numFmtId="0" fontId="22" fillId="0" borderId="2" xfId="0" applyFont="1" applyBorder="1"/>
    <xf numFmtId="165" fontId="22" fillId="0" borderId="0" xfId="0" applyNumberFormat="1" applyFont="1"/>
    <xf numFmtId="1" fontId="23" fillId="0" borderId="0" xfId="1" applyNumberFormat="1" applyFont="1" applyAlignment="1" applyProtection="1"/>
    <xf numFmtId="2" fontId="3" fillId="0" borderId="0" xfId="0" applyNumberFormat="1" applyFont="1"/>
    <xf numFmtId="1" fontId="3" fillId="0" borderId="0" xfId="0" applyNumberFormat="1" applyFont="1"/>
    <xf numFmtId="2" fontId="1" fillId="0" borderId="0" xfId="0" applyNumberFormat="1" applyFont="1"/>
    <xf numFmtId="1" fontId="1" fillId="0" borderId="0" xfId="0" applyNumberFormat="1" applyFont="1"/>
    <xf numFmtId="0" fontId="24" fillId="0" borderId="0" xfId="0" applyFont="1"/>
    <xf numFmtId="2" fontId="24" fillId="0" borderId="0" xfId="0" applyNumberFormat="1" applyFont="1"/>
    <xf numFmtId="1" fontId="26" fillId="0" borderId="0" xfId="0" applyNumberFormat="1" applyFont="1"/>
    <xf numFmtId="1" fontId="14" fillId="0" borderId="0" xfId="0" applyNumberFormat="1" applyFont="1" applyAlignment="1">
      <alignment horizontal="right"/>
    </xf>
    <xf numFmtId="1" fontId="22" fillId="0" borderId="0" xfId="0" applyNumberFormat="1" applyFont="1"/>
    <xf numFmtId="1" fontId="27" fillId="0" borderId="0" xfId="0" applyNumberFormat="1" applyFon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3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Cap Concentration Profile</a:t>
            </a:r>
          </a:p>
        </c:rich>
      </c:tx>
      <c:layout>
        <c:manualLayout>
          <c:xMode val="edge"/>
          <c:yMode val="edge"/>
          <c:x val="0.24365508879917927"/>
          <c:y val="3.77358074995870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58904637562264"/>
          <c:y val="0.24150987896130416"/>
          <c:w val="0.76649841184467704"/>
          <c:h val="0.51320849279277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'Steady State Conditions'!$O$18:$DK$18</c:f>
              <c:numCache>
                <c:formatCode>0.00</c:formatCode>
                <c:ptCount val="101"/>
                <c:pt idx="0">
                  <c:v>1.5046236605992913E-2</c:v>
                </c:pt>
                <c:pt idx="1">
                  <c:v>0.13937781279579264</c:v>
                </c:pt>
                <c:pt idx="2">
                  <c:v>0.24801491518171315</c:v>
                </c:pt>
                <c:pt idx="3">
                  <c:v>0.34293866981921395</c:v>
                </c:pt>
                <c:pt idx="4">
                  <c:v>0.42588012362782413</c:v>
                </c:pt>
                <c:pt idx="5">
                  <c:v>0.49835181208169166</c:v>
                </c:pt>
                <c:pt idx="6">
                  <c:v>0.56167534208512704</c:v>
                </c:pt>
                <c:pt idx="7">
                  <c:v>0.61700549303959606</c:v>
                </c:pt>
                <c:pt idx="8">
                  <c:v>0.66535127561362795</c:v>
                </c:pt>
                <c:pt idx="9">
                  <c:v>0.70759433224724788</c:v>
                </c:pt>
                <c:pt idx="10">
                  <c:v>0.74450501494593979</c:v>
                </c:pt>
                <c:pt idx="11">
                  <c:v>0.77675643356174018</c:v>
                </c:pt>
                <c:pt idx="12">
                  <c:v>0.80493673074850292</c:v>
                </c:pt>
                <c:pt idx="13">
                  <c:v>0.82955980743968827</c:v>
                </c:pt>
                <c:pt idx="14">
                  <c:v>0.85107469444046124</c:v>
                </c:pt>
                <c:pt idx="15">
                  <c:v>0.86987374103617543</c:v>
                </c:pt>
                <c:pt idx="16">
                  <c:v>0.88629976994622639</c:v>
                </c:pt>
                <c:pt idx="17">
                  <c:v>0.90065232910231674</c:v>
                </c:pt>
                <c:pt idx="18">
                  <c:v>0.91319315425972614</c:v>
                </c:pt>
                <c:pt idx="19">
                  <c:v>0.92415094205876158</c:v>
                </c:pt>
                <c:pt idx="20">
                  <c:v>0.93372552057882396</c:v>
                </c:pt>
                <c:pt idx="21">
                  <c:v>0.94209149344007626</c:v>
                </c:pt>
                <c:pt idx="22">
                  <c:v>0.94940142390722981</c:v>
                </c:pt>
                <c:pt idx="23">
                  <c:v>0.95578861706134421</c:v>
                </c:pt>
                <c:pt idx="24">
                  <c:v>0.96136955077584441</c:v>
                </c:pt>
                <c:pt idx="25">
                  <c:v>0.96624599982847892</c:v>
                </c:pt>
                <c:pt idx="26">
                  <c:v>0.97050689188491801</c:v>
                </c:pt>
                <c:pt idx="27">
                  <c:v>0.97422992920004503</c:v>
                </c:pt>
                <c:pt idx="28">
                  <c:v>0.97748300561059398</c:v>
                </c:pt>
                <c:pt idx="29">
                  <c:v>0.98032544465966276</c:v>
                </c:pt>
                <c:pt idx="30">
                  <c:v>0.98280908143177481</c:v>
                </c:pt>
                <c:pt idx="31">
                  <c:v>0.98497920782702952</c:v>
                </c:pt>
                <c:pt idx="32">
                  <c:v>0.9868753985125357</c:v>
                </c:pt>
                <c:pt idx="33">
                  <c:v>0.98853223261333401</c:v>
                </c:pt>
                <c:pt idx="34">
                  <c:v>0.98997992430368931</c:v>
                </c:pt>
                <c:pt idx="35">
                  <c:v>0.99124487379834014</c:v>
                </c:pt>
                <c:pt idx="36">
                  <c:v>0.9923501487916776</c:v>
                </c:pt>
                <c:pt idx="37">
                  <c:v>0.99331590512447132</c:v>
                </c:pt>
                <c:pt idx="38">
                  <c:v>0.99415975434949244</c:v>
                </c:pt>
                <c:pt idx="39">
                  <c:v>0.9948970848990375</c:v>
                </c:pt>
                <c:pt idx="40">
                  <c:v>0.99554134271121275</c:v>
                </c:pt>
                <c:pt idx="41">
                  <c:v>0.9961042764325394</c:v>
                </c:pt>
                <c:pt idx="42">
                  <c:v>0.9965961516684354</c:v>
                </c:pt>
                <c:pt idx="43">
                  <c:v>0.99702593818868768</c:v>
                </c:pt>
                <c:pt idx="44">
                  <c:v>0.9974014735018264</c:v>
                </c:pt>
                <c:pt idx="45">
                  <c:v>0.99772960578137371</c:v>
                </c:pt>
                <c:pt idx="46">
                  <c:v>0.99801631875039909</c:v>
                </c:pt>
                <c:pt idx="47">
                  <c:v>0.99826684080179362</c:v>
                </c:pt>
                <c:pt idx="48">
                  <c:v>0.99848574034420812</c:v>
                </c:pt>
                <c:pt idx="49">
                  <c:v>0.99867700911239343</c:v>
                </c:pt>
                <c:pt idx="50">
                  <c:v>0.99884413496121083</c:v>
                </c:pt>
                <c:pt idx="51">
                  <c:v>0.99899016547079689</c:v>
                </c:pt>
                <c:pt idx="52">
                  <c:v>0.99911776352279535</c:v>
                </c:pt>
                <c:pt idx="53">
                  <c:v>0.99922925586115763</c:v>
                </c:pt>
                <c:pt idx="54">
                  <c:v>0.99932667552307397</c:v>
                </c:pt>
                <c:pt idx="55">
                  <c:v>0.99941179891381438</c:v>
                </c:pt>
                <c:pt idx="56">
                  <c:v>0.99948617820158292</c:v>
                </c:pt>
                <c:pt idx="57">
                  <c:v>0.99955116962314161</c:v>
                </c:pt>
                <c:pt idx="58">
                  <c:v>0.99960795821639548</c:v>
                </c:pt>
                <c:pt idx="59">
                  <c:v>0.99965757943096123</c:v>
                </c:pt>
                <c:pt idx="60">
                  <c:v>0.99970093801081705</c:v>
                </c:pt>
                <c:pt idx="61">
                  <c:v>0.99973882449338114</c:v>
                </c:pt>
                <c:pt idx="62">
                  <c:v>0.99977192962589745</c:v>
                </c:pt>
                <c:pt idx="63">
                  <c:v>0.99980085696202925</c:v>
                </c:pt>
                <c:pt idx="64">
                  <c:v>0.99982613386837549</c:v>
                </c:pt>
                <c:pt idx="65">
                  <c:v>0.99984822114162508</c:v>
                </c:pt>
                <c:pt idx="66">
                  <c:v>0.99986752141173008</c:v>
                </c:pt>
                <c:pt idx="67">
                  <c:v>0.99988438648433953</c:v>
                </c:pt>
                <c:pt idx="68">
                  <c:v>0.999899123756393</c:v>
                </c:pt>
                <c:pt idx="69">
                  <c:v>0.99991200182186624</c:v>
                </c:pt>
                <c:pt idx="70">
                  <c:v>0.99992325536990179</c:v>
                </c:pt>
                <c:pt idx="71">
                  <c:v>0.99993308946464288</c:v>
                </c:pt>
                <c:pt idx="72">
                  <c:v>0.99994168328482136</c:v>
                </c:pt>
                <c:pt idx="73">
                  <c:v>0.99994919339129251</c:v>
                </c:pt>
                <c:pt idx="74">
                  <c:v>0.99995575658210989</c:v>
                </c:pt>
                <c:pt idx="75">
                  <c:v>0.99996149238719811</c:v>
                </c:pt>
                <c:pt idx="76">
                  <c:v>0.99996650524812358</c:v>
                </c:pt>
                <c:pt idx="77">
                  <c:v>0.9999708864227097</c:v>
                </c:pt>
                <c:pt idx="78">
                  <c:v>0.99997471564923124</c:v>
                </c:pt>
                <c:pt idx="79">
                  <c:v>0.99997806260053645</c:v>
                </c:pt>
                <c:pt idx="80">
                  <c:v>0.999980988154614</c:v>
                </c:pt>
                <c:pt idx="81">
                  <c:v>0.99998354550477497</c:v>
                </c:pt>
                <c:pt idx="82">
                  <c:v>0.99998578112969594</c:v>
                </c:pt>
                <c:pt idx="83">
                  <c:v>0.99998773564101295</c:v>
                </c:pt>
                <c:pt idx="84">
                  <c:v>0.99998944452392224</c:v>
                </c:pt>
                <c:pt idx="85">
                  <c:v>0.99999093878429535</c:v>
                </c:pt>
                <c:pt idx="86">
                  <c:v>0.99999224551410792</c:v>
                </c:pt>
                <c:pt idx="87">
                  <c:v>0.99999338838549323</c:v>
                </c:pt>
                <c:pt idx="88">
                  <c:v>0.99999438808243257</c:v>
                </c:pt>
                <c:pt idx="89">
                  <c:v>0.99999526267795147</c:v>
                </c:pt>
                <c:pt idx="90">
                  <c:v>0.99999602796370302</c:v>
                </c:pt>
                <c:pt idx="91">
                  <c:v>0.99999669773794664</c:v>
                </c:pt>
                <c:pt idx="92">
                  <c:v>0.99999728405717703</c:v>
                </c:pt>
                <c:pt idx="93">
                  <c:v>0.99999780168655261</c:v>
                </c:pt>
                <c:pt idx="94">
                  <c:v>0.99999825909104267</c:v>
                </c:pt>
                <c:pt idx="95">
                  <c:v>0.99999865756425377</c:v>
                </c:pt>
                <c:pt idx="96">
                  <c:v>0.99999900469879999</c:v>
                </c:pt>
                <c:pt idx="97">
                  <c:v>0.99999930710907436</c:v>
                </c:pt>
                <c:pt idx="98">
                  <c:v>0.99999957055728217</c:v>
                </c:pt>
                <c:pt idx="99">
                  <c:v>0.99999980006323508</c:v>
                </c:pt>
                <c:pt idx="100">
                  <c:v>1</c:v>
                </c:pt>
              </c:numCache>
            </c:numRef>
          </c:xVal>
          <c:yVal>
            <c:numRef>
              <c:f>'Steady State Conditions'!$O$17:$DK$17</c:f>
              <c:numCache>
                <c:formatCode>0.00</c:formatCode>
                <c:ptCount val="101"/>
                <c:pt idx="0">
                  <c:v>0</c:v>
                </c:pt>
                <c:pt idx="1">
                  <c:v>0.27</c:v>
                </c:pt>
                <c:pt idx="2">
                  <c:v>0.54</c:v>
                </c:pt>
                <c:pt idx="3">
                  <c:v>0.80999999999999994</c:v>
                </c:pt>
                <c:pt idx="4">
                  <c:v>1.08</c:v>
                </c:pt>
                <c:pt idx="5">
                  <c:v>1.35</c:v>
                </c:pt>
                <c:pt idx="6">
                  <c:v>1.62</c:v>
                </c:pt>
                <c:pt idx="7">
                  <c:v>1.8900000000000001</c:v>
                </c:pt>
                <c:pt idx="8">
                  <c:v>2.16</c:v>
                </c:pt>
                <c:pt idx="9">
                  <c:v>2.4299999999999997</c:v>
                </c:pt>
                <c:pt idx="10">
                  <c:v>2.6999999999999997</c:v>
                </c:pt>
                <c:pt idx="11">
                  <c:v>2.9699999999999998</c:v>
                </c:pt>
                <c:pt idx="12">
                  <c:v>3.2399999999999993</c:v>
                </c:pt>
                <c:pt idx="13">
                  <c:v>3.5099999999999993</c:v>
                </c:pt>
                <c:pt idx="14">
                  <c:v>3.78</c:v>
                </c:pt>
                <c:pt idx="15">
                  <c:v>4.05</c:v>
                </c:pt>
                <c:pt idx="16">
                  <c:v>4.32</c:v>
                </c:pt>
                <c:pt idx="17">
                  <c:v>4.5900000000000007</c:v>
                </c:pt>
                <c:pt idx="18">
                  <c:v>4.8600000000000003</c:v>
                </c:pt>
                <c:pt idx="19">
                  <c:v>5.1300000000000008</c:v>
                </c:pt>
                <c:pt idx="20">
                  <c:v>5.4000000000000012</c:v>
                </c:pt>
                <c:pt idx="21">
                  <c:v>5.6700000000000017</c:v>
                </c:pt>
                <c:pt idx="22">
                  <c:v>5.9400000000000013</c:v>
                </c:pt>
                <c:pt idx="23">
                  <c:v>6.2100000000000017</c:v>
                </c:pt>
                <c:pt idx="24">
                  <c:v>6.4800000000000022</c:v>
                </c:pt>
                <c:pt idx="25">
                  <c:v>6.7500000000000018</c:v>
                </c:pt>
                <c:pt idx="26">
                  <c:v>7.0200000000000014</c:v>
                </c:pt>
                <c:pt idx="27">
                  <c:v>7.2900000000000018</c:v>
                </c:pt>
                <c:pt idx="28">
                  <c:v>7.5600000000000023</c:v>
                </c:pt>
                <c:pt idx="29">
                  <c:v>7.8300000000000027</c:v>
                </c:pt>
                <c:pt idx="30">
                  <c:v>8.1000000000000032</c:v>
                </c:pt>
                <c:pt idx="31">
                  <c:v>8.3700000000000028</c:v>
                </c:pt>
                <c:pt idx="32">
                  <c:v>8.6400000000000023</c:v>
                </c:pt>
                <c:pt idx="33">
                  <c:v>8.9100000000000037</c:v>
                </c:pt>
                <c:pt idx="34">
                  <c:v>9.1800000000000033</c:v>
                </c:pt>
                <c:pt idx="35">
                  <c:v>9.4500000000000046</c:v>
                </c:pt>
                <c:pt idx="36">
                  <c:v>9.7200000000000042</c:v>
                </c:pt>
                <c:pt idx="37">
                  <c:v>9.9900000000000038</c:v>
                </c:pt>
                <c:pt idx="38">
                  <c:v>10.260000000000005</c:v>
                </c:pt>
                <c:pt idx="39">
                  <c:v>10.530000000000005</c:v>
                </c:pt>
                <c:pt idx="40">
                  <c:v>10.800000000000004</c:v>
                </c:pt>
                <c:pt idx="41">
                  <c:v>11.070000000000006</c:v>
                </c:pt>
                <c:pt idx="42">
                  <c:v>11.340000000000005</c:v>
                </c:pt>
                <c:pt idx="43">
                  <c:v>11.610000000000007</c:v>
                </c:pt>
                <c:pt idx="44">
                  <c:v>11.880000000000006</c:v>
                </c:pt>
                <c:pt idx="45">
                  <c:v>12.150000000000006</c:v>
                </c:pt>
                <c:pt idx="46">
                  <c:v>12.420000000000007</c:v>
                </c:pt>
                <c:pt idx="47">
                  <c:v>12.690000000000007</c:v>
                </c:pt>
                <c:pt idx="48">
                  <c:v>12.960000000000006</c:v>
                </c:pt>
                <c:pt idx="49">
                  <c:v>13.230000000000008</c:v>
                </c:pt>
                <c:pt idx="50">
                  <c:v>13.500000000000005</c:v>
                </c:pt>
                <c:pt idx="51">
                  <c:v>13.770000000000007</c:v>
                </c:pt>
                <c:pt idx="52">
                  <c:v>14.040000000000006</c:v>
                </c:pt>
                <c:pt idx="53">
                  <c:v>14.310000000000006</c:v>
                </c:pt>
                <c:pt idx="54">
                  <c:v>14.580000000000007</c:v>
                </c:pt>
                <c:pt idx="55">
                  <c:v>14.850000000000007</c:v>
                </c:pt>
                <c:pt idx="56">
                  <c:v>15.120000000000008</c:v>
                </c:pt>
                <c:pt idx="57">
                  <c:v>15.390000000000008</c:v>
                </c:pt>
                <c:pt idx="58">
                  <c:v>15.660000000000007</c:v>
                </c:pt>
                <c:pt idx="59">
                  <c:v>15.930000000000009</c:v>
                </c:pt>
                <c:pt idx="60">
                  <c:v>16.20000000000001</c:v>
                </c:pt>
                <c:pt idx="61">
                  <c:v>16.47000000000001</c:v>
                </c:pt>
                <c:pt idx="62">
                  <c:v>16.740000000000009</c:v>
                </c:pt>
                <c:pt idx="63">
                  <c:v>17.010000000000009</c:v>
                </c:pt>
                <c:pt idx="64">
                  <c:v>17.280000000000008</c:v>
                </c:pt>
                <c:pt idx="65">
                  <c:v>17.550000000000011</c:v>
                </c:pt>
                <c:pt idx="66">
                  <c:v>17.820000000000011</c:v>
                </c:pt>
                <c:pt idx="67">
                  <c:v>18.090000000000011</c:v>
                </c:pt>
                <c:pt idx="68">
                  <c:v>18.36000000000001</c:v>
                </c:pt>
                <c:pt idx="69">
                  <c:v>18.63000000000001</c:v>
                </c:pt>
                <c:pt idx="70">
                  <c:v>18.900000000000009</c:v>
                </c:pt>
                <c:pt idx="71">
                  <c:v>19.170000000000012</c:v>
                </c:pt>
                <c:pt idx="72">
                  <c:v>19.440000000000012</c:v>
                </c:pt>
                <c:pt idx="73">
                  <c:v>19.710000000000012</c:v>
                </c:pt>
                <c:pt idx="74">
                  <c:v>19.980000000000011</c:v>
                </c:pt>
                <c:pt idx="75">
                  <c:v>20.250000000000011</c:v>
                </c:pt>
                <c:pt idx="76">
                  <c:v>20.520000000000014</c:v>
                </c:pt>
                <c:pt idx="77">
                  <c:v>20.790000000000013</c:v>
                </c:pt>
                <c:pt idx="78">
                  <c:v>21.060000000000013</c:v>
                </c:pt>
                <c:pt idx="79">
                  <c:v>21.330000000000013</c:v>
                </c:pt>
                <c:pt idx="80">
                  <c:v>21.600000000000012</c:v>
                </c:pt>
                <c:pt idx="81">
                  <c:v>21.870000000000012</c:v>
                </c:pt>
                <c:pt idx="82">
                  <c:v>22.140000000000015</c:v>
                </c:pt>
                <c:pt idx="83">
                  <c:v>22.410000000000014</c:v>
                </c:pt>
                <c:pt idx="84">
                  <c:v>22.680000000000014</c:v>
                </c:pt>
                <c:pt idx="85">
                  <c:v>22.950000000000014</c:v>
                </c:pt>
                <c:pt idx="86">
                  <c:v>23.220000000000013</c:v>
                </c:pt>
                <c:pt idx="87">
                  <c:v>23.490000000000016</c:v>
                </c:pt>
                <c:pt idx="88">
                  <c:v>23.760000000000016</c:v>
                </c:pt>
                <c:pt idx="89">
                  <c:v>24.030000000000015</c:v>
                </c:pt>
                <c:pt idx="90">
                  <c:v>24.300000000000015</c:v>
                </c:pt>
                <c:pt idx="91">
                  <c:v>24.570000000000014</c:v>
                </c:pt>
                <c:pt idx="92">
                  <c:v>24.840000000000018</c:v>
                </c:pt>
                <c:pt idx="93">
                  <c:v>25.110000000000017</c:v>
                </c:pt>
                <c:pt idx="94">
                  <c:v>25.380000000000017</c:v>
                </c:pt>
                <c:pt idx="95">
                  <c:v>25.650000000000016</c:v>
                </c:pt>
                <c:pt idx="96">
                  <c:v>25.920000000000016</c:v>
                </c:pt>
                <c:pt idx="97">
                  <c:v>26.190000000000019</c:v>
                </c:pt>
                <c:pt idx="98">
                  <c:v>26.460000000000019</c:v>
                </c:pt>
                <c:pt idx="99">
                  <c:v>26.730000000000018</c:v>
                </c:pt>
                <c:pt idx="100">
                  <c:v>27.000000000000018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287488"/>
        <c:axId val="108289408"/>
      </c:scatterChart>
      <c:valAx>
        <c:axId val="108287488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7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Dimensionless Concentration, C/C</a:t>
                </a:r>
                <a:r>
                  <a:rPr lang="en-US" sz="1075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0</a:t>
                </a:r>
              </a:p>
            </c:rich>
          </c:tx>
          <c:layout>
            <c:manualLayout>
              <c:xMode val="edge"/>
              <c:yMode val="edge"/>
              <c:x val="0.24111701773318944"/>
              <c:y val="0.8754734504340804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289408"/>
        <c:crosses val="max"/>
        <c:crossBetween val="midCat"/>
      </c:valAx>
      <c:valAx>
        <c:axId val="108289408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Depth (cm)</a:t>
                </a:r>
              </a:p>
            </c:rich>
          </c:tx>
          <c:layout>
            <c:manualLayout>
              <c:xMode val="edge"/>
              <c:yMode val="edge"/>
              <c:x val="4.060913705583756E-2"/>
              <c:y val="0.3471706770919369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28748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Transient Concentration Profiles (Years)</a:t>
            </a:r>
          </a:p>
        </c:rich>
      </c:tx>
      <c:layout>
        <c:manualLayout>
          <c:xMode val="edge"/>
          <c:yMode val="edge"/>
          <c:x val="0.12018164396117151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39261663968745"/>
          <c:y val="0.14930606182882294"/>
          <c:w val="0.6167814111691543"/>
          <c:h val="0.659724459243636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'Transient Conditions'!$B$17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'Transient Conditions'!$B$18:$B$40</c:f>
              <c:numCache>
                <c:formatCode>0.00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1.5480986545222569E-12</c:v>
                </c:pt>
                <c:pt idx="22">
                  <c:v>1</c:v>
                </c:pt>
              </c:numCache>
            </c:numRef>
          </c:xVal>
          <c:yVal>
            <c:numRef>
              <c:f>'Transient Conditions'!$A$45:$A$67</c:f>
              <c:numCache>
                <c:formatCode>General</c:formatCode>
                <c:ptCount val="23"/>
                <c:pt idx="0">
                  <c:v>0</c:v>
                </c:pt>
                <c:pt idx="1">
                  <c:v>1.3500000000000012</c:v>
                </c:pt>
                <c:pt idx="2">
                  <c:v>2.7000000000000024</c:v>
                </c:pt>
                <c:pt idx="3">
                  <c:v>4.0500000000000034</c:v>
                </c:pt>
                <c:pt idx="4">
                  <c:v>5.4000000000000048</c:v>
                </c:pt>
                <c:pt idx="5">
                  <c:v>6.7500000000000062</c:v>
                </c:pt>
                <c:pt idx="6">
                  <c:v>8.1000000000000068</c:v>
                </c:pt>
                <c:pt idx="7">
                  <c:v>9.4500000000000082</c:v>
                </c:pt>
                <c:pt idx="8">
                  <c:v>10.80000000000001</c:v>
                </c:pt>
                <c:pt idx="9">
                  <c:v>12.150000000000011</c:v>
                </c:pt>
                <c:pt idx="10">
                  <c:v>13.500000000000012</c:v>
                </c:pt>
                <c:pt idx="11">
                  <c:v>14.85000000000001</c:v>
                </c:pt>
                <c:pt idx="12">
                  <c:v>16.20000000000001</c:v>
                </c:pt>
                <c:pt idx="13">
                  <c:v>17.550000000000011</c:v>
                </c:pt>
                <c:pt idx="14">
                  <c:v>18.900000000000009</c:v>
                </c:pt>
                <c:pt idx="15">
                  <c:v>20.250000000000011</c:v>
                </c:pt>
                <c:pt idx="16">
                  <c:v>21.600000000000009</c:v>
                </c:pt>
                <c:pt idx="17">
                  <c:v>22.95000000000001</c:v>
                </c:pt>
                <c:pt idx="18">
                  <c:v>24.300000000000011</c:v>
                </c:pt>
                <c:pt idx="19">
                  <c:v>25.650000000000009</c:v>
                </c:pt>
                <c:pt idx="20">
                  <c:v>26.73</c:v>
                </c:pt>
                <c:pt idx="21">
                  <c:v>26.972999999999999</c:v>
                </c:pt>
                <c:pt idx="22">
                  <c:v>27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'Transient Conditions'!$C$44</c:f>
              <c:strCache>
                <c:ptCount val="1"/>
                <c:pt idx="0">
                  <c:v>2.8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'Transient Conditions'!$C$18:$C$40</c:f>
              <c:numCache>
                <c:formatCode>0.00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1.2342841979652138E-304</c:v>
                </c:pt>
                <c:pt idx="15">
                  <c:v>4.4206119223642437E-212</c:v>
                </c:pt>
                <c:pt idx="16">
                  <c:v>2.3784634166818494E-136</c:v>
                </c:pt>
                <c:pt idx="17">
                  <c:v>1.9678131854771575E-77</c:v>
                </c:pt>
                <c:pt idx="18">
                  <c:v>2.6361881356811631E-35</c:v>
                </c:pt>
                <c:pt idx="19">
                  <c:v>6.6954261484184422E-10</c:v>
                </c:pt>
                <c:pt idx="20">
                  <c:v>0.22796983471573984</c:v>
                </c:pt>
                <c:pt idx="21">
                  <c:v>0.90698890760672446</c:v>
                </c:pt>
                <c:pt idx="22">
                  <c:v>1</c:v>
                </c:pt>
              </c:numCache>
            </c:numRef>
          </c:xVal>
          <c:yVal>
            <c:numRef>
              <c:f>'Transient Conditions'!$A$45:$A$67</c:f>
              <c:numCache>
                <c:formatCode>General</c:formatCode>
                <c:ptCount val="23"/>
                <c:pt idx="0">
                  <c:v>0</c:v>
                </c:pt>
                <c:pt idx="1">
                  <c:v>1.3500000000000012</c:v>
                </c:pt>
                <c:pt idx="2">
                  <c:v>2.7000000000000024</c:v>
                </c:pt>
                <c:pt idx="3">
                  <c:v>4.0500000000000034</c:v>
                </c:pt>
                <c:pt idx="4">
                  <c:v>5.4000000000000048</c:v>
                </c:pt>
                <c:pt idx="5">
                  <c:v>6.7500000000000062</c:v>
                </c:pt>
                <c:pt idx="6">
                  <c:v>8.1000000000000068</c:v>
                </c:pt>
                <c:pt idx="7">
                  <c:v>9.4500000000000082</c:v>
                </c:pt>
                <c:pt idx="8">
                  <c:v>10.80000000000001</c:v>
                </c:pt>
                <c:pt idx="9">
                  <c:v>12.150000000000011</c:v>
                </c:pt>
                <c:pt idx="10">
                  <c:v>13.500000000000012</c:v>
                </c:pt>
                <c:pt idx="11">
                  <c:v>14.85000000000001</c:v>
                </c:pt>
                <c:pt idx="12">
                  <c:v>16.20000000000001</c:v>
                </c:pt>
                <c:pt idx="13">
                  <c:v>17.550000000000011</c:v>
                </c:pt>
                <c:pt idx="14">
                  <c:v>18.900000000000009</c:v>
                </c:pt>
                <c:pt idx="15">
                  <c:v>20.250000000000011</c:v>
                </c:pt>
                <c:pt idx="16">
                  <c:v>21.600000000000009</c:v>
                </c:pt>
                <c:pt idx="17">
                  <c:v>22.95000000000001</c:v>
                </c:pt>
                <c:pt idx="18">
                  <c:v>24.300000000000011</c:v>
                </c:pt>
                <c:pt idx="19">
                  <c:v>25.650000000000009</c:v>
                </c:pt>
                <c:pt idx="20">
                  <c:v>26.73</c:v>
                </c:pt>
                <c:pt idx="21">
                  <c:v>26.972999999999999</c:v>
                </c:pt>
                <c:pt idx="22">
                  <c:v>27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'Transient Conditions'!$D$44</c:f>
              <c:strCache>
                <c:ptCount val="1"/>
                <c:pt idx="0">
                  <c:v>5.7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'Transient Conditions'!$D$18:$D$40</c:f>
              <c:numCache>
                <c:formatCode>0.00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1.2517883865007656E-270</c:v>
                </c:pt>
                <c:pt idx="13">
                  <c:v>1.4418476562903518E-207</c:v>
                </c:pt>
                <c:pt idx="14">
                  <c:v>6.4383045148213883E-153</c:v>
                </c:pt>
                <c:pt idx="15">
                  <c:v>1.1228385391314551E-106</c:v>
                </c:pt>
                <c:pt idx="16">
                  <c:v>7.7434249228583086E-69</c:v>
                </c:pt>
                <c:pt idx="17">
                  <c:v>2.1606233201330033E-39</c:v>
                </c:pt>
                <c:pt idx="18">
                  <c:v>2.5647443496348968E-18</c:v>
                </c:pt>
                <c:pt idx="19">
                  <c:v>1.5011437857727258E-5</c:v>
                </c:pt>
                <c:pt idx="20">
                  <c:v>0.40492828855687713</c:v>
                </c:pt>
                <c:pt idx="21">
                  <c:v>0.93606560251060689</c:v>
                </c:pt>
                <c:pt idx="22">
                  <c:v>1</c:v>
                </c:pt>
              </c:numCache>
            </c:numRef>
          </c:xVal>
          <c:yVal>
            <c:numRef>
              <c:f>'Transient Conditions'!$A$45:$A$67</c:f>
              <c:numCache>
                <c:formatCode>General</c:formatCode>
                <c:ptCount val="23"/>
                <c:pt idx="0">
                  <c:v>0</c:v>
                </c:pt>
                <c:pt idx="1">
                  <c:v>1.3500000000000012</c:v>
                </c:pt>
                <c:pt idx="2">
                  <c:v>2.7000000000000024</c:v>
                </c:pt>
                <c:pt idx="3">
                  <c:v>4.0500000000000034</c:v>
                </c:pt>
                <c:pt idx="4">
                  <c:v>5.4000000000000048</c:v>
                </c:pt>
                <c:pt idx="5">
                  <c:v>6.7500000000000062</c:v>
                </c:pt>
                <c:pt idx="6">
                  <c:v>8.1000000000000068</c:v>
                </c:pt>
                <c:pt idx="7">
                  <c:v>9.4500000000000082</c:v>
                </c:pt>
                <c:pt idx="8">
                  <c:v>10.80000000000001</c:v>
                </c:pt>
                <c:pt idx="9">
                  <c:v>12.150000000000011</c:v>
                </c:pt>
                <c:pt idx="10">
                  <c:v>13.500000000000012</c:v>
                </c:pt>
                <c:pt idx="11">
                  <c:v>14.85000000000001</c:v>
                </c:pt>
                <c:pt idx="12">
                  <c:v>16.20000000000001</c:v>
                </c:pt>
                <c:pt idx="13">
                  <c:v>17.550000000000011</c:v>
                </c:pt>
                <c:pt idx="14">
                  <c:v>18.900000000000009</c:v>
                </c:pt>
                <c:pt idx="15">
                  <c:v>20.250000000000011</c:v>
                </c:pt>
                <c:pt idx="16">
                  <c:v>21.600000000000009</c:v>
                </c:pt>
                <c:pt idx="17">
                  <c:v>22.95000000000001</c:v>
                </c:pt>
                <c:pt idx="18">
                  <c:v>24.300000000000011</c:v>
                </c:pt>
                <c:pt idx="19">
                  <c:v>25.650000000000009</c:v>
                </c:pt>
                <c:pt idx="20">
                  <c:v>26.73</c:v>
                </c:pt>
                <c:pt idx="21">
                  <c:v>26.972999999999999</c:v>
                </c:pt>
                <c:pt idx="22">
                  <c:v>27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'Transient Conditions'!$E$44</c:f>
              <c:strCache>
                <c:ptCount val="1"/>
                <c:pt idx="0">
                  <c:v>8.5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'Transient Conditions'!$E$18:$E$40</c:f>
              <c:numCache>
                <c:formatCode>0.00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1.4463606655894288E-281</c:v>
                </c:pt>
                <c:pt idx="11">
                  <c:v>2.4300715510572019E-228</c:v>
                </c:pt>
                <c:pt idx="12">
                  <c:v>1.006243265556906E-180</c:v>
                </c:pt>
                <c:pt idx="13">
                  <c:v>1.0302771067038016E-138</c:v>
                </c:pt>
                <c:pt idx="14">
                  <c:v>2.6209109576646751E-102</c:v>
                </c:pt>
                <c:pt idx="15">
                  <c:v>1.668797399804056E-71</c:v>
                </c:pt>
                <c:pt idx="16">
                  <c:v>2.692327950737088E-46</c:v>
                </c:pt>
                <c:pt idx="17">
                  <c:v>1.1257087742726721E-26</c:v>
                </c:pt>
                <c:pt idx="18">
                  <c:v>1.2808170265336047E-12</c:v>
                </c:pt>
                <c:pt idx="19">
                  <c:v>4.5565240406111141E-4</c:v>
                </c:pt>
                <c:pt idx="20">
                  <c:v>0.50483824950265621</c:v>
                </c:pt>
                <c:pt idx="21">
                  <c:v>0.9489587660417933</c:v>
                </c:pt>
                <c:pt idx="22">
                  <c:v>1</c:v>
                </c:pt>
              </c:numCache>
            </c:numRef>
          </c:xVal>
          <c:yVal>
            <c:numRef>
              <c:f>'Transient Conditions'!$A$45:$A$67</c:f>
              <c:numCache>
                <c:formatCode>General</c:formatCode>
                <c:ptCount val="23"/>
                <c:pt idx="0">
                  <c:v>0</c:v>
                </c:pt>
                <c:pt idx="1">
                  <c:v>1.3500000000000012</c:v>
                </c:pt>
                <c:pt idx="2">
                  <c:v>2.7000000000000024</c:v>
                </c:pt>
                <c:pt idx="3">
                  <c:v>4.0500000000000034</c:v>
                </c:pt>
                <c:pt idx="4">
                  <c:v>5.4000000000000048</c:v>
                </c:pt>
                <c:pt idx="5">
                  <c:v>6.7500000000000062</c:v>
                </c:pt>
                <c:pt idx="6">
                  <c:v>8.1000000000000068</c:v>
                </c:pt>
                <c:pt idx="7">
                  <c:v>9.4500000000000082</c:v>
                </c:pt>
                <c:pt idx="8">
                  <c:v>10.80000000000001</c:v>
                </c:pt>
                <c:pt idx="9">
                  <c:v>12.150000000000011</c:v>
                </c:pt>
                <c:pt idx="10">
                  <c:v>13.500000000000012</c:v>
                </c:pt>
                <c:pt idx="11">
                  <c:v>14.85000000000001</c:v>
                </c:pt>
                <c:pt idx="12">
                  <c:v>16.20000000000001</c:v>
                </c:pt>
                <c:pt idx="13">
                  <c:v>17.550000000000011</c:v>
                </c:pt>
                <c:pt idx="14">
                  <c:v>18.900000000000009</c:v>
                </c:pt>
                <c:pt idx="15">
                  <c:v>20.250000000000011</c:v>
                </c:pt>
                <c:pt idx="16">
                  <c:v>21.600000000000009</c:v>
                </c:pt>
                <c:pt idx="17">
                  <c:v>22.95000000000001</c:v>
                </c:pt>
                <c:pt idx="18">
                  <c:v>24.300000000000011</c:v>
                </c:pt>
                <c:pt idx="19">
                  <c:v>25.650000000000009</c:v>
                </c:pt>
                <c:pt idx="20">
                  <c:v>26.73</c:v>
                </c:pt>
                <c:pt idx="21">
                  <c:v>26.972999999999999</c:v>
                </c:pt>
                <c:pt idx="22">
                  <c:v>27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'Transient Conditions'!$F$44</c:f>
              <c:strCache>
                <c:ptCount val="1"/>
                <c:pt idx="0">
                  <c:v>11.4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'Transient Conditions'!$F$18:$F$40</c:f>
              <c:numCache>
                <c:formatCode>0.00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9.7261275650048494E-304</c:v>
                </c:pt>
                <c:pt idx="9">
                  <c:v>1.9652290259542801E-255</c:v>
                </c:pt>
                <c:pt idx="10">
                  <c:v>2.4674888393455415E-211</c:v>
                </c:pt>
                <c:pt idx="11">
                  <c:v>1.9284936488108421E-171</c:v>
                </c:pt>
                <c:pt idx="12">
                  <c:v>9.4041237573483759E-136</c:v>
                </c:pt>
                <c:pt idx="13">
                  <c:v>2.8706165444741984E-104</c:v>
                </c:pt>
                <c:pt idx="14">
                  <c:v>5.5113423696836825E-77</c:v>
                </c:pt>
                <c:pt idx="15">
                  <c:v>6.7042075885709973E-54</c:v>
                </c:pt>
                <c:pt idx="16">
                  <c:v>5.2301045241336937E-35</c:v>
                </c:pt>
                <c:pt idx="17">
                  <c:v>2.6754311482750133E-20</c:v>
                </c:pt>
                <c:pt idx="18">
                  <c:v>9.4107837829809703E-10</c:v>
                </c:pt>
                <c:pt idx="19">
                  <c:v>2.5956615748144408E-3</c:v>
                </c:pt>
                <c:pt idx="20">
                  <c:v>0.57023191324187117</c:v>
                </c:pt>
                <c:pt idx="21">
                  <c:v>0.95664000982839903</c:v>
                </c:pt>
                <c:pt idx="22">
                  <c:v>1</c:v>
                </c:pt>
              </c:numCache>
            </c:numRef>
          </c:xVal>
          <c:yVal>
            <c:numRef>
              <c:f>'Transient Conditions'!$A$45:$A$67</c:f>
              <c:numCache>
                <c:formatCode>General</c:formatCode>
                <c:ptCount val="23"/>
                <c:pt idx="0">
                  <c:v>0</c:v>
                </c:pt>
                <c:pt idx="1">
                  <c:v>1.3500000000000012</c:v>
                </c:pt>
                <c:pt idx="2">
                  <c:v>2.7000000000000024</c:v>
                </c:pt>
                <c:pt idx="3">
                  <c:v>4.0500000000000034</c:v>
                </c:pt>
                <c:pt idx="4">
                  <c:v>5.4000000000000048</c:v>
                </c:pt>
                <c:pt idx="5">
                  <c:v>6.7500000000000062</c:v>
                </c:pt>
                <c:pt idx="6">
                  <c:v>8.1000000000000068</c:v>
                </c:pt>
                <c:pt idx="7">
                  <c:v>9.4500000000000082</c:v>
                </c:pt>
                <c:pt idx="8">
                  <c:v>10.80000000000001</c:v>
                </c:pt>
                <c:pt idx="9">
                  <c:v>12.150000000000011</c:v>
                </c:pt>
                <c:pt idx="10">
                  <c:v>13.500000000000012</c:v>
                </c:pt>
                <c:pt idx="11">
                  <c:v>14.85000000000001</c:v>
                </c:pt>
                <c:pt idx="12">
                  <c:v>16.20000000000001</c:v>
                </c:pt>
                <c:pt idx="13">
                  <c:v>17.550000000000011</c:v>
                </c:pt>
                <c:pt idx="14">
                  <c:v>18.900000000000009</c:v>
                </c:pt>
                <c:pt idx="15">
                  <c:v>20.250000000000011</c:v>
                </c:pt>
                <c:pt idx="16">
                  <c:v>21.600000000000009</c:v>
                </c:pt>
                <c:pt idx="17">
                  <c:v>22.95000000000001</c:v>
                </c:pt>
                <c:pt idx="18">
                  <c:v>24.300000000000011</c:v>
                </c:pt>
                <c:pt idx="19">
                  <c:v>25.650000000000009</c:v>
                </c:pt>
                <c:pt idx="20">
                  <c:v>26.73</c:v>
                </c:pt>
                <c:pt idx="21">
                  <c:v>26.972999999999999</c:v>
                </c:pt>
                <c:pt idx="22">
                  <c:v>27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'Transient Conditions'!$G$44</c:f>
              <c:strCache>
                <c:ptCount val="1"/>
                <c:pt idx="0">
                  <c:v>14.2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'Transient Conditions'!$G$18:$G$40</c:f>
              <c:numCache>
                <c:formatCode>0.00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4.7386690120090595E-285</c:v>
                </c:pt>
                <c:pt idx="8">
                  <c:v>4.6002276647476563E-243</c:v>
                </c:pt>
                <c:pt idx="9">
                  <c:v>1.926367172329309E-204</c:v>
                </c:pt>
                <c:pt idx="10">
                  <c:v>3.4842281601083743E-169</c:v>
                </c:pt>
                <c:pt idx="11">
                  <c:v>2.7266662643097993E-137</c:v>
                </c:pt>
                <c:pt idx="12">
                  <c:v>9.2539675345523961E-109</c:v>
                </c:pt>
                <c:pt idx="13">
                  <c:v>1.3664954921943971E-83</c:v>
                </c:pt>
                <c:pt idx="14">
                  <c:v>8.8212500497290061E-62</c:v>
                </c:pt>
                <c:pt idx="15">
                  <c:v>2.5075712373572213E-43</c:v>
                </c:pt>
                <c:pt idx="16">
                  <c:v>3.1767957426487564E-28</c:v>
                </c:pt>
                <c:pt idx="17">
                  <c:v>1.8333216064003383E-16</c:v>
                </c:pt>
                <c:pt idx="18">
                  <c:v>5.047809658531336E-8</c:v>
                </c:pt>
                <c:pt idx="19">
                  <c:v>7.5116021264679221E-3</c:v>
                </c:pt>
                <c:pt idx="20">
                  <c:v>0.61712975355257238</c:v>
                </c:pt>
                <c:pt idx="21">
                  <c:v>0.96187653734109757</c:v>
                </c:pt>
                <c:pt idx="22">
                  <c:v>1</c:v>
                </c:pt>
              </c:numCache>
            </c:numRef>
          </c:xVal>
          <c:yVal>
            <c:numRef>
              <c:f>'Transient Conditions'!$A$45:$A$67</c:f>
              <c:numCache>
                <c:formatCode>General</c:formatCode>
                <c:ptCount val="23"/>
                <c:pt idx="0">
                  <c:v>0</c:v>
                </c:pt>
                <c:pt idx="1">
                  <c:v>1.3500000000000012</c:v>
                </c:pt>
                <c:pt idx="2">
                  <c:v>2.7000000000000024</c:v>
                </c:pt>
                <c:pt idx="3">
                  <c:v>4.0500000000000034</c:v>
                </c:pt>
                <c:pt idx="4">
                  <c:v>5.4000000000000048</c:v>
                </c:pt>
                <c:pt idx="5">
                  <c:v>6.7500000000000062</c:v>
                </c:pt>
                <c:pt idx="6">
                  <c:v>8.1000000000000068</c:v>
                </c:pt>
                <c:pt idx="7">
                  <c:v>9.4500000000000082</c:v>
                </c:pt>
                <c:pt idx="8">
                  <c:v>10.80000000000001</c:v>
                </c:pt>
                <c:pt idx="9">
                  <c:v>12.150000000000011</c:v>
                </c:pt>
                <c:pt idx="10">
                  <c:v>13.500000000000012</c:v>
                </c:pt>
                <c:pt idx="11">
                  <c:v>14.85000000000001</c:v>
                </c:pt>
                <c:pt idx="12">
                  <c:v>16.20000000000001</c:v>
                </c:pt>
                <c:pt idx="13">
                  <c:v>17.550000000000011</c:v>
                </c:pt>
                <c:pt idx="14">
                  <c:v>18.900000000000009</c:v>
                </c:pt>
                <c:pt idx="15">
                  <c:v>20.250000000000011</c:v>
                </c:pt>
                <c:pt idx="16">
                  <c:v>21.600000000000009</c:v>
                </c:pt>
                <c:pt idx="17">
                  <c:v>22.95000000000001</c:v>
                </c:pt>
                <c:pt idx="18">
                  <c:v>24.300000000000011</c:v>
                </c:pt>
                <c:pt idx="19">
                  <c:v>25.650000000000009</c:v>
                </c:pt>
                <c:pt idx="20">
                  <c:v>26.73</c:v>
                </c:pt>
                <c:pt idx="21">
                  <c:v>26.972999999999999</c:v>
                </c:pt>
                <c:pt idx="22">
                  <c:v>27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'Transient Conditions'!$H$44</c:f>
              <c:strCache>
                <c:ptCount val="1"/>
                <c:pt idx="0">
                  <c:v>17.0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'Transient Conditions'!$H$18:$H$40</c:f>
              <c:numCache>
                <c:formatCode>0.00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2.3730022111587453E-275</c:v>
                </c:pt>
                <c:pt idx="7">
                  <c:v>1.4113329871074318E-237</c:v>
                </c:pt>
                <c:pt idx="8">
                  <c:v>1.3173858937367216E-202</c:v>
                </c:pt>
                <c:pt idx="9">
                  <c:v>1.9319348396098614E-170</c:v>
                </c:pt>
                <c:pt idx="10">
                  <c:v>4.4569481018802805E-141</c:v>
                </c:pt>
                <c:pt idx="11">
                  <c:v>1.6203035499330777E-114</c:v>
                </c:pt>
                <c:pt idx="12">
                  <c:v>9.3041828367842021E-91</c:v>
                </c:pt>
                <c:pt idx="13">
                  <c:v>8.4662467137424309E-70</c:v>
                </c:pt>
                <c:pt idx="14">
                  <c:v>1.2265376993184325E-51</c:v>
                </c:pt>
                <c:pt idx="15">
                  <c:v>2.849608591840423E-36</c:v>
                </c:pt>
                <c:pt idx="16">
                  <c:v>1.0743940810278954E-23</c:v>
                </c:pt>
                <c:pt idx="17">
                  <c:v>6.7169946765449864E-14</c:v>
                </c:pt>
                <c:pt idx="18">
                  <c:v>7.2849346478459667E-7</c:v>
                </c:pt>
                <c:pt idx="19">
                  <c:v>1.5434467073832874E-2</c:v>
                </c:pt>
                <c:pt idx="20">
                  <c:v>0.65282316826788689</c:v>
                </c:pt>
                <c:pt idx="21">
                  <c:v>0.9657372707389219</c:v>
                </c:pt>
                <c:pt idx="22">
                  <c:v>1</c:v>
                </c:pt>
              </c:numCache>
            </c:numRef>
          </c:xVal>
          <c:yVal>
            <c:numRef>
              <c:f>'Transient Conditions'!$A$45:$A$67</c:f>
              <c:numCache>
                <c:formatCode>General</c:formatCode>
                <c:ptCount val="23"/>
                <c:pt idx="0">
                  <c:v>0</c:v>
                </c:pt>
                <c:pt idx="1">
                  <c:v>1.3500000000000012</c:v>
                </c:pt>
                <c:pt idx="2">
                  <c:v>2.7000000000000024</c:v>
                </c:pt>
                <c:pt idx="3">
                  <c:v>4.0500000000000034</c:v>
                </c:pt>
                <c:pt idx="4">
                  <c:v>5.4000000000000048</c:v>
                </c:pt>
                <c:pt idx="5">
                  <c:v>6.7500000000000062</c:v>
                </c:pt>
                <c:pt idx="6">
                  <c:v>8.1000000000000068</c:v>
                </c:pt>
                <c:pt idx="7">
                  <c:v>9.4500000000000082</c:v>
                </c:pt>
                <c:pt idx="8">
                  <c:v>10.80000000000001</c:v>
                </c:pt>
                <c:pt idx="9">
                  <c:v>12.150000000000011</c:v>
                </c:pt>
                <c:pt idx="10">
                  <c:v>13.500000000000012</c:v>
                </c:pt>
                <c:pt idx="11">
                  <c:v>14.85000000000001</c:v>
                </c:pt>
                <c:pt idx="12">
                  <c:v>16.20000000000001</c:v>
                </c:pt>
                <c:pt idx="13">
                  <c:v>17.550000000000011</c:v>
                </c:pt>
                <c:pt idx="14">
                  <c:v>18.900000000000009</c:v>
                </c:pt>
                <c:pt idx="15">
                  <c:v>20.250000000000011</c:v>
                </c:pt>
                <c:pt idx="16">
                  <c:v>21.600000000000009</c:v>
                </c:pt>
                <c:pt idx="17">
                  <c:v>22.95000000000001</c:v>
                </c:pt>
                <c:pt idx="18">
                  <c:v>24.300000000000011</c:v>
                </c:pt>
                <c:pt idx="19">
                  <c:v>25.650000000000009</c:v>
                </c:pt>
                <c:pt idx="20">
                  <c:v>26.73</c:v>
                </c:pt>
                <c:pt idx="21">
                  <c:v>26.972999999999999</c:v>
                </c:pt>
                <c:pt idx="22">
                  <c:v>27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'Transient Conditions'!$I$44</c:f>
              <c:strCache>
                <c:ptCount val="1"/>
                <c:pt idx="0">
                  <c:v>19.9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'Transient Conditions'!$I$18:$I$40</c:f>
              <c:numCache>
                <c:formatCode>0.00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2.9547490945379582E-308</c:v>
                </c:pt>
                <c:pt idx="5">
                  <c:v>8.6815026766404945E-271</c:v>
                </c:pt>
                <c:pt idx="6">
                  <c:v>5.0513819447886644E-236</c:v>
                </c:pt>
                <c:pt idx="7">
                  <c:v>1.1603704599509832E-203</c:v>
                </c:pt>
                <c:pt idx="8">
                  <c:v>1.0531884686456096E-173</c:v>
                </c:pt>
                <c:pt idx="9">
                  <c:v>3.7807802855484814E-146</c:v>
                </c:pt>
                <c:pt idx="10">
                  <c:v>5.3751564033952597E-121</c:v>
                </c:pt>
                <c:pt idx="11">
                  <c:v>3.0316645459823104E-98</c:v>
                </c:pt>
                <c:pt idx="12">
                  <c:v>6.7991962860047099E-78</c:v>
                </c:pt>
                <c:pt idx="13">
                  <c:v>6.0830643241673306E-60</c:v>
                </c:pt>
                <c:pt idx="14">
                  <c:v>2.1812794360530723E-44</c:v>
                </c:pt>
                <c:pt idx="15">
                  <c:v>3.157470372258021E-31</c:v>
                </c:pt>
                <c:pt idx="16">
                  <c:v>1.8668765785118224E-20</c:v>
                </c:pt>
                <c:pt idx="17">
                  <c:v>4.605352457735086E-12</c:v>
                </c:pt>
                <c:pt idx="18">
                  <c:v>4.9535921458367238E-6</c:v>
                </c:pt>
                <c:pt idx="19">
                  <c:v>2.6022700906607639E-2</c:v>
                </c:pt>
                <c:pt idx="20">
                  <c:v>0.68113947217584814</c:v>
                </c:pt>
                <c:pt idx="21">
                  <c:v>0.96873387980560377</c:v>
                </c:pt>
                <c:pt idx="22">
                  <c:v>1</c:v>
                </c:pt>
              </c:numCache>
            </c:numRef>
          </c:xVal>
          <c:yVal>
            <c:numRef>
              <c:f>'Transient Conditions'!$A$45:$A$67</c:f>
              <c:numCache>
                <c:formatCode>General</c:formatCode>
                <c:ptCount val="23"/>
                <c:pt idx="0">
                  <c:v>0</c:v>
                </c:pt>
                <c:pt idx="1">
                  <c:v>1.3500000000000012</c:v>
                </c:pt>
                <c:pt idx="2">
                  <c:v>2.7000000000000024</c:v>
                </c:pt>
                <c:pt idx="3">
                  <c:v>4.0500000000000034</c:v>
                </c:pt>
                <c:pt idx="4">
                  <c:v>5.4000000000000048</c:v>
                </c:pt>
                <c:pt idx="5">
                  <c:v>6.7500000000000062</c:v>
                </c:pt>
                <c:pt idx="6">
                  <c:v>8.1000000000000068</c:v>
                </c:pt>
                <c:pt idx="7">
                  <c:v>9.4500000000000082</c:v>
                </c:pt>
                <c:pt idx="8">
                  <c:v>10.80000000000001</c:v>
                </c:pt>
                <c:pt idx="9">
                  <c:v>12.150000000000011</c:v>
                </c:pt>
                <c:pt idx="10">
                  <c:v>13.500000000000012</c:v>
                </c:pt>
                <c:pt idx="11">
                  <c:v>14.85000000000001</c:v>
                </c:pt>
                <c:pt idx="12">
                  <c:v>16.20000000000001</c:v>
                </c:pt>
                <c:pt idx="13">
                  <c:v>17.550000000000011</c:v>
                </c:pt>
                <c:pt idx="14">
                  <c:v>18.900000000000009</c:v>
                </c:pt>
                <c:pt idx="15">
                  <c:v>20.250000000000011</c:v>
                </c:pt>
                <c:pt idx="16">
                  <c:v>21.600000000000009</c:v>
                </c:pt>
                <c:pt idx="17">
                  <c:v>22.95000000000001</c:v>
                </c:pt>
                <c:pt idx="18">
                  <c:v>24.300000000000011</c:v>
                </c:pt>
                <c:pt idx="19">
                  <c:v>25.650000000000009</c:v>
                </c:pt>
                <c:pt idx="20">
                  <c:v>26.73</c:v>
                </c:pt>
                <c:pt idx="21">
                  <c:v>26.972999999999999</c:v>
                </c:pt>
                <c:pt idx="22">
                  <c:v>27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'Transient Conditions'!$J$44</c:f>
              <c:strCache>
                <c:ptCount val="1"/>
                <c:pt idx="0">
                  <c:v>22.7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'Transient Conditions'!$J$18:$J$40</c:f>
              <c:numCache>
                <c:formatCode>0.00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2.4072529994857514E-304</c:v>
                </c:pt>
                <c:pt idx="4">
                  <c:v>1.9568983886300428E-269</c:v>
                </c:pt>
                <c:pt idx="5">
                  <c:v>6.2947582439771309E-237</c:v>
                </c:pt>
                <c:pt idx="6">
                  <c:v>1.5966342898058405E-206</c:v>
                </c:pt>
                <c:pt idx="7">
                  <c:v>3.1954434369764522E-178</c:v>
                </c:pt>
                <c:pt idx="8">
                  <c:v>5.0501857898308837E-152</c:v>
                </c:pt>
                <c:pt idx="9">
                  <c:v>6.3092279588963267E-128</c:v>
                </c:pt>
                <c:pt idx="10">
                  <c:v>6.2388546595064289E-106</c:v>
                </c:pt>
                <c:pt idx="11">
                  <c:v>4.8914471322017513E-86</c:v>
                </c:pt>
                <c:pt idx="12">
                  <c:v>3.0477297207035639E-68</c:v>
                </c:pt>
                <c:pt idx="13">
                  <c:v>1.5139740445692533E-52</c:v>
                </c:pt>
                <c:pt idx="14">
                  <c:v>6.0240471706072676E-39</c:v>
                </c:pt>
                <c:pt idx="15">
                  <c:v>1.9336582164894013E-27</c:v>
                </c:pt>
                <c:pt idx="16">
                  <c:v>5.0658529865474802E-18</c:v>
                </c:pt>
                <c:pt idx="17">
                  <c:v>1.1061097066260832E-10</c:v>
                </c:pt>
                <c:pt idx="18">
                  <c:v>2.1014271949973556E-5</c:v>
                </c:pt>
                <c:pt idx="19">
                  <c:v>3.8723581961885897E-2</c:v>
                </c:pt>
                <c:pt idx="20">
                  <c:v>0.70429965585583476</c:v>
                </c:pt>
                <c:pt idx="21">
                  <c:v>0.97114605564490941</c:v>
                </c:pt>
                <c:pt idx="22">
                  <c:v>1</c:v>
                </c:pt>
              </c:numCache>
            </c:numRef>
          </c:xVal>
          <c:yVal>
            <c:numRef>
              <c:f>'Transient Conditions'!$A$45:$A$67</c:f>
              <c:numCache>
                <c:formatCode>General</c:formatCode>
                <c:ptCount val="23"/>
                <c:pt idx="0">
                  <c:v>0</c:v>
                </c:pt>
                <c:pt idx="1">
                  <c:v>1.3500000000000012</c:v>
                </c:pt>
                <c:pt idx="2">
                  <c:v>2.7000000000000024</c:v>
                </c:pt>
                <c:pt idx="3">
                  <c:v>4.0500000000000034</c:v>
                </c:pt>
                <c:pt idx="4">
                  <c:v>5.4000000000000048</c:v>
                </c:pt>
                <c:pt idx="5">
                  <c:v>6.7500000000000062</c:v>
                </c:pt>
                <c:pt idx="6">
                  <c:v>8.1000000000000068</c:v>
                </c:pt>
                <c:pt idx="7">
                  <c:v>9.4500000000000082</c:v>
                </c:pt>
                <c:pt idx="8">
                  <c:v>10.80000000000001</c:v>
                </c:pt>
                <c:pt idx="9">
                  <c:v>12.150000000000011</c:v>
                </c:pt>
                <c:pt idx="10">
                  <c:v>13.500000000000012</c:v>
                </c:pt>
                <c:pt idx="11">
                  <c:v>14.85000000000001</c:v>
                </c:pt>
                <c:pt idx="12">
                  <c:v>16.20000000000001</c:v>
                </c:pt>
                <c:pt idx="13">
                  <c:v>17.550000000000011</c:v>
                </c:pt>
                <c:pt idx="14">
                  <c:v>18.900000000000009</c:v>
                </c:pt>
                <c:pt idx="15">
                  <c:v>20.250000000000011</c:v>
                </c:pt>
                <c:pt idx="16">
                  <c:v>21.600000000000009</c:v>
                </c:pt>
                <c:pt idx="17">
                  <c:v>22.95000000000001</c:v>
                </c:pt>
                <c:pt idx="18">
                  <c:v>24.300000000000011</c:v>
                </c:pt>
                <c:pt idx="19">
                  <c:v>25.650000000000009</c:v>
                </c:pt>
                <c:pt idx="20">
                  <c:v>26.73</c:v>
                </c:pt>
                <c:pt idx="21">
                  <c:v>26.972999999999999</c:v>
                </c:pt>
                <c:pt idx="22">
                  <c:v>27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'Transient Conditions'!$K$44</c:f>
              <c:strCache>
                <c:ptCount val="1"/>
                <c:pt idx="0">
                  <c:v>25.5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'Transient Conditions'!$K$18:$K$40</c:f>
              <c:numCache>
                <c:formatCode>0.00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7.640732781460096E-303</c:v>
                </c:pt>
                <c:pt idx="3">
                  <c:v>3.1937540185755904E-270</c:v>
                </c:pt>
                <c:pt idx="4">
                  <c:v>1.8020160630494249E-239</c:v>
                </c:pt>
                <c:pt idx="5">
                  <c:v>1.3730902812976642E-210</c:v>
                </c:pt>
                <c:pt idx="6">
                  <c:v>1.4136921459324002E-183</c:v>
                </c:pt>
                <c:pt idx="7">
                  <c:v>1.9679279219348242E-158</c:v>
                </c:pt>
                <c:pt idx="8">
                  <c:v>3.7069165632532546E-135</c:v>
                </c:pt>
                <c:pt idx="9">
                  <c:v>9.4581673056320862E-114</c:v>
                </c:pt>
                <c:pt idx="10">
                  <c:v>3.2730875542987626E-94</c:v>
                </c:pt>
                <c:pt idx="11">
                  <c:v>1.5388872327021704E-76</c:v>
                </c:pt>
                <c:pt idx="12">
                  <c:v>9.8526719687283708E-61</c:v>
                </c:pt>
                <c:pt idx="13">
                  <c:v>8.617672647259437E-47</c:v>
                </c:pt>
                <c:pt idx="14">
                  <c:v>1.0344972432717507E-34</c:v>
                </c:pt>
                <c:pt idx="15">
                  <c:v>1.7165023687122622E-24</c:v>
                </c:pt>
                <c:pt idx="16">
                  <c:v>3.9824234518459228E-16</c:v>
                </c:pt>
                <c:pt idx="17">
                  <c:v>1.3188729506679683E-9</c:v>
                </c:pt>
                <c:pt idx="18">
                  <c:v>6.5026569026569906E-5</c:v>
                </c:pt>
                <c:pt idx="19">
                  <c:v>5.2976598136034767E-2</c:v>
                </c:pt>
                <c:pt idx="20">
                  <c:v>0.72369086179594055</c:v>
                </c:pt>
                <c:pt idx="21">
                  <c:v>0.97314127447966126</c:v>
                </c:pt>
                <c:pt idx="22">
                  <c:v>1</c:v>
                </c:pt>
              </c:numCache>
            </c:numRef>
          </c:xVal>
          <c:yVal>
            <c:numRef>
              <c:f>'Transient Conditions'!$A$45:$A$67</c:f>
              <c:numCache>
                <c:formatCode>General</c:formatCode>
                <c:ptCount val="23"/>
                <c:pt idx="0">
                  <c:v>0</c:v>
                </c:pt>
                <c:pt idx="1">
                  <c:v>1.3500000000000012</c:v>
                </c:pt>
                <c:pt idx="2">
                  <c:v>2.7000000000000024</c:v>
                </c:pt>
                <c:pt idx="3">
                  <c:v>4.0500000000000034</c:v>
                </c:pt>
                <c:pt idx="4">
                  <c:v>5.4000000000000048</c:v>
                </c:pt>
                <c:pt idx="5">
                  <c:v>6.7500000000000062</c:v>
                </c:pt>
                <c:pt idx="6">
                  <c:v>8.1000000000000068</c:v>
                </c:pt>
                <c:pt idx="7">
                  <c:v>9.4500000000000082</c:v>
                </c:pt>
                <c:pt idx="8">
                  <c:v>10.80000000000001</c:v>
                </c:pt>
                <c:pt idx="9">
                  <c:v>12.150000000000011</c:v>
                </c:pt>
                <c:pt idx="10">
                  <c:v>13.500000000000012</c:v>
                </c:pt>
                <c:pt idx="11">
                  <c:v>14.85000000000001</c:v>
                </c:pt>
                <c:pt idx="12">
                  <c:v>16.20000000000001</c:v>
                </c:pt>
                <c:pt idx="13">
                  <c:v>17.550000000000011</c:v>
                </c:pt>
                <c:pt idx="14">
                  <c:v>18.900000000000009</c:v>
                </c:pt>
                <c:pt idx="15">
                  <c:v>20.250000000000011</c:v>
                </c:pt>
                <c:pt idx="16">
                  <c:v>21.600000000000009</c:v>
                </c:pt>
                <c:pt idx="17">
                  <c:v>22.95000000000001</c:v>
                </c:pt>
                <c:pt idx="18">
                  <c:v>24.300000000000011</c:v>
                </c:pt>
                <c:pt idx="19">
                  <c:v>25.650000000000009</c:v>
                </c:pt>
                <c:pt idx="20">
                  <c:v>26.73</c:v>
                </c:pt>
                <c:pt idx="21">
                  <c:v>26.972999999999999</c:v>
                </c:pt>
                <c:pt idx="22">
                  <c:v>27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'Transient Conditions'!$L$44</c:f>
              <c:strCache>
                <c:ptCount val="1"/>
                <c:pt idx="0">
                  <c:v>28.4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'Transient Conditions'!$L$18:$L$40</c:f>
              <c:numCache>
                <c:formatCode>0.00</c:formatCode>
                <c:ptCount val="23"/>
                <c:pt idx="0">
                  <c:v>0</c:v>
                </c:pt>
                <c:pt idx="1">
                  <c:v>7.7727264727668145E-304</c:v>
                </c:pt>
                <c:pt idx="2">
                  <c:v>1.6553058712403866E-272</c:v>
                </c:pt>
                <c:pt idx="3">
                  <c:v>3.676440446904288E-243</c:v>
                </c:pt>
                <c:pt idx="4">
                  <c:v>1.6958504964223808E-215</c:v>
                </c:pt>
                <c:pt idx="5">
                  <c:v>1.6253639849211469E-189</c:v>
                </c:pt>
                <c:pt idx="6">
                  <c:v>3.2385345814511806E-165</c:v>
                </c:pt>
                <c:pt idx="7">
                  <c:v>1.3423450496574509E-142</c:v>
                </c:pt>
                <c:pt idx="8">
                  <c:v>1.1583709152628361E-121</c:v>
                </c:pt>
                <c:pt idx="9">
                  <c:v>2.0832406229222991E-102</c:v>
                </c:pt>
                <c:pt idx="10">
                  <c:v>7.8181534944137616E-85</c:v>
                </c:pt>
                <c:pt idx="11">
                  <c:v>6.1331285185462684E-69</c:v>
                </c:pt>
                <c:pt idx="12">
                  <c:v>1.0080205178019971E-54</c:v>
                </c:pt>
                <c:pt idx="13">
                  <c:v>3.482180425582422E-42</c:v>
                </c:pt>
                <c:pt idx="14">
                  <c:v>2.5399907951632842E-31</c:v>
                </c:pt>
                <c:pt idx="15">
                  <c:v>3.9397046016317451E-22</c:v>
                </c:pt>
                <c:pt idx="16">
                  <c:v>1.31435118769002E-14</c:v>
                </c:pt>
                <c:pt idx="17">
                  <c:v>9.6253754771145635E-9</c:v>
                </c:pt>
                <c:pt idx="18">
                  <c:v>1.6123744500353728E-4</c:v>
                </c:pt>
                <c:pt idx="19">
                  <c:v>6.8295184354954422E-2</c:v>
                </c:pt>
                <c:pt idx="20">
                  <c:v>0.74022936188303179</c:v>
                </c:pt>
                <c:pt idx="21">
                  <c:v>0.97482674367848654</c:v>
                </c:pt>
                <c:pt idx="22">
                  <c:v>1</c:v>
                </c:pt>
              </c:numCache>
            </c:numRef>
          </c:xVal>
          <c:yVal>
            <c:numRef>
              <c:f>'Transient Conditions'!$A$45:$A$67</c:f>
              <c:numCache>
                <c:formatCode>General</c:formatCode>
                <c:ptCount val="23"/>
                <c:pt idx="0">
                  <c:v>0</c:v>
                </c:pt>
                <c:pt idx="1">
                  <c:v>1.3500000000000012</c:v>
                </c:pt>
                <c:pt idx="2">
                  <c:v>2.7000000000000024</c:v>
                </c:pt>
                <c:pt idx="3">
                  <c:v>4.0500000000000034</c:v>
                </c:pt>
                <c:pt idx="4">
                  <c:v>5.4000000000000048</c:v>
                </c:pt>
                <c:pt idx="5">
                  <c:v>6.7500000000000062</c:v>
                </c:pt>
                <c:pt idx="6">
                  <c:v>8.1000000000000068</c:v>
                </c:pt>
                <c:pt idx="7">
                  <c:v>9.4500000000000082</c:v>
                </c:pt>
                <c:pt idx="8">
                  <c:v>10.80000000000001</c:v>
                </c:pt>
                <c:pt idx="9">
                  <c:v>12.150000000000011</c:v>
                </c:pt>
                <c:pt idx="10">
                  <c:v>13.500000000000012</c:v>
                </c:pt>
                <c:pt idx="11">
                  <c:v>14.85000000000001</c:v>
                </c:pt>
                <c:pt idx="12">
                  <c:v>16.20000000000001</c:v>
                </c:pt>
                <c:pt idx="13">
                  <c:v>17.550000000000011</c:v>
                </c:pt>
                <c:pt idx="14">
                  <c:v>18.900000000000009</c:v>
                </c:pt>
                <c:pt idx="15">
                  <c:v>20.250000000000011</c:v>
                </c:pt>
                <c:pt idx="16">
                  <c:v>21.600000000000009</c:v>
                </c:pt>
                <c:pt idx="17">
                  <c:v>22.95000000000001</c:v>
                </c:pt>
                <c:pt idx="18">
                  <c:v>24.300000000000011</c:v>
                </c:pt>
                <c:pt idx="19">
                  <c:v>25.650000000000009</c:v>
                </c:pt>
                <c:pt idx="20">
                  <c:v>26.73</c:v>
                </c:pt>
                <c:pt idx="21">
                  <c:v>26.972999999999999</c:v>
                </c:pt>
                <c:pt idx="22">
                  <c:v>27</c:v>
                </c:pt>
              </c:numCache>
            </c:numRef>
          </c:yVal>
          <c:smooth val="0"/>
        </c:ser>
        <c:ser>
          <c:idx val="11"/>
          <c:order val="11"/>
          <c:tx>
            <c:v>Infinity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'Steady State Conditions'!$O$18:$DK$18</c:f>
              <c:numCache>
                <c:formatCode>0.00</c:formatCode>
                <c:ptCount val="101"/>
                <c:pt idx="0">
                  <c:v>1.5046236605992913E-2</c:v>
                </c:pt>
                <c:pt idx="1">
                  <c:v>0.13937781279579264</c:v>
                </c:pt>
                <c:pt idx="2">
                  <c:v>0.24801491518171315</c:v>
                </c:pt>
                <c:pt idx="3">
                  <c:v>0.34293866981921395</c:v>
                </c:pt>
                <c:pt idx="4">
                  <c:v>0.42588012362782413</c:v>
                </c:pt>
                <c:pt idx="5">
                  <c:v>0.49835181208169166</c:v>
                </c:pt>
                <c:pt idx="6">
                  <c:v>0.56167534208512704</c:v>
                </c:pt>
                <c:pt idx="7">
                  <c:v>0.61700549303959606</c:v>
                </c:pt>
                <c:pt idx="8">
                  <c:v>0.66535127561362795</c:v>
                </c:pt>
                <c:pt idx="9">
                  <c:v>0.70759433224724788</c:v>
                </c:pt>
                <c:pt idx="10">
                  <c:v>0.74450501494593979</c:v>
                </c:pt>
                <c:pt idx="11">
                  <c:v>0.77675643356174018</c:v>
                </c:pt>
                <c:pt idx="12">
                  <c:v>0.80493673074850292</c:v>
                </c:pt>
                <c:pt idx="13">
                  <c:v>0.82955980743968827</c:v>
                </c:pt>
                <c:pt idx="14">
                  <c:v>0.85107469444046124</c:v>
                </c:pt>
                <c:pt idx="15">
                  <c:v>0.86987374103617543</c:v>
                </c:pt>
                <c:pt idx="16">
                  <c:v>0.88629976994622639</c:v>
                </c:pt>
                <c:pt idx="17">
                  <c:v>0.90065232910231674</c:v>
                </c:pt>
                <c:pt idx="18">
                  <c:v>0.91319315425972614</c:v>
                </c:pt>
                <c:pt idx="19">
                  <c:v>0.92415094205876158</c:v>
                </c:pt>
                <c:pt idx="20">
                  <c:v>0.93372552057882396</c:v>
                </c:pt>
                <c:pt idx="21">
                  <c:v>0.94209149344007626</c:v>
                </c:pt>
                <c:pt idx="22">
                  <c:v>0.94940142390722981</c:v>
                </c:pt>
                <c:pt idx="23">
                  <c:v>0.95578861706134421</c:v>
                </c:pt>
                <c:pt idx="24">
                  <c:v>0.96136955077584441</c:v>
                </c:pt>
                <c:pt idx="25">
                  <c:v>0.96624599982847892</c:v>
                </c:pt>
                <c:pt idx="26">
                  <c:v>0.97050689188491801</c:v>
                </c:pt>
                <c:pt idx="27">
                  <c:v>0.97422992920004503</c:v>
                </c:pt>
                <c:pt idx="28">
                  <c:v>0.97748300561059398</c:v>
                </c:pt>
                <c:pt idx="29">
                  <c:v>0.98032544465966276</c:v>
                </c:pt>
                <c:pt idx="30">
                  <c:v>0.98280908143177481</c:v>
                </c:pt>
                <c:pt idx="31">
                  <c:v>0.98497920782702952</c:v>
                </c:pt>
                <c:pt idx="32">
                  <c:v>0.9868753985125357</c:v>
                </c:pt>
                <c:pt idx="33">
                  <c:v>0.98853223261333401</c:v>
                </c:pt>
                <c:pt idx="34">
                  <c:v>0.98997992430368931</c:v>
                </c:pt>
                <c:pt idx="35">
                  <c:v>0.99124487379834014</c:v>
                </c:pt>
                <c:pt idx="36">
                  <c:v>0.9923501487916776</c:v>
                </c:pt>
                <c:pt idx="37">
                  <c:v>0.99331590512447132</c:v>
                </c:pt>
                <c:pt idx="38">
                  <c:v>0.99415975434949244</c:v>
                </c:pt>
                <c:pt idx="39">
                  <c:v>0.9948970848990375</c:v>
                </c:pt>
                <c:pt idx="40">
                  <c:v>0.99554134271121275</c:v>
                </c:pt>
                <c:pt idx="41">
                  <c:v>0.9961042764325394</c:v>
                </c:pt>
                <c:pt idx="42">
                  <c:v>0.9965961516684354</c:v>
                </c:pt>
                <c:pt idx="43">
                  <c:v>0.99702593818868768</c:v>
                </c:pt>
                <c:pt idx="44">
                  <c:v>0.9974014735018264</c:v>
                </c:pt>
                <c:pt idx="45">
                  <c:v>0.99772960578137371</c:v>
                </c:pt>
                <c:pt idx="46">
                  <c:v>0.99801631875039909</c:v>
                </c:pt>
                <c:pt idx="47">
                  <c:v>0.99826684080179362</c:v>
                </c:pt>
                <c:pt idx="48">
                  <c:v>0.99848574034420812</c:v>
                </c:pt>
                <c:pt idx="49">
                  <c:v>0.99867700911239343</c:v>
                </c:pt>
                <c:pt idx="50">
                  <c:v>0.99884413496121083</c:v>
                </c:pt>
                <c:pt idx="51">
                  <c:v>0.99899016547079689</c:v>
                </c:pt>
                <c:pt idx="52">
                  <c:v>0.99911776352279535</c:v>
                </c:pt>
                <c:pt idx="53">
                  <c:v>0.99922925586115763</c:v>
                </c:pt>
                <c:pt idx="54">
                  <c:v>0.99932667552307397</c:v>
                </c:pt>
                <c:pt idx="55">
                  <c:v>0.99941179891381438</c:v>
                </c:pt>
                <c:pt idx="56">
                  <c:v>0.99948617820158292</c:v>
                </c:pt>
                <c:pt idx="57">
                  <c:v>0.99955116962314161</c:v>
                </c:pt>
                <c:pt idx="58">
                  <c:v>0.99960795821639548</c:v>
                </c:pt>
                <c:pt idx="59">
                  <c:v>0.99965757943096123</c:v>
                </c:pt>
                <c:pt idx="60">
                  <c:v>0.99970093801081705</c:v>
                </c:pt>
                <c:pt idx="61">
                  <c:v>0.99973882449338114</c:v>
                </c:pt>
                <c:pt idx="62">
                  <c:v>0.99977192962589745</c:v>
                </c:pt>
                <c:pt idx="63">
                  <c:v>0.99980085696202925</c:v>
                </c:pt>
                <c:pt idx="64">
                  <c:v>0.99982613386837549</c:v>
                </c:pt>
                <c:pt idx="65">
                  <c:v>0.99984822114162508</c:v>
                </c:pt>
                <c:pt idx="66">
                  <c:v>0.99986752141173008</c:v>
                </c:pt>
                <c:pt idx="67">
                  <c:v>0.99988438648433953</c:v>
                </c:pt>
                <c:pt idx="68">
                  <c:v>0.999899123756393</c:v>
                </c:pt>
                <c:pt idx="69">
                  <c:v>0.99991200182186624</c:v>
                </c:pt>
                <c:pt idx="70">
                  <c:v>0.99992325536990179</c:v>
                </c:pt>
                <c:pt idx="71">
                  <c:v>0.99993308946464288</c:v>
                </c:pt>
                <c:pt idx="72">
                  <c:v>0.99994168328482136</c:v>
                </c:pt>
                <c:pt idx="73">
                  <c:v>0.99994919339129251</c:v>
                </c:pt>
                <c:pt idx="74">
                  <c:v>0.99995575658210989</c:v>
                </c:pt>
                <c:pt idx="75">
                  <c:v>0.99996149238719811</c:v>
                </c:pt>
                <c:pt idx="76">
                  <c:v>0.99996650524812358</c:v>
                </c:pt>
                <c:pt idx="77">
                  <c:v>0.9999708864227097</c:v>
                </c:pt>
                <c:pt idx="78">
                  <c:v>0.99997471564923124</c:v>
                </c:pt>
                <c:pt idx="79">
                  <c:v>0.99997806260053645</c:v>
                </c:pt>
                <c:pt idx="80">
                  <c:v>0.999980988154614</c:v>
                </c:pt>
                <c:pt idx="81">
                  <c:v>0.99998354550477497</c:v>
                </c:pt>
                <c:pt idx="82">
                  <c:v>0.99998578112969594</c:v>
                </c:pt>
                <c:pt idx="83">
                  <c:v>0.99998773564101295</c:v>
                </c:pt>
                <c:pt idx="84">
                  <c:v>0.99998944452392224</c:v>
                </c:pt>
                <c:pt idx="85">
                  <c:v>0.99999093878429535</c:v>
                </c:pt>
                <c:pt idx="86">
                  <c:v>0.99999224551410792</c:v>
                </c:pt>
                <c:pt idx="87">
                  <c:v>0.99999338838549323</c:v>
                </c:pt>
                <c:pt idx="88">
                  <c:v>0.99999438808243257</c:v>
                </c:pt>
                <c:pt idx="89">
                  <c:v>0.99999526267795147</c:v>
                </c:pt>
                <c:pt idx="90">
                  <c:v>0.99999602796370302</c:v>
                </c:pt>
                <c:pt idx="91">
                  <c:v>0.99999669773794664</c:v>
                </c:pt>
                <c:pt idx="92">
                  <c:v>0.99999728405717703</c:v>
                </c:pt>
                <c:pt idx="93">
                  <c:v>0.99999780168655261</c:v>
                </c:pt>
                <c:pt idx="94">
                  <c:v>0.99999825909104267</c:v>
                </c:pt>
                <c:pt idx="95">
                  <c:v>0.99999865756425377</c:v>
                </c:pt>
                <c:pt idx="96">
                  <c:v>0.99999900469879999</c:v>
                </c:pt>
                <c:pt idx="97">
                  <c:v>0.99999930710907436</c:v>
                </c:pt>
                <c:pt idx="98">
                  <c:v>0.99999957055728217</c:v>
                </c:pt>
                <c:pt idx="99">
                  <c:v>0.99999980006323508</c:v>
                </c:pt>
                <c:pt idx="100">
                  <c:v>1</c:v>
                </c:pt>
              </c:numCache>
            </c:numRef>
          </c:xVal>
          <c:yVal>
            <c:numRef>
              <c:f>'Steady State Conditions'!$O$17:$DK$17</c:f>
              <c:numCache>
                <c:formatCode>0.00</c:formatCode>
                <c:ptCount val="101"/>
                <c:pt idx="0">
                  <c:v>0</c:v>
                </c:pt>
                <c:pt idx="1">
                  <c:v>0.27</c:v>
                </c:pt>
                <c:pt idx="2">
                  <c:v>0.54</c:v>
                </c:pt>
                <c:pt idx="3">
                  <c:v>0.80999999999999994</c:v>
                </c:pt>
                <c:pt idx="4">
                  <c:v>1.08</c:v>
                </c:pt>
                <c:pt idx="5">
                  <c:v>1.35</c:v>
                </c:pt>
                <c:pt idx="6">
                  <c:v>1.62</c:v>
                </c:pt>
                <c:pt idx="7">
                  <c:v>1.8900000000000001</c:v>
                </c:pt>
                <c:pt idx="8">
                  <c:v>2.16</c:v>
                </c:pt>
                <c:pt idx="9">
                  <c:v>2.4299999999999997</c:v>
                </c:pt>
                <c:pt idx="10">
                  <c:v>2.6999999999999997</c:v>
                </c:pt>
                <c:pt idx="11">
                  <c:v>2.9699999999999998</c:v>
                </c:pt>
                <c:pt idx="12">
                  <c:v>3.2399999999999993</c:v>
                </c:pt>
                <c:pt idx="13">
                  <c:v>3.5099999999999993</c:v>
                </c:pt>
                <c:pt idx="14">
                  <c:v>3.78</c:v>
                </c:pt>
                <c:pt idx="15">
                  <c:v>4.05</c:v>
                </c:pt>
                <c:pt idx="16">
                  <c:v>4.32</c:v>
                </c:pt>
                <c:pt idx="17">
                  <c:v>4.5900000000000007</c:v>
                </c:pt>
                <c:pt idx="18">
                  <c:v>4.8600000000000003</c:v>
                </c:pt>
                <c:pt idx="19">
                  <c:v>5.1300000000000008</c:v>
                </c:pt>
                <c:pt idx="20">
                  <c:v>5.4000000000000012</c:v>
                </c:pt>
                <c:pt idx="21">
                  <c:v>5.6700000000000017</c:v>
                </c:pt>
                <c:pt idx="22">
                  <c:v>5.9400000000000013</c:v>
                </c:pt>
                <c:pt idx="23">
                  <c:v>6.2100000000000017</c:v>
                </c:pt>
                <c:pt idx="24">
                  <c:v>6.4800000000000022</c:v>
                </c:pt>
                <c:pt idx="25">
                  <c:v>6.7500000000000018</c:v>
                </c:pt>
                <c:pt idx="26">
                  <c:v>7.0200000000000014</c:v>
                </c:pt>
                <c:pt idx="27">
                  <c:v>7.2900000000000018</c:v>
                </c:pt>
                <c:pt idx="28">
                  <c:v>7.5600000000000023</c:v>
                </c:pt>
                <c:pt idx="29">
                  <c:v>7.8300000000000027</c:v>
                </c:pt>
                <c:pt idx="30">
                  <c:v>8.1000000000000032</c:v>
                </c:pt>
                <c:pt idx="31">
                  <c:v>8.3700000000000028</c:v>
                </c:pt>
                <c:pt idx="32">
                  <c:v>8.6400000000000023</c:v>
                </c:pt>
                <c:pt idx="33">
                  <c:v>8.9100000000000037</c:v>
                </c:pt>
                <c:pt idx="34">
                  <c:v>9.1800000000000033</c:v>
                </c:pt>
                <c:pt idx="35">
                  <c:v>9.4500000000000046</c:v>
                </c:pt>
                <c:pt idx="36">
                  <c:v>9.7200000000000042</c:v>
                </c:pt>
                <c:pt idx="37">
                  <c:v>9.9900000000000038</c:v>
                </c:pt>
                <c:pt idx="38">
                  <c:v>10.260000000000005</c:v>
                </c:pt>
                <c:pt idx="39">
                  <c:v>10.530000000000005</c:v>
                </c:pt>
                <c:pt idx="40">
                  <c:v>10.800000000000004</c:v>
                </c:pt>
                <c:pt idx="41">
                  <c:v>11.070000000000006</c:v>
                </c:pt>
                <c:pt idx="42">
                  <c:v>11.340000000000005</c:v>
                </c:pt>
                <c:pt idx="43">
                  <c:v>11.610000000000007</c:v>
                </c:pt>
                <c:pt idx="44">
                  <c:v>11.880000000000006</c:v>
                </c:pt>
                <c:pt idx="45">
                  <c:v>12.150000000000006</c:v>
                </c:pt>
                <c:pt idx="46">
                  <c:v>12.420000000000007</c:v>
                </c:pt>
                <c:pt idx="47">
                  <c:v>12.690000000000007</c:v>
                </c:pt>
                <c:pt idx="48">
                  <c:v>12.960000000000006</c:v>
                </c:pt>
                <c:pt idx="49">
                  <c:v>13.230000000000008</c:v>
                </c:pt>
                <c:pt idx="50">
                  <c:v>13.500000000000005</c:v>
                </c:pt>
                <c:pt idx="51">
                  <c:v>13.770000000000007</c:v>
                </c:pt>
                <c:pt idx="52">
                  <c:v>14.040000000000006</c:v>
                </c:pt>
                <c:pt idx="53">
                  <c:v>14.310000000000006</c:v>
                </c:pt>
                <c:pt idx="54">
                  <c:v>14.580000000000007</c:v>
                </c:pt>
                <c:pt idx="55">
                  <c:v>14.850000000000007</c:v>
                </c:pt>
                <c:pt idx="56">
                  <c:v>15.120000000000008</c:v>
                </c:pt>
                <c:pt idx="57">
                  <c:v>15.390000000000008</c:v>
                </c:pt>
                <c:pt idx="58">
                  <c:v>15.660000000000007</c:v>
                </c:pt>
                <c:pt idx="59">
                  <c:v>15.930000000000009</c:v>
                </c:pt>
                <c:pt idx="60">
                  <c:v>16.20000000000001</c:v>
                </c:pt>
                <c:pt idx="61">
                  <c:v>16.47000000000001</c:v>
                </c:pt>
                <c:pt idx="62">
                  <c:v>16.740000000000009</c:v>
                </c:pt>
                <c:pt idx="63">
                  <c:v>17.010000000000009</c:v>
                </c:pt>
                <c:pt idx="64">
                  <c:v>17.280000000000008</c:v>
                </c:pt>
                <c:pt idx="65">
                  <c:v>17.550000000000011</c:v>
                </c:pt>
                <c:pt idx="66">
                  <c:v>17.820000000000011</c:v>
                </c:pt>
                <c:pt idx="67">
                  <c:v>18.090000000000011</c:v>
                </c:pt>
                <c:pt idx="68">
                  <c:v>18.36000000000001</c:v>
                </c:pt>
                <c:pt idx="69">
                  <c:v>18.63000000000001</c:v>
                </c:pt>
                <c:pt idx="70">
                  <c:v>18.900000000000009</c:v>
                </c:pt>
                <c:pt idx="71">
                  <c:v>19.170000000000012</c:v>
                </c:pt>
                <c:pt idx="72">
                  <c:v>19.440000000000012</c:v>
                </c:pt>
                <c:pt idx="73">
                  <c:v>19.710000000000012</c:v>
                </c:pt>
                <c:pt idx="74">
                  <c:v>19.980000000000011</c:v>
                </c:pt>
                <c:pt idx="75">
                  <c:v>20.250000000000011</c:v>
                </c:pt>
                <c:pt idx="76">
                  <c:v>20.520000000000014</c:v>
                </c:pt>
                <c:pt idx="77">
                  <c:v>20.790000000000013</c:v>
                </c:pt>
                <c:pt idx="78">
                  <c:v>21.060000000000013</c:v>
                </c:pt>
                <c:pt idx="79">
                  <c:v>21.330000000000013</c:v>
                </c:pt>
                <c:pt idx="80">
                  <c:v>21.600000000000012</c:v>
                </c:pt>
                <c:pt idx="81">
                  <c:v>21.870000000000012</c:v>
                </c:pt>
                <c:pt idx="82">
                  <c:v>22.140000000000015</c:v>
                </c:pt>
                <c:pt idx="83">
                  <c:v>22.410000000000014</c:v>
                </c:pt>
                <c:pt idx="84">
                  <c:v>22.680000000000014</c:v>
                </c:pt>
                <c:pt idx="85">
                  <c:v>22.950000000000014</c:v>
                </c:pt>
                <c:pt idx="86">
                  <c:v>23.220000000000013</c:v>
                </c:pt>
                <c:pt idx="87">
                  <c:v>23.490000000000016</c:v>
                </c:pt>
                <c:pt idx="88">
                  <c:v>23.760000000000016</c:v>
                </c:pt>
                <c:pt idx="89">
                  <c:v>24.030000000000015</c:v>
                </c:pt>
                <c:pt idx="90">
                  <c:v>24.300000000000015</c:v>
                </c:pt>
                <c:pt idx="91">
                  <c:v>24.570000000000014</c:v>
                </c:pt>
                <c:pt idx="92">
                  <c:v>24.840000000000018</c:v>
                </c:pt>
                <c:pt idx="93">
                  <c:v>25.110000000000017</c:v>
                </c:pt>
                <c:pt idx="94">
                  <c:v>25.380000000000017</c:v>
                </c:pt>
                <c:pt idx="95">
                  <c:v>25.650000000000016</c:v>
                </c:pt>
                <c:pt idx="96">
                  <c:v>25.920000000000016</c:v>
                </c:pt>
                <c:pt idx="97">
                  <c:v>26.190000000000019</c:v>
                </c:pt>
                <c:pt idx="98">
                  <c:v>26.460000000000019</c:v>
                </c:pt>
                <c:pt idx="99">
                  <c:v>26.730000000000018</c:v>
                </c:pt>
                <c:pt idx="100">
                  <c:v>27.000000000000018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412288"/>
        <c:axId val="108422656"/>
      </c:scatterChart>
      <c:valAx>
        <c:axId val="108412288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87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Concentration, </a:t>
                </a:r>
                <a:r>
                  <a:rPr lang="en-US" sz="875" b="1" i="0" u="none" strike="noStrike" baseline="0">
                    <a:solidFill>
                      <a:srgbClr val="000000"/>
                    </a:solidFill>
                    <a:latin typeface="Symbol"/>
                  </a:rPr>
                  <a:t>m</a:t>
                </a:r>
                <a:r>
                  <a:rPr lang="en-US" sz="87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g/L</a:t>
                </a:r>
              </a:p>
            </c:rich>
          </c:tx>
          <c:layout>
            <c:manualLayout>
              <c:xMode val="edge"/>
              <c:yMode val="edge"/>
              <c:x val="0.3265313264413377"/>
              <c:y val="0.9097251385243511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422656"/>
        <c:crosses val="max"/>
        <c:crossBetween val="midCat"/>
      </c:valAx>
      <c:valAx>
        <c:axId val="108422656"/>
        <c:scaling>
          <c:orientation val="maxMin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Depth, cm</a:t>
                </a:r>
              </a:p>
            </c:rich>
          </c:tx>
          <c:layout>
            <c:manualLayout>
              <c:xMode val="edge"/>
              <c:yMode val="edge"/>
              <c:x val="2.2675736961451247E-2"/>
              <c:y val="0.375001093613298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41228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952571404764873"/>
          <c:y val="0.10416703120443278"/>
          <c:w val="0.14966010201105817"/>
          <c:h val="0.79514144065325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1</xdr:row>
      <xdr:rowOff>133350</xdr:rowOff>
    </xdr:from>
    <xdr:to>
      <xdr:col>9</xdr:col>
      <xdr:colOff>523875</xdr:colOff>
      <xdr:row>9</xdr:row>
      <xdr:rowOff>28575</xdr:rowOff>
    </xdr:to>
    <xdr:graphicFrame macro="">
      <xdr:nvGraphicFramePr>
        <xdr:cNvPr id="2152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219075</xdr:colOff>
          <xdr:row>12</xdr:row>
          <xdr:rowOff>57150</xdr:rowOff>
        </xdr:from>
        <xdr:to>
          <xdr:col>13</xdr:col>
          <xdr:colOff>533400</xdr:colOff>
          <xdr:row>45</xdr:row>
          <xdr:rowOff>28575</xdr:rowOff>
        </xdr:to>
        <xdr:grpSp>
          <xdr:nvGrpSpPr>
            <xdr:cNvPr id="21519" name="Group 15"/>
            <xdr:cNvGrpSpPr>
              <a:grpSpLocks/>
            </xdr:cNvGrpSpPr>
          </xdr:nvGrpSpPr>
          <xdr:grpSpPr bwMode="auto">
            <a:xfrm>
              <a:off x="5962650" y="3952875"/>
              <a:ext cx="6219825" cy="5419725"/>
              <a:chOff x="535" y="350"/>
              <a:chExt cx="653" cy="491"/>
            </a:xfrm>
          </xdr:grpSpPr>
          <xdr:sp macro="" textlink="">
            <xdr:nvSpPr>
              <xdr:cNvPr id="21513" name="Object 9" hidden="1">
                <a:extLst>
                  <a:ext uri="{63B3BB69-23CF-44E3-9099-C40C66FF867C}">
                    <a14:compatExt spid="_x0000_s21513"/>
                  </a:ext>
                </a:extLst>
              </xdr:cNvPr>
              <xdr:cNvSpPr/>
            </xdr:nvSpPr>
            <xdr:spPr>
              <a:xfrm>
                <a:off x="537" y="645"/>
                <a:ext cx="509" cy="104"/>
              </a:xfrm>
              <a:prstGeom prst="rect">
                <a:avLst/>
              </a:prstGeom>
            </xdr:spPr>
          </xdr:sp>
          <xdr:sp macro="" textlink="">
            <xdr:nvSpPr>
              <xdr:cNvPr id="21516" name="Object 12" hidden="1">
                <a:extLst>
                  <a:ext uri="{63B3BB69-23CF-44E3-9099-C40C66FF867C}">
                    <a14:compatExt spid="_x0000_s21516"/>
                  </a:ext>
                </a:extLst>
              </xdr:cNvPr>
              <xdr:cNvSpPr/>
            </xdr:nvSpPr>
            <xdr:spPr>
              <a:xfrm>
                <a:off x="536" y="756"/>
                <a:ext cx="637" cy="85"/>
              </a:xfrm>
              <a:prstGeom prst="rect">
                <a:avLst/>
              </a:prstGeom>
            </xdr:spPr>
          </xdr:sp>
          <xdr:sp macro="" textlink="">
            <xdr:nvSpPr>
              <xdr:cNvPr id="21517" name="Object 13" hidden="1">
                <a:extLst>
                  <a:ext uri="{63B3BB69-23CF-44E3-9099-C40C66FF867C}">
                    <a14:compatExt spid="_x0000_s21517"/>
                  </a:ext>
                </a:extLst>
              </xdr:cNvPr>
              <xdr:cNvSpPr/>
            </xdr:nvSpPr>
            <xdr:spPr>
              <a:xfrm>
                <a:off x="537" y="350"/>
                <a:ext cx="644" cy="145"/>
              </a:xfrm>
              <a:prstGeom prst="rect">
                <a:avLst/>
              </a:prstGeom>
            </xdr:spPr>
          </xdr:sp>
          <xdr:sp macro="" textlink="">
            <xdr:nvSpPr>
              <xdr:cNvPr id="21518" name="Object 14" hidden="1">
                <a:extLst>
                  <a:ext uri="{63B3BB69-23CF-44E3-9099-C40C66FF867C}">
                    <a14:compatExt spid="_x0000_s21518"/>
                  </a:ext>
                </a:extLst>
              </xdr:cNvPr>
              <xdr:cNvSpPr/>
            </xdr:nvSpPr>
            <xdr:spPr>
              <a:xfrm>
                <a:off x="535" y="496"/>
                <a:ext cx="653" cy="151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0.43518</cdr:x>
      <cdr:y>0.12995</cdr:y>
    </cdr:from>
    <cdr:to>
      <cdr:x>0.68629</cdr:x>
      <cdr:y>0.22499</cdr:y>
    </cdr:to>
    <cdr:sp macro="" textlink="">
      <cdr:nvSpPr>
        <cdr:cNvPr id="266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33165" y="354003"/>
          <a:ext cx="942374" cy="258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Cap-Water Interface</a:t>
          </a:r>
        </a:p>
      </cdr:txBody>
    </cdr:sp>
  </cdr:relSizeAnchor>
  <cdr:relSizeAnchor xmlns:cdr="http://schemas.openxmlformats.org/drawingml/2006/chartDrawing">
    <cdr:from>
      <cdr:x>0.45583</cdr:x>
      <cdr:y>0.58429</cdr:y>
    </cdr:from>
    <cdr:to>
      <cdr:x>0.66894</cdr:x>
      <cdr:y>0.63605</cdr:y>
    </cdr:to>
    <cdr:sp macro="" textlink="">
      <cdr:nvSpPr>
        <cdr:cNvPr id="266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0672" y="1775352"/>
          <a:ext cx="799771" cy="15727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Active Cap Layer</a:t>
          </a:r>
        </a:p>
      </cdr:txBody>
    </cdr:sp>
  </cdr:relSizeAnchor>
  <cdr:relSizeAnchor xmlns:cdr="http://schemas.openxmlformats.org/drawingml/2006/chartDrawing">
    <cdr:from>
      <cdr:x>0.42211</cdr:x>
      <cdr:y>0.2532</cdr:y>
    </cdr:from>
    <cdr:to>
      <cdr:x>0.70515</cdr:x>
      <cdr:y>0.30496</cdr:y>
    </cdr:to>
    <cdr:sp macro="" textlink="">
      <cdr:nvSpPr>
        <cdr:cNvPr id="266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84107" y="769337"/>
          <a:ext cx="1062214" cy="157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Conventioal Cap Layer</a:t>
          </a:r>
        </a:p>
      </cdr:txBody>
    </cdr:sp>
  </cdr:relSizeAnchor>
  <cdr:relSizeAnchor xmlns:cdr="http://schemas.openxmlformats.org/drawingml/2006/chartDrawing">
    <cdr:from>
      <cdr:x>0.43518</cdr:x>
      <cdr:y>0.63786</cdr:y>
    </cdr:from>
    <cdr:to>
      <cdr:x>0.69387</cdr:x>
      <cdr:y>0.7329</cdr:y>
    </cdr:to>
    <cdr:sp macro="" textlink="">
      <cdr:nvSpPr>
        <cdr:cNvPr id="266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33165" y="1737626"/>
          <a:ext cx="970843" cy="258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Underlying Sediment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17</xdr:row>
      <xdr:rowOff>38100</xdr:rowOff>
    </xdr:from>
    <xdr:to>
      <xdr:col>11</xdr:col>
      <xdr:colOff>419100</xdr:colOff>
      <xdr:row>34</xdr:row>
      <xdr:rowOff>28575</xdr:rowOff>
    </xdr:to>
    <xdr:graphicFrame macro="">
      <xdr:nvGraphicFramePr>
        <xdr:cNvPr id="3379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6</xdr:row>
          <xdr:rowOff>9525</xdr:rowOff>
        </xdr:from>
        <xdr:to>
          <xdr:col>10</xdr:col>
          <xdr:colOff>581025</xdr:colOff>
          <xdr:row>13</xdr:row>
          <xdr:rowOff>123825</xdr:rowOff>
        </xdr:to>
        <xdr:sp macro="" textlink="">
          <xdr:nvSpPr>
            <xdr:cNvPr id="33796" name="Object 4" hidden="1">
              <a:extLst>
                <a:ext uri="{63B3BB69-23CF-44E3-9099-C40C66FF867C}">
                  <a14:compatExt spid="_x0000_s337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0.33678</cdr:x>
      <cdr:y>0.72011</cdr:y>
    </cdr:from>
    <cdr:to>
      <cdr:x>0.58845</cdr:x>
      <cdr:y>0.79107</cdr:y>
    </cdr:to>
    <cdr:sp macro="" textlink="">
      <cdr:nvSpPr>
        <cdr:cNvPr id="40961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1028" y="1985442"/>
          <a:ext cx="1059561" cy="195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Underlying Sediment</a:t>
          </a:r>
        </a:p>
      </cdr:txBody>
    </cdr:sp>
  </cdr:relSizeAnchor>
  <cdr:relSizeAnchor xmlns:cdr="http://schemas.openxmlformats.org/drawingml/2006/chartDrawing">
    <cdr:from>
      <cdr:x>0.33678</cdr:x>
      <cdr:y>0.15946</cdr:y>
    </cdr:from>
    <cdr:to>
      <cdr:x>0.58796</cdr:x>
      <cdr:y>0.23572</cdr:y>
    </cdr:to>
    <cdr:sp macro="" textlink="">
      <cdr:nvSpPr>
        <cdr:cNvPr id="40962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1028" y="442113"/>
          <a:ext cx="1057504" cy="2099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Conventional</a:t>
          </a:r>
          <a:r>
            <a:rPr lang="en-US" sz="800" b="0" i="0" strike="noStrike" baseline="0">
              <a:solidFill>
                <a:srgbClr val="000000"/>
              </a:solidFill>
              <a:latin typeface="Arial"/>
              <a:cs typeface="Arial"/>
            </a:rPr>
            <a:t> cap </a:t>
          </a: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Layer</a:t>
          </a:r>
        </a:p>
      </cdr:txBody>
    </cdr:sp>
  </cdr:relSizeAnchor>
  <cdr:relSizeAnchor xmlns:cdr="http://schemas.openxmlformats.org/drawingml/2006/chartDrawing">
    <cdr:from>
      <cdr:x>0.33678</cdr:x>
      <cdr:y>0.41504</cdr:y>
    </cdr:from>
    <cdr:to>
      <cdr:x>0.58796</cdr:x>
      <cdr:y>0.47031</cdr:y>
    </cdr:to>
    <cdr:sp macro="" textlink="">
      <cdr:nvSpPr>
        <cdr:cNvPr id="40963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1028" y="1145680"/>
          <a:ext cx="1057504" cy="15214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Active Layer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5.emf"/><Relationship Id="rId4" Type="http://schemas.openxmlformats.org/officeDocument/2006/relationships/oleObject" Target="../embeddings/oleObject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W86"/>
  <sheetViews>
    <sheetView tabSelected="1" zoomScaleNormal="100" workbookViewId="0">
      <selection activeCell="H55" sqref="H55"/>
    </sheetView>
  </sheetViews>
  <sheetFormatPr defaultRowHeight="12.75" x14ac:dyDescent="0.2"/>
  <cols>
    <col min="1" max="1" width="54.5703125" customWidth="1"/>
    <col min="2" max="2" width="12.42578125" bestFit="1" customWidth="1"/>
    <col min="3" max="4" width="9.5703125" customWidth="1"/>
    <col min="5" max="5" width="12" bestFit="1" customWidth="1"/>
    <col min="6" max="15" width="9.5703125" customWidth="1"/>
    <col min="16" max="16" width="9.28515625" customWidth="1"/>
    <col min="17" max="114" width="0.28515625" customWidth="1"/>
    <col min="115" max="115" width="5.5703125" bestFit="1" customWidth="1"/>
  </cols>
  <sheetData>
    <row r="1" spans="1:127" x14ac:dyDescent="0.2">
      <c r="A1" s="2" t="s">
        <v>8</v>
      </c>
    </row>
    <row r="2" spans="1:127" x14ac:dyDescent="0.2">
      <c r="A2" t="s">
        <v>68</v>
      </c>
    </row>
    <row r="3" spans="1:127" x14ac:dyDescent="0.2">
      <c r="A3" s="26" t="s">
        <v>160</v>
      </c>
    </row>
    <row r="4" spans="1:127" x14ac:dyDescent="0.2">
      <c r="A4" s="45">
        <v>41066</v>
      </c>
    </row>
    <row r="6" spans="1:127" ht="158.25" customHeight="1" x14ac:dyDescent="0.2">
      <c r="A6" s="78" t="s">
        <v>117</v>
      </c>
      <c r="B6" s="78"/>
      <c r="C6" s="78"/>
      <c r="D6" s="78"/>
    </row>
    <row r="8" spans="1:127" x14ac:dyDescent="0.2">
      <c r="A8" s="2" t="s">
        <v>30</v>
      </c>
    </row>
    <row r="9" spans="1:127" x14ac:dyDescent="0.2">
      <c r="A9" s="33" t="s">
        <v>27</v>
      </c>
      <c r="B9" s="52" t="s">
        <v>159</v>
      </c>
    </row>
    <row r="10" spans="1:127" ht="15.75" x14ac:dyDescent="0.3">
      <c r="A10" s="50" t="s">
        <v>71</v>
      </c>
      <c r="B10" s="53">
        <v>5.18</v>
      </c>
    </row>
    <row r="11" spans="1:127" ht="15.75" x14ac:dyDescent="0.3">
      <c r="A11" s="4" t="s">
        <v>16</v>
      </c>
      <c r="B11" s="54">
        <v>6.0000000000000002E-6</v>
      </c>
      <c r="C11" s="4" t="s">
        <v>81</v>
      </c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</row>
    <row r="12" spans="1:127" ht="15" x14ac:dyDescent="0.25">
      <c r="A12" s="26" t="s">
        <v>101</v>
      </c>
      <c r="B12" s="55">
        <v>0</v>
      </c>
      <c r="C12" s="4" t="s">
        <v>82</v>
      </c>
      <c r="E12" s="40" t="s">
        <v>43</v>
      </c>
      <c r="F12" s="40"/>
      <c r="G12" s="40"/>
      <c r="H12" s="40"/>
      <c r="I12" s="40"/>
      <c r="J12" s="40"/>
      <c r="K12" s="40"/>
    </row>
    <row r="13" spans="1:127" ht="15" x14ac:dyDescent="0.25">
      <c r="A13" s="26" t="s">
        <v>102</v>
      </c>
      <c r="B13" s="55">
        <v>0</v>
      </c>
      <c r="C13" s="4" t="s">
        <v>82</v>
      </c>
      <c r="D13" s="19"/>
    </row>
    <row r="14" spans="1:127" x14ac:dyDescent="0.2">
      <c r="C14" s="4"/>
    </row>
    <row r="15" spans="1:127" x14ac:dyDescent="0.2">
      <c r="A15" s="2" t="s">
        <v>96</v>
      </c>
      <c r="C15" s="4"/>
      <c r="O15" s="75" t="s">
        <v>33</v>
      </c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7"/>
    </row>
    <row r="16" spans="1:127" ht="15.75" x14ac:dyDescent="0.3">
      <c r="A16" s="27" t="s">
        <v>13</v>
      </c>
      <c r="B16" s="53">
        <v>1</v>
      </c>
      <c r="C16" s="4" t="s">
        <v>4</v>
      </c>
      <c r="O16" s="8">
        <v>0</v>
      </c>
      <c r="P16" s="9">
        <f>O16+0.01</f>
        <v>0.01</v>
      </c>
      <c r="Q16" s="9">
        <f t="shared" ref="Q16:CB16" si="0">P16+0.01</f>
        <v>0.02</v>
      </c>
      <c r="R16" s="9">
        <f t="shared" si="0"/>
        <v>0.03</v>
      </c>
      <c r="S16" s="9">
        <f t="shared" si="0"/>
        <v>0.04</v>
      </c>
      <c r="T16" s="9">
        <f t="shared" si="0"/>
        <v>0.05</v>
      </c>
      <c r="U16" s="9">
        <f t="shared" si="0"/>
        <v>6.0000000000000005E-2</v>
      </c>
      <c r="V16" s="9">
        <f t="shared" si="0"/>
        <v>7.0000000000000007E-2</v>
      </c>
      <c r="W16" s="9">
        <f t="shared" si="0"/>
        <v>0.08</v>
      </c>
      <c r="X16" s="9">
        <f t="shared" si="0"/>
        <v>0.09</v>
      </c>
      <c r="Y16" s="9">
        <f t="shared" si="0"/>
        <v>9.9999999999999992E-2</v>
      </c>
      <c r="Z16" s="9">
        <f t="shared" si="0"/>
        <v>0.10999999999999999</v>
      </c>
      <c r="AA16" s="9">
        <f t="shared" si="0"/>
        <v>0.11999999999999998</v>
      </c>
      <c r="AB16" s="9">
        <f t="shared" si="0"/>
        <v>0.12999999999999998</v>
      </c>
      <c r="AC16" s="9">
        <f t="shared" si="0"/>
        <v>0.13999999999999999</v>
      </c>
      <c r="AD16" s="9">
        <f t="shared" si="0"/>
        <v>0.15</v>
      </c>
      <c r="AE16" s="9">
        <f t="shared" si="0"/>
        <v>0.16</v>
      </c>
      <c r="AF16" s="9">
        <f t="shared" si="0"/>
        <v>0.17</v>
      </c>
      <c r="AG16" s="9">
        <f t="shared" si="0"/>
        <v>0.18000000000000002</v>
      </c>
      <c r="AH16" s="9">
        <f t="shared" si="0"/>
        <v>0.19000000000000003</v>
      </c>
      <c r="AI16" s="9">
        <f t="shared" si="0"/>
        <v>0.20000000000000004</v>
      </c>
      <c r="AJ16" s="9">
        <f t="shared" si="0"/>
        <v>0.21000000000000005</v>
      </c>
      <c r="AK16" s="9">
        <f t="shared" si="0"/>
        <v>0.22000000000000006</v>
      </c>
      <c r="AL16" s="9">
        <f t="shared" si="0"/>
        <v>0.23000000000000007</v>
      </c>
      <c r="AM16" s="9">
        <f t="shared" si="0"/>
        <v>0.24000000000000007</v>
      </c>
      <c r="AN16" s="9">
        <f t="shared" si="0"/>
        <v>0.25000000000000006</v>
      </c>
      <c r="AO16" s="9">
        <f t="shared" si="0"/>
        <v>0.26000000000000006</v>
      </c>
      <c r="AP16" s="9">
        <f t="shared" si="0"/>
        <v>0.27000000000000007</v>
      </c>
      <c r="AQ16" s="9">
        <f t="shared" si="0"/>
        <v>0.28000000000000008</v>
      </c>
      <c r="AR16" s="9">
        <f t="shared" si="0"/>
        <v>0.29000000000000009</v>
      </c>
      <c r="AS16" s="9">
        <f t="shared" si="0"/>
        <v>0.3000000000000001</v>
      </c>
      <c r="AT16" s="9">
        <f t="shared" si="0"/>
        <v>0.31000000000000011</v>
      </c>
      <c r="AU16" s="9">
        <f t="shared" si="0"/>
        <v>0.32000000000000012</v>
      </c>
      <c r="AV16" s="9">
        <f t="shared" si="0"/>
        <v>0.33000000000000013</v>
      </c>
      <c r="AW16" s="9">
        <f t="shared" si="0"/>
        <v>0.34000000000000014</v>
      </c>
      <c r="AX16" s="9">
        <f t="shared" si="0"/>
        <v>0.35000000000000014</v>
      </c>
      <c r="AY16" s="9">
        <f t="shared" si="0"/>
        <v>0.36000000000000015</v>
      </c>
      <c r="AZ16" s="9">
        <f t="shared" si="0"/>
        <v>0.37000000000000016</v>
      </c>
      <c r="BA16" s="9">
        <f t="shared" si="0"/>
        <v>0.38000000000000017</v>
      </c>
      <c r="BB16" s="9">
        <f t="shared" si="0"/>
        <v>0.39000000000000018</v>
      </c>
      <c r="BC16" s="9">
        <f t="shared" si="0"/>
        <v>0.40000000000000019</v>
      </c>
      <c r="BD16" s="9">
        <f t="shared" si="0"/>
        <v>0.4100000000000002</v>
      </c>
      <c r="BE16" s="9">
        <f t="shared" si="0"/>
        <v>0.42000000000000021</v>
      </c>
      <c r="BF16" s="9">
        <f t="shared" si="0"/>
        <v>0.43000000000000022</v>
      </c>
      <c r="BG16" s="9">
        <f t="shared" si="0"/>
        <v>0.44000000000000022</v>
      </c>
      <c r="BH16" s="9">
        <f t="shared" si="0"/>
        <v>0.45000000000000023</v>
      </c>
      <c r="BI16" s="9">
        <f t="shared" si="0"/>
        <v>0.46000000000000024</v>
      </c>
      <c r="BJ16" s="9">
        <f t="shared" si="0"/>
        <v>0.47000000000000025</v>
      </c>
      <c r="BK16" s="9">
        <f t="shared" si="0"/>
        <v>0.48000000000000026</v>
      </c>
      <c r="BL16" s="9">
        <f t="shared" si="0"/>
        <v>0.49000000000000027</v>
      </c>
      <c r="BM16" s="9">
        <f t="shared" si="0"/>
        <v>0.50000000000000022</v>
      </c>
      <c r="BN16" s="9">
        <f t="shared" si="0"/>
        <v>0.51000000000000023</v>
      </c>
      <c r="BO16" s="9">
        <f t="shared" si="0"/>
        <v>0.52000000000000024</v>
      </c>
      <c r="BP16" s="9">
        <f t="shared" si="0"/>
        <v>0.53000000000000025</v>
      </c>
      <c r="BQ16" s="9">
        <f t="shared" si="0"/>
        <v>0.54000000000000026</v>
      </c>
      <c r="BR16" s="9">
        <f t="shared" si="0"/>
        <v>0.55000000000000027</v>
      </c>
      <c r="BS16" s="9">
        <f t="shared" si="0"/>
        <v>0.56000000000000028</v>
      </c>
      <c r="BT16" s="9">
        <f t="shared" si="0"/>
        <v>0.57000000000000028</v>
      </c>
      <c r="BU16" s="9">
        <f t="shared" si="0"/>
        <v>0.58000000000000029</v>
      </c>
      <c r="BV16" s="9">
        <f t="shared" si="0"/>
        <v>0.5900000000000003</v>
      </c>
      <c r="BW16" s="9">
        <f t="shared" si="0"/>
        <v>0.60000000000000031</v>
      </c>
      <c r="BX16" s="9">
        <f t="shared" si="0"/>
        <v>0.61000000000000032</v>
      </c>
      <c r="BY16" s="9">
        <f t="shared" si="0"/>
        <v>0.62000000000000033</v>
      </c>
      <c r="BZ16" s="9">
        <f t="shared" si="0"/>
        <v>0.63000000000000034</v>
      </c>
      <c r="CA16" s="9">
        <f t="shared" si="0"/>
        <v>0.64000000000000035</v>
      </c>
      <c r="CB16" s="9">
        <f t="shared" si="0"/>
        <v>0.65000000000000036</v>
      </c>
      <c r="CC16" s="9">
        <f t="shared" ref="CC16:DK16" si="1">CB16+0.01</f>
        <v>0.66000000000000036</v>
      </c>
      <c r="CD16" s="9">
        <f t="shared" si="1"/>
        <v>0.67000000000000037</v>
      </c>
      <c r="CE16" s="9">
        <f t="shared" si="1"/>
        <v>0.68000000000000038</v>
      </c>
      <c r="CF16" s="9">
        <f t="shared" si="1"/>
        <v>0.69000000000000039</v>
      </c>
      <c r="CG16" s="9">
        <f t="shared" si="1"/>
        <v>0.7000000000000004</v>
      </c>
      <c r="CH16" s="9">
        <f t="shared" si="1"/>
        <v>0.71000000000000041</v>
      </c>
      <c r="CI16" s="9">
        <f t="shared" si="1"/>
        <v>0.72000000000000042</v>
      </c>
      <c r="CJ16" s="9">
        <f t="shared" si="1"/>
        <v>0.73000000000000043</v>
      </c>
      <c r="CK16" s="9">
        <f t="shared" si="1"/>
        <v>0.74000000000000044</v>
      </c>
      <c r="CL16" s="9">
        <f t="shared" si="1"/>
        <v>0.75000000000000044</v>
      </c>
      <c r="CM16" s="9">
        <f t="shared" si="1"/>
        <v>0.76000000000000045</v>
      </c>
      <c r="CN16" s="9">
        <f t="shared" si="1"/>
        <v>0.77000000000000046</v>
      </c>
      <c r="CO16" s="9">
        <f t="shared" si="1"/>
        <v>0.78000000000000047</v>
      </c>
      <c r="CP16" s="9">
        <f t="shared" si="1"/>
        <v>0.79000000000000048</v>
      </c>
      <c r="CQ16" s="9">
        <f t="shared" si="1"/>
        <v>0.80000000000000049</v>
      </c>
      <c r="CR16" s="9">
        <f t="shared" si="1"/>
        <v>0.8100000000000005</v>
      </c>
      <c r="CS16" s="9">
        <f t="shared" si="1"/>
        <v>0.82000000000000051</v>
      </c>
      <c r="CT16" s="9">
        <f t="shared" si="1"/>
        <v>0.83000000000000052</v>
      </c>
      <c r="CU16" s="9">
        <f t="shared" si="1"/>
        <v>0.84000000000000052</v>
      </c>
      <c r="CV16" s="9">
        <f t="shared" si="1"/>
        <v>0.85000000000000053</v>
      </c>
      <c r="CW16" s="9">
        <f t="shared" si="1"/>
        <v>0.86000000000000054</v>
      </c>
      <c r="CX16" s="9">
        <f t="shared" si="1"/>
        <v>0.87000000000000055</v>
      </c>
      <c r="CY16" s="9">
        <f t="shared" si="1"/>
        <v>0.88000000000000056</v>
      </c>
      <c r="CZ16" s="9">
        <f t="shared" si="1"/>
        <v>0.89000000000000057</v>
      </c>
      <c r="DA16" s="9">
        <f t="shared" si="1"/>
        <v>0.90000000000000058</v>
      </c>
      <c r="DB16" s="9">
        <f t="shared" si="1"/>
        <v>0.91000000000000059</v>
      </c>
      <c r="DC16" s="9">
        <f t="shared" si="1"/>
        <v>0.9200000000000006</v>
      </c>
      <c r="DD16" s="9">
        <f t="shared" si="1"/>
        <v>0.9300000000000006</v>
      </c>
      <c r="DE16" s="9">
        <f t="shared" si="1"/>
        <v>0.94000000000000061</v>
      </c>
      <c r="DF16" s="9">
        <f t="shared" si="1"/>
        <v>0.95000000000000062</v>
      </c>
      <c r="DG16" s="9">
        <f t="shared" si="1"/>
        <v>0.96000000000000063</v>
      </c>
      <c r="DH16" s="9">
        <f t="shared" si="1"/>
        <v>0.97000000000000064</v>
      </c>
      <c r="DI16" s="9">
        <f t="shared" si="1"/>
        <v>0.98000000000000065</v>
      </c>
      <c r="DJ16" s="9">
        <f t="shared" si="1"/>
        <v>0.99000000000000066</v>
      </c>
      <c r="DK16" s="10">
        <f t="shared" si="1"/>
        <v>1.0000000000000007</v>
      </c>
    </row>
    <row r="17" spans="1:115" ht="15.75" x14ac:dyDescent="0.3">
      <c r="A17" s="26" t="s">
        <v>100</v>
      </c>
      <c r="B17" s="53">
        <v>1E-4</v>
      </c>
      <c r="C17" s="4"/>
      <c r="O17" s="12">
        <f t="shared" ref="O17:AT17" si="2">O16*hcap</f>
        <v>0</v>
      </c>
      <c r="P17" s="13">
        <f t="shared" si="2"/>
        <v>0.27</v>
      </c>
      <c r="Q17" s="13">
        <f t="shared" si="2"/>
        <v>0.54</v>
      </c>
      <c r="R17" s="13">
        <f t="shared" si="2"/>
        <v>0.80999999999999994</v>
      </c>
      <c r="S17" s="13">
        <f t="shared" si="2"/>
        <v>1.08</v>
      </c>
      <c r="T17" s="13">
        <f t="shared" si="2"/>
        <v>1.35</v>
      </c>
      <c r="U17" s="13">
        <f t="shared" si="2"/>
        <v>1.62</v>
      </c>
      <c r="V17" s="13">
        <f t="shared" si="2"/>
        <v>1.8900000000000001</v>
      </c>
      <c r="W17" s="13">
        <f t="shared" si="2"/>
        <v>2.16</v>
      </c>
      <c r="X17" s="13">
        <f t="shared" si="2"/>
        <v>2.4299999999999997</v>
      </c>
      <c r="Y17" s="13">
        <f t="shared" si="2"/>
        <v>2.6999999999999997</v>
      </c>
      <c r="Z17" s="13">
        <f t="shared" si="2"/>
        <v>2.9699999999999998</v>
      </c>
      <c r="AA17" s="13">
        <f t="shared" si="2"/>
        <v>3.2399999999999993</v>
      </c>
      <c r="AB17" s="13">
        <f t="shared" si="2"/>
        <v>3.5099999999999993</v>
      </c>
      <c r="AC17" s="13">
        <f t="shared" si="2"/>
        <v>3.78</v>
      </c>
      <c r="AD17" s="13">
        <f t="shared" si="2"/>
        <v>4.05</v>
      </c>
      <c r="AE17" s="13">
        <f t="shared" si="2"/>
        <v>4.32</v>
      </c>
      <c r="AF17" s="13">
        <f t="shared" si="2"/>
        <v>4.5900000000000007</v>
      </c>
      <c r="AG17" s="13">
        <f t="shared" si="2"/>
        <v>4.8600000000000003</v>
      </c>
      <c r="AH17" s="13">
        <f t="shared" si="2"/>
        <v>5.1300000000000008</v>
      </c>
      <c r="AI17" s="13">
        <f t="shared" si="2"/>
        <v>5.4000000000000012</v>
      </c>
      <c r="AJ17" s="13">
        <f t="shared" si="2"/>
        <v>5.6700000000000017</v>
      </c>
      <c r="AK17" s="13">
        <f t="shared" si="2"/>
        <v>5.9400000000000013</v>
      </c>
      <c r="AL17" s="13">
        <f t="shared" si="2"/>
        <v>6.2100000000000017</v>
      </c>
      <c r="AM17" s="13">
        <f t="shared" si="2"/>
        <v>6.4800000000000022</v>
      </c>
      <c r="AN17" s="13">
        <f t="shared" si="2"/>
        <v>6.7500000000000018</v>
      </c>
      <c r="AO17" s="13">
        <f t="shared" si="2"/>
        <v>7.0200000000000014</v>
      </c>
      <c r="AP17" s="13">
        <f t="shared" si="2"/>
        <v>7.2900000000000018</v>
      </c>
      <c r="AQ17" s="13">
        <f t="shared" si="2"/>
        <v>7.5600000000000023</v>
      </c>
      <c r="AR17" s="13">
        <f t="shared" si="2"/>
        <v>7.8300000000000027</v>
      </c>
      <c r="AS17" s="13">
        <f t="shared" si="2"/>
        <v>8.1000000000000032</v>
      </c>
      <c r="AT17" s="13">
        <f t="shared" si="2"/>
        <v>8.3700000000000028</v>
      </c>
      <c r="AU17" s="13">
        <f t="shared" ref="AU17:BZ17" si="3">AU16*hcap</f>
        <v>8.6400000000000023</v>
      </c>
      <c r="AV17" s="13">
        <f t="shared" si="3"/>
        <v>8.9100000000000037</v>
      </c>
      <c r="AW17" s="13">
        <f t="shared" si="3"/>
        <v>9.1800000000000033</v>
      </c>
      <c r="AX17" s="13">
        <f t="shared" si="3"/>
        <v>9.4500000000000046</v>
      </c>
      <c r="AY17" s="13">
        <f t="shared" si="3"/>
        <v>9.7200000000000042</v>
      </c>
      <c r="AZ17" s="13">
        <f t="shared" si="3"/>
        <v>9.9900000000000038</v>
      </c>
      <c r="BA17" s="13">
        <f t="shared" si="3"/>
        <v>10.260000000000005</v>
      </c>
      <c r="BB17" s="13">
        <f t="shared" si="3"/>
        <v>10.530000000000005</v>
      </c>
      <c r="BC17" s="13">
        <f t="shared" si="3"/>
        <v>10.800000000000004</v>
      </c>
      <c r="BD17" s="13">
        <f t="shared" si="3"/>
        <v>11.070000000000006</v>
      </c>
      <c r="BE17" s="13">
        <f t="shared" si="3"/>
        <v>11.340000000000005</v>
      </c>
      <c r="BF17" s="13">
        <f t="shared" si="3"/>
        <v>11.610000000000007</v>
      </c>
      <c r="BG17" s="13">
        <f t="shared" si="3"/>
        <v>11.880000000000006</v>
      </c>
      <c r="BH17" s="13">
        <f t="shared" si="3"/>
        <v>12.150000000000006</v>
      </c>
      <c r="BI17" s="13">
        <f t="shared" si="3"/>
        <v>12.420000000000007</v>
      </c>
      <c r="BJ17" s="13">
        <f t="shared" si="3"/>
        <v>12.690000000000007</v>
      </c>
      <c r="BK17" s="13">
        <f t="shared" si="3"/>
        <v>12.960000000000006</v>
      </c>
      <c r="BL17" s="13">
        <f t="shared" si="3"/>
        <v>13.230000000000008</v>
      </c>
      <c r="BM17" s="13">
        <f t="shared" si="3"/>
        <v>13.500000000000005</v>
      </c>
      <c r="BN17" s="13">
        <f t="shared" si="3"/>
        <v>13.770000000000007</v>
      </c>
      <c r="BO17" s="13">
        <f t="shared" si="3"/>
        <v>14.040000000000006</v>
      </c>
      <c r="BP17" s="13">
        <f t="shared" si="3"/>
        <v>14.310000000000006</v>
      </c>
      <c r="BQ17" s="13">
        <f t="shared" si="3"/>
        <v>14.580000000000007</v>
      </c>
      <c r="BR17" s="13">
        <f t="shared" si="3"/>
        <v>14.850000000000007</v>
      </c>
      <c r="BS17" s="13">
        <f t="shared" si="3"/>
        <v>15.120000000000008</v>
      </c>
      <c r="BT17" s="13">
        <f t="shared" si="3"/>
        <v>15.390000000000008</v>
      </c>
      <c r="BU17" s="13">
        <f t="shared" si="3"/>
        <v>15.660000000000007</v>
      </c>
      <c r="BV17" s="13">
        <f t="shared" si="3"/>
        <v>15.930000000000009</v>
      </c>
      <c r="BW17" s="13">
        <f t="shared" si="3"/>
        <v>16.20000000000001</v>
      </c>
      <c r="BX17" s="13">
        <f t="shared" si="3"/>
        <v>16.47000000000001</v>
      </c>
      <c r="BY17" s="13">
        <f t="shared" si="3"/>
        <v>16.740000000000009</v>
      </c>
      <c r="BZ17" s="13">
        <f t="shared" si="3"/>
        <v>17.010000000000009</v>
      </c>
      <c r="CA17" s="13">
        <f t="shared" ref="CA17:DF17" si="4">CA16*hcap</f>
        <v>17.280000000000008</v>
      </c>
      <c r="CB17" s="13">
        <f t="shared" si="4"/>
        <v>17.550000000000011</v>
      </c>
      <c r="CC17" s="13">
        <f t="shared" si="4"/>
        <v>17.820000000000011</v>
      </c>
      <c r="CD17" s="13">
        <f t="shared" si="4"/>
        <v>18.090000000000011</v>
      </c>
      <c r="CE17" s="13">
        <f t="shared" si="4"/>
        <v>18.36000000000001</v>
      </c>
      <c r="CF17" s="13">
        <f t="shared" si="4"/>
        <v>18.63000000000001</v>
      </c>
      <c r="CG17" s="13">
        <f t="shared" si="4"/>
        <v>18.900000000000009</v>
      </c>
      <c r="CH17" s="13">
        <f t="shared" si="4"/>
        <v>19.170000000000012</v>
      </c>
      <c r="CI17" s="13">
        <f t="shared" si="4"/>
        <v>19.440000000000012</v>
      </c>
      <c r="CJ17" s="13">
        <f t="shared" si="4"/>
        <v>19.710000000000012</v>
      </c>
      <c r="CK17" s="13">
        <f t="shared" si="4"/>
        <v>19.980000000000011</v>
      </c>
      <c r="CL17" s="13">
        <f t="shared" si="4"/>
        <v>20.250000000000011</v>
      </c>
      <c r="CM17" s="13">
        <f t="shared" si="4"/>
        <v>20.520000000000014</v>
      </c>
      <c r="CN17" s="13">
        <f t="shared" si="4"/>
        <v>20.790000000000013</v>
      </c>
      <c r="CO17" s="13">
        <f t="shared" si="4"/>
        <v>21.060000000000013</v>
      </c>
      <c r="CP17" s="13">
        <f t="shared" si="4"/>
        <v>21.330000000000013</v>
      </c>
      <c r="CQ17" s="13">
        <f t="shared" si="4"/>
        <v>21.600000000000012</v>
      </c>
      <c r="CR17" s="13">
        <f t="shared" si="4"/>
        <v>21.870000000000012</v>
      </c>
      <c r="CS17" s="13">
        <f t="shared" si="4"/>
        <v>22.140000000000015</v>
      </c>
      <c r="CT17" s="13">
        <f t="shared" si="4"/>
        <v>22.410000000000014</v>
      </c>
      <c r="CU17" s="13">
        <f t="shared" si="4"/>
        <v>22.680000000000014</v>
      </c>
      <c r="CV17" s="13">
        <f t="shared" si="4"/>
        <v>22.950000000000014</v>
      </c>
      <c r="CW17" s="13">
        <f t="shared" si="4"/>
        <v>23.220000000000013</v>
      </c>
      <c r="CX17" s="13">
        <f t="shared" si="4"/>
        <v>23.490000000000016</v>
      </c>
      <c r="CY17" s="13">
        <f t="shared" si="4"/>
        <v>23.760000000000016</v>
      </c>
      <c r="CZ17" s="13">
        <f t="shared" si="4"/>
        <v>24.030000000000015</v>
      </c>
      <c r="DA17" s="13">
        <f t="shared" si="4"/>
        <v>24.300000000000015</v>
      </c>
      <c r="DB17" s="13">
        <f t="shared" si="4"/>
        <v>24.570000000000014</v>
      </c>
      <c r="DC17" s="13">
        <f t="shared" si="4"/>
        <v>24.840000000000018</v>
      </c>
      <c r="DD17" s="13">
        <f t="shared" si="4"/>
        <v>25.110000000000017</v>
      </c>
      <c r="DE17" s="13">
        <f t="shared" si="4"/>
        <v>25.380000000000017</v>
      </c>
      <c r="DF17" s="13">
        <f t="shared" si="4"/>
        <v>25.650000000000016</v>
      </c>
      <c r="DG17" s="13">
        <f>DG16*hcap</f>
        <v>25.920000000000016</v>
      </c>
      <c r="DH17" s="13">
        <f>DH16*hcap</f>
        <v>26.190000000000019</v>
      </c>
      <c r="DI17" s="13">
        <f>DI16*hcap</f>
        <v>26.460000000000019</v>
      </c>
      <c r="DJ17" s="13">
        <f>DJ16*hcap</f>
        <v>26.730000000000018</v>
      </c>
      <c r="DK17" s="14">
        <f>DK16*hcap</f>
        <v>27.000000000000018</v>
      </c>
    </row>
    <row r="18" spans="1:115" ht="15.75" x14ac:dyDescent="0.3">
      <c r="A18" s="27" t="s">
        <v>31</v>
      </c>
      <c r="B18" s="53">
        <v>0</v>
      </c>
      <c r="C18" s="4" t="s">
        <v>32</v>
      </c>
      <c r="O18" s="12">
        <f t="shared" ref="O18:AT18" si="5">IF(O17&lt;hbio,(Cbl*EXP(-_Pe2/2)-Cbio*EXP(-G))/2/SINH(G)*EXP((_Pe2/2+G)*(hbio-O17)/hbio)+(Cbio*EXP(G)-Cbl*EXP(-_Pe2/2))/2/SINH(G)*EXP((_Pe2/2-G)*(hbio-O17)/hbio),(Cbio*EXP(-_Pe1/2)-EXP(-B))/2/SINH(B)*EXP((_Pe1/2+B)*(hcap-O17)/(heff))+(EXP(B)-Cbio*EXP(-_Pe1/2))/2/SINH(B)*EXP((_Pe1/2-B)*(hcap-O17)/(heff)))</f>
        <v>1.5046236605992913E-2</v>
      </c>
      <c r="P18" s="13">
        <f t="shared" si="5"/>
        <v>0.13937781279579264</v>
      </c>
      <c r="Q18" s="13">
        <f t="shared" si="5"/>
        <v>0.24801491518171315</v>
      </c>
      <c r="R18" s="13">
        <f t="shared" si="5"/>
        <v>0.34293866981921395</v>
      </c>
      <c r="S18" s="13">
        <f t="shared" si="5"/>
        <v>0.42588012362782413</v>
      </c>
      <c r="T18" s="13">
        <f t="shared" si="5"/>
        <v>0.49835181208169166</v>
      </c>
      <c r="U18" s="13">
        <f t="shared" si="5"/>
        <v>0.56167534208512704</v>
      </c>
      <c r="V18" s="13">
        <f t="shared" si="5"/>
        <v>0.61700549303959606</v>
      </c>
      <c r="W18" s="13">
        <f t="shared" si="5"/>
        <v>0.66535127561362795</v>
      </c>
      <c r="X18" s="13">
        <f t="shared" si="5"/>
        <v>0.70759433224724788</v>
      </c>
      <c r="Y18" s="13">
        <f t="shared" si="5"/>
        <v>0.74450501494593979</v>
      </c>
      <c r="Z18" s="13">
        <f t="shared" si="5"/>
        <v>0.77675643356174018</v>
      </c>
      <c r="AA18" s="13">
        <f t="shared" si="5"/>
        <v>0.80493673074850292</v>
      </c>
      <c r="AB18" s="13">
        <f t="shared" si="5"/>
        <v>0.82955980743968827</v>
      </c>
      <c r="AC18" s="13">
        <f t="shared" si="5"/>
        <v>0.85107469444046124</v>
      </c>
      <c r="AD18" s="13">
        <f t="shared" si="5"/>
        <v>0.86987374103617543</v>
      </c>
      <c r="AE18" s="13">
        <f t="shared" si="5"/>
        <v>0.88629976994622639</v>
      </c>
      <c r="AF18" s="13">
        <f t="shared" si="5"/>
        <v>0.90065232910231674</v>
      </c>
      <c r="AG18" s="13">
        <f t="shared" si="5"/>
        <v>0.91319315425972614</v>
      </c>
      <c r="AH18" s="13">
        <f t="shared" si="5"/>
        <v>0.92415094205876158</v>
      </c>
      <c r="AI18" s="13">
        <f t="shared" si="5"/>
        <v>0.93372552057882396</v>
      </c>
      <c r="AJ18" s="13">
        <f t="shared" si="5"/>
        <v>0.94209149344007626</v>
      </c>
      <c r="AK18" s="13">
        <f t="shared" si="5"/>
        <v>0.94940142390722981</v>
      </c>
      <c r="AL18" s="13">
        <f t="shared" si="5"/>
        <v>0.95578861706134421</v>
      </c>
      <c r="AM18" s="13">
        <f t="shared" si="5"/>
        <v>0.96136955077584441</v>
      </c>
      <c r="AN18" s="13">
        <f t="shared" si="5"/>
        <v>0.96624599982847892</v>
      </c>
      <c r="AO18" s="13">
        <f t="shared" si="5"/>
        <v>0.97050689188491801</v>
      </c>
      <c r="AP18" s="13">
        <f t="shared" si="5"/>
        <v>0.97422992920004503</v>
      </c>
      <c r="AQ18" s="13">
        <f t="shared" si="5"/>
        <v>0.97748300561059398</v>
      </c>
      <c r="AR18" s="13">
        <f t="shared" si="5"/>
        <v>0.98032544465966276</v>
      </c>
      <c r="AS18" s="13">
        <f t="shared" si="5"/>
        <v>0.98280908143177481</v>
      </c>
      <c r="AT18" s="13">
        <f t="shared" si="5"/>
        <v>0.98497920782702952</v>
      </c>
      <c r="AU18" s="13">
        <f t="shared" ref="AU18:BZ18" si="6">IF(AU17&lt;hbio,(Cbl*EXP(-_Pe2/2)-Cbio*EXP(-G))/2/SINH(G)*EXP((_Pe2/2+G)*(hbio-AU17)/hbio)+(Cbio*EXP(G)-Cbl*EXP(-_Pe2/2))/2/SINH(G)*EXP((_Pe2/2-G)*(hbio-AU17)/hbio),(Cbio*EXP(-_Pe1/2)-EXP(-B))/2/SINH(B)*EXP((_Pe1/2+B)*(hcap-AU17)/(heff))+(EXP(B)-Cbio*EXP(-_Pe1/2))/2/SINH(B)*EXP((_Pe1/2-B)*(hcap-AU17)/(heff)))</f>
        <v>0.9868753985125357</v>
      </c>
      <c r="AV18" s="13">
        <f t="shared" si="6"/>
        <v>0.98853223261333401</v>
      </c>
      <c r="AW18" s="13">
        <f t="shared" si="6"/>
        <v>0.98997992430368931</v>
      </c>
      <c r="AX18" s="13">
        <f t="shared" si="6"/>
        <v>0.99124487379834014</v>
      </c>
      <c r="AY18" s="13">
        <f t="shared" si="6"/>
        <v>0.9923501487916776</v>
      </c>
      <c r="AZ18" s="13">
        <f t="shared" si="6"/>
        <v>0.99331590512447132</v>
      </c>
      <c r="BA18" s="13">
        <f t="shared" si="6"/>
        <v>0.99415975434949244</v>
      </c>
      <c r="BB18" s="13">
        <f t="shared" si="6"/>
        <v>0.9948970848990375</v>
      </c>
      <c r="BC18" s="13">
        <f t="shared" si="6"/>
        <v>0.99554134271121275</v>
      </c>
      <c r="BD18" s="13">
        <f t="shared" si="6"/>
        <v>0.9961042764325394</v>
      </c>
      <c r="BE18" s="13">
        <f t="shared" si="6"/>
        <v>0.9965961516684354</v>
      </c>
      <c r="BF18" s="13">
        <f t="shared" si="6"/>
        <v>0.99702593818868768</v>
      </c>
      <c r="BG18" s="13">
        <f t="shared" si="6"/>
        <v>0.9974014735018264</v>
      </c>
      <c r="BH18" s="13">
        <f t="shared" si="6"/>
        <v>0.99772960578137371</v>
      </c>
      <c r="BI18" s="13">
        <f t="shared" si="6"/>
        <v>0.99801631875039909</v>
      </c>
      <c r="BJ18" s="13">
        <f t="shared" si="6"/>
        <v>0.99826684080179362</v>
      </c>
      <c r="BK18" s="13">
        <f t="shared" si="6"/>
        <v>0.99848574034420812</v>
      </c>
      <c r="BL18" s="13">
        <f t="shared" si="6"/>
        <v>0.99867700911239343</v>
      </c>
      <c r="BM18" s="13">
        <f t="shared" si="6"/>
        <v>0.99884413496121083</v>
      </c>
      <c r="BN18" s="13">
        <f t="shared" si="6"/>
        <v>0.99899016547079689</v>
      </c>
      <c r="BO18" s="13">
        <f t="shared" si="6"/>
        <v>0.99911776352279535</v>
      </c>
      <c r="BP18" s="13">
        <f t="shared" si="6"/>
        <v>0.99922925586115763</v>
      </c>
      <c r="BQ18" s="13">
        <f t="shared" si="6"/>
        <v>0.99932667552307397</v>
      </c>
      <c r="BR18" s="13">
        <f t="shared" si="6"/>
        <v>0.99941179891381438</v>
      </c>
      <c r="BS18" s="13">
        <f t="shared" si="6"/>
        <v>0.99948617820158292</v>
      </c>
      <c r="BT18" s="13">
        <f t="shared" si="6"/>
        <v>0.99955116962314161</v>
      </c>
      <c r="BU18" s="13">
        <f t="shared" si="6"/>
        <v>0.99960795821639548</v>
      </c>
      <c r="BV18" s="13">
        <f t="shared" si="6"/>
        <v>0.99965757943096123</v>
      </c>
      <c r="BW18" s="13">
        <f t="shared" si="6"/>
        <v>0.99970093801081705</v>
      </c>
      <c r="BX18" s="13">
        <f t="shared" si="6"/>
        <v>0.99973882449338114</v>
      </c>
      <c r="BY18" s="13">
        <f t="shared" si="6"/>
        <v>0.99977192962589745</v>
      </c>
      <c r="BZ18" s="13">
        <f t="shared" si="6"/>
        <v>0.99980085696202925</v>
      </c>
      <c r="CA18" s="13">
        <f t="shared" ref="CA18:DF18" si="7">IF(CA17&lt;hbio,(Cbl*EXP(-_Pe2/2)-Cbio*EXP(-G))/2/SINH(G)*EXP((_Pe2/2+G)*(hbio-CA17)/hbio)+(Cbio*EXP(G)-Cbl*EXP(-_Pe2/2))/2/SINH(G)*EXP((_Pe2/2-G)*(hbio-CA17)/hbio),(Cbio*EXP(-_Pe1/2)-EXP(-B))/2/SINH(B)*EXP((_Pe1/2+B)*(hcap-CA17)/(heff))+(EXP(B)-Cbio*EXP(-_Pe1/2))/2/SINH(B)*EXP((_Pe1/2-B)*(hcap-CA17)/(heff)))</f>
        <v>0.99982613386837549</v>
      </c>
      <c r="CB18" s="13">
        <f t="shared" si="7"/>
        <v>0.99984822114162508</v>
      </c>
      <c r="CC18" s="13">
        <f t="shared" si="7"/>
        <v>0.99986752141173008</v>
      </c>
      <c r="CD18" s="13">
        <f t="shared" si="7"/>
        <v>0.99988438648433953</v>
      </c>
      <c r="CE18" s="13">
        <f t="shared" si="7"/>
        <v>0.999899123756393</v>
      </c>
      <c r="CF18" s="13">
        <f t="shared" si="7"/>
        <v>0.99991200182186624</v>
      </c>
      <c r="CG18" s="13">
        <f t="shared" si="7"/>
        <v>0.99992325536990179</v>
      </c>
      <c r="CH18" s="13">
        <f t="shared" si="7"/>
        <v>0.99993308946464288</v>
      </c>
      <c r="CI18" s="13">
        <f t="shared" si="7"/>
        <v>0.99994168328482136</v>
      </c>
      <c r="CJ18" s="13">
        <f t="shared" si="7"/>
        <v>0.99994919339129251</v>
      </c>
      <c r="CK18" s="13">
        <f t="shared" si="7"/>
        <v>0.99995575658210989</v>
      </c>
      <c r="CL18" s="13">
        <f t="shared" si="7"/>
        <v>0.99996149238719811</v>
      </c>
      <c r="CM18" s="13">
        <f t="shared" si="7"/>
        <v>0.99996650524812358</v>
      </c>
      <c r="CN18" s="13">
        <f t="shared" si="7"/>
        <v>0.9999708864227097</v>
      </c>
      <c r="CO18" s="13">
        <f t="shared" si="7"/>
        <v>0.99997471564923124</v>
      </c>
      <c r="CP18" s="13">
        <f t="shared" si="7"/>
        <v>0.99997806260053645</v>
      </c>
      <c r="CQ18" s="13">
        <f t="shared" si="7"/>
        <v>0.999980988154614</v>
      </c>
      <c r="CR18" s="13">
        <f t="shared" si="7"/>
        <v>0.99998354550477497</v>
      </c>
      <c r="CS18" s="13">
        <f t="shared" si="7"/>
        <v>0.99998578112969594</v>
      </c>
      <c r="CT18" s="13">
        <f t="shared" si="7"/>
        <v>0.99998773564101295</v>
      </c>
      <c r="CU18" s="13">
        <f t="shared" si="7"/>
        <v>0.99998944452392224</v>
      </c>
      <c r="CV18" s="13">
        <f t="shared" si="7"/>
        <v>0.99999093878429535</v>
      </c>
      <c r="CW18" s="13">
        <f t="shared" si="7"/>
        <v>0.99999224551410792</v>
      </c>
      <c r="CX18" s="13">
        <f t="shared" si="7"/>
        <v>0.99999338838549323</v>
      </c>
      <c r="CY18" s="13">
        <f t="shared" si="7"/>
        <v>0.99999438808243257</v>
      </c>
      <c r="CZ18" s="13">
        <f t="shared" si="7"/>
        <v>0.99999526267795147</v>
      </c>
      <c r="DA18" s="13">
        <f t="shared" si="7"/>
        <v>0.99999602796370302</v>
      </c>
      <c r="DB18" s="13">
        <f t="shared" si="7"/>
        <v>0.99999669773794664</v>
      </c>
      <c r="DC18" s="13">
        <f t="shared" si="7"/>
        <v>0.99999728405717703</v>
      </c>
      <c r="DD18" s="13">
        <f t="shared" si="7"/>
        <v>0.99999780168655261</v>
      </c>
      <c r="DE18" s="13">
        <f t="shared" si="7"/>
        <v>0.99999825909104267</v>
      </c>
      <c r="DF18" s="13">
        <f t="shared" si="7"/>
        <v>0.99999865756425377</v>
      </c>
      <c r="DG18" s="13">
        <f>IF(DG17&lt;hbio,(Cbl*EXP(-_Pe2/2)-Cbio*EXP(-G))/2/SINH(G)*EXP((_Pe2/2+G)*(hbio-DG17)/hbio)+(Cbio*EXP(G)-Cbl*EXP(-_Pe2/2))/2/SINH(G)*EXP((_Pe2/2-G)*(hbio-DG17)/hbio),(Cbio*EXP(-_Pe1/2)-EXP(-B))/2/SINH(B)*EXP((_Pe1/2+B)*(hcap-DG17)/(heff))+(EXP(B)-Cbio*EXP(-_Pe1/2))/2/SINH(B)*EXP((_Pe1/2-B)*(hcap-DG17)/(heff)))</f>
        <v>0.99999900469879999</v>
      </c>
      <c r="DH18" s="13">
        <f>IF(DH17&lt;hbio,(Cbl*EXP(-_Pe2/2)-Cbio*EXP(-G))/2/SINH(G)*EXP((_Pe2/2+G)*(hbio-DH17)/hbio)+(Cbio*EXP(G)-Cbl*EXP(-_Pe2/2))/2/SINH(G)*EXP((_Pe2/2-G)*(hbio-DH17)/hbio),(Cbio*EXP(-_Pe1/2)-EXP(-B))/2/SINH(B)*EXP((_Pe1/2+B)*(hcap-DH17)/(heff))+(EXP(B)-Cbio*EXP(-_Pe1/2))/2/SINH(B)*EXP((_Pe1/2-B)*(hcap-DH17)/(heff)))</f>
        <v>0.99999930710907436</v>
      </c>
      <c r="DI18" s="13">
        <f>IF(DI17&lt;hbio,(Cbl*EXP(-_Pe2/2)-Cbio*EXP(-G))/2/SINH(G)*EXP((_Pe2/2+G)*(hbio-DI17)/hbio)+(Cbio*EXP(G)-Cbl*EXP(-_Pe2/2))/2/SINH(G)*EXP((_Pe2/2-G)*(hbio-DI17)/hbio),(Cbio*EXP(-_Pe1/2)-EXP(-B))/2/SINH(B)*EXP((_Pe1/2+B)*(hcap-DI17)/(heff))+(EXP(B)-Cbio*EXP(-_Pe1/2))/2/SINH(B)*EXP((_Pe1/2-B)*(hcap-DI17)/(heff)))</f>
        <v>0.99999957055728217</v>
      </c>
      <c r="DJ18" s="13">
        <f>IF(DJ17&lt;hbio,(Cbl*EXP(-_Pe2/2)-Cbio*EXP(-G))/2/SINH(G)*EXP((_Pe2/2+G)*(hbio-DJ17)/hbio)+(Cbio*EXP(G)-Cbl*EXP(-_Pe2/2))/2/SINH(G)*EXP((_Pe2/2-G)*(hbio-DJ17)/hbio),(Cbio*EXP(-_Pe1/2)-EXP(-B))/2/SINH(B)*EXP((_Pe1/2+B)*(hcap-DJ17)/(heff))+(EXP(B)-Cbio*EXP(-_Pe1/2))/2/SINH(B)*EXP((_Pe1/2-B)*(hcap-DJ17)/(heff)))</f>
        <v>0.99999980006323508</v>
      </c>
      <c r="DK18" s="14">
        <f>IF(DK17&lt;hbio,(Cbl*EXP(-_Pe2/2)-Cbio*EXP(-G))/2/SINH(G)*EXP((_Pe2/2+G)*(hbio-DK17)/hbio)+(Cbio*EXP(G)-Cbl*EXP(-_Pe2/2))/2/SINH(G)*EXP((_Pe2/2-G)*(hbio-DK17)/hbio),(Cbio*EXP(-_Pe1/2)-EXP(-B))/2/SINH(B)*EXP((_Pe1/2+B)*(hcap-DK17)/(heff))+(EXP(B)-Cbio*EXP(-_Pe1/2))/2/SINH(B)*EXP((_Pe1/2-B)*(hcap-DK17)/(heff)))</f>
        <v>1</v>
      </c>
    </row>
    <row r="19" spans="1:115" x14ac:dyDescent="0.2">
      <c r="A19" s="4" t="s">
        <v>65</v>
      </c>
      <c r="B19" s="53">
        <v>100</v>
      </c>
      <c r="C19" s="4" t="s">
        <v>1</v>
      </c>
      <c r="O19" s="46">
        <f t="shared" ref="O19:AT19" si="8">O18*C0</f>
        <v>1.5046236605992913E-2</v>
      </c>
      <c r="P19" s="47">
        <f t="shared" si="8"/>
        <v>0.13937781279579264</v>
      </c>
      <c r="Q19" s="47">
        <f t="shared" si="8"/>
        <v>0.24801491518171315</v>
      </c>
      <c r="R19" s="47">
        <f t="shared" si="8"/>
        <v>0.34293866981921395</v>
      </c>
      <c r="S19" s="47">
        <f t="shared" si="8"/>
        <v>0.42588012362782413</v>
      </c>
      <c r="T19" s="47">
        <f t="shared" si="8"/>
        <v>0.49835181208169166</v>
      </c>
      <c r="U19" s="47">
        <f t="shared" si="8"/>
        <v>0.56167534208512704</v>
      </c>
      <c r="V19" s="47">
        <f t="shared" si="8"/>
        <v>0.61700549303959606</v>
      </c>
      <c r="W19" s="47">
        <f t="shared" si="8"/>
        <v>0.66535127561362795</v>
      </c>
      <c r="X19" s="47">
        <f t="shared" si="8"/>
        <v>0.70759433224724788</v>
      </c>
      <c r="Y19" s="47">
        <f t="shared" si="8"/>
        <v>0.74450501494593979</v>
      </c>
      <c r="Z19" s="47">
        <f t="shared" si="8"/>
        <v>0.77675643356174018</v>
      </c>
      <c r="AA19" s="47">
        <f t="shared" si="8"/>
        <v>0.80493673074850292</v>
      </c>
      <c r="AB19" s="47">
        <f t="shared" si="8"/>
        <v>0.82955980743968827</v>
      </c>
      <c r="AC19" s="47">
        <f t="shared" si="8"/>
        <v>0.85107469444046124</v>
      </c>
      <c r="AD19" s="47">
        <f t="shared" si="8"/>
        <v>0.86987374103617543</v>
      </c>
      <c r="AE19" s="47">
        <f t="shared" si="8"/>
        <v>0.88629976994622639</v>
      </c>
      <c r="AF19" s="47">
        <f t="shared" si="8"/>
        <v>0.90065232910231674</v>
      </c>
      <c r="AG19" s="47">
        <f t="shared" si="8"/>
        <v>0.91319315425972614</v>
      </c>
      <c r="AH19" s="47">
        <f t="shared" si="8"/>
        <v>0.92415094205876158</v>
      </c>
      <c r="AI19" s="47">
        <f t="shared" si="8"/>
        <v>0.93372552057882396</v>
      </c>
      <c r="AJ19" s="47">
        <f t="shared" si="8"/>
        <v>0.94209149344007626</v>
      </c>
      <c r="AK19" s="47">
        <f t="shared" si="8"/>
        <v>0.94940142390722981</v>
      </c>
      <c r="AL19" s="47">
        <f t="shared" si="8"/>
        <v>0.95578861706134421</v>
      </c>
      <c r="AM19" s="47">
        <f t="shared" si="8"/>
        <v>0.96136955077584441</v>
      </c>
      <c r="AN19" s="47">
        <f t="shared" si="8"/>
        <v>0.96624599982847892</v>
      </c>
      <c r="AO19" s="47">
        <f t="shared" si="8"/>
        <v>0.97050689188491801</v>
      </c>
      <c r="AP19" s="47">
        <f t="shared" si="8"/>
        <v>0.97422992920004503</v>
      </c>
      <c r="AQ19" s="47">
        <f t="shared" si="8"/>
        <v>0.97748300561059398</v>
      </c>
      <c r="AR19" s="47">
        <f t="shared" si="8"/>
        <v>0.98032544465966276</v>
      </c>
      <c r="AS19" s="47">
        <f t="shared" si="8"/>
        <v>0.98280908143177481</v>
      </c>
      <c r="AT19" s="47">
        <f t="shared" si="8"/>
        <v>0.98497920782702952</v>
      </c>
      <c r="AU19" s="47">
        <f t="shared" ref="AU19:BZ19" si="9">AU18*C0</f>
        <v>0.9868753985125357</v>
      </c>
      <c r="AV19" s="47">
        <f t="shared" si="9"/>
        <v>0.98853223261333401</v>
      </c>
      <c r="AW19" s="47">
        <f t="shared" si="9"/>
        <v>0.98997992430368931</v>
      </c>
      <c r="AX19" s="47">
        <f t="shared" si="9"/>
        <v>0.99124487379834014</v>
      </c>
      <c r="AY19" s="47">
        <f t="shared" si="9"/>
        <v>0.9923501487916776</v>
      </c>
      <c r="AZ19" s="47">
        <f t="shared" si="9"/>
        <v>0.99331590512447132</v>
      </c>
      <c r="BA19" s="47">
        <f t="shared" si="9"/>
        <v>0.99415975434949244</v>
      </c>
      <c r="BB19" s="47">
        <f t="shared" si="9"/>
        <v>0.9948970848990375</v>
      </c>
      <c r="BC19" s="47">
        <f t="shared" si="9"/>
        <v>0.99554134271121275</v>
      </c>
      <c r="BD19" s="47">
        <f t="shared" si="9"/>
        <v>0.9961042764325394</v>
      </c>
      <c r="BE19" s="47">
        <f t="shared" si="9"/>
        <v>0.9965961516684354</v>
      </c>
      <c r="BF19" s="47">
        <f t="shared" si="9"/>
        <v>0.99702593818868768</v>
      </c>
      <c r="BG19" s="47">
        <f t="shared" si="9"/>
        <v>0.9974014735018264</v>
      </c>
      <c r="BH19" s="47">
        <f t="shared" si="9"/>
        <v>0.99772960578137371</v>
      </c>
      <c r="BI19" s="47">
        <f t="shared" si="9"/>
        <v>0.99801631875039909</v>
      </c>
      <c r="BJ19" s="47">
        <f t="shared" si="9"/>
        <v>0.99826684080179362</v>
      </c>
      <c r="BK19" s="47">
        <f t="shared" si="9"/>
        <v>0.99848574034420812</v>
      </c>
      <c r="BL19" s="47">
        <f t="shared" si="9"/>
        <v>0.99867700911239343</v>
      </c>
      <c r="BM19" s="47">
        <f t="shared" si="9"/>
        <v>0.99884413496121083</v>
      </c>
      <c r="BN19" s="47">
        <f t="shared" si="9"/>
        <v>0.99899016547079689</v>
      </c>
      <c r="BO19" s="47">
        <f t="shared" si="9"/>
        <v>0.99911776352279535</v>
      </c>
      <c r="BP19" s="47">
        <f t="shared" si="9"/>
        <v>0.99922925586115763</v>
      </c>
      <c r="BQ19" s="47">
        <f t="shared" si="9"/>
        <v>0.99932667552307397</v>
      </c>
      <c r="BR19" s="47">
        <f t="shared" si="9"/>
        <v>0.99941179891381438</v>
      </c>
      <c r="BS19" s="47">
        <f t="shared" si="9"/>
        <v>0.99948617820158292</v>
      </c>
      <c r="BT19" s="47">
        <f t="shared" si="9"/>
        <v>0.99955116962314161</v>
      </c>
      <c r="BU19" s="47">
        <f t="shared" si="9"/>
        <v>0.99960795821639548</v>
      </c>
      <c r="BV19" s="47">
        <f t="shared" si="9"/>
        <v>0.99965757943096123</v>
      </c>
      <c r="BW19" s="47">
        <f t="shared" si="9"/>
        <v>0.99970093801081705</v>
      </c>
      <c r="BX19" s="47">
        <f t="shared" si="9"/>
        <v>0.99973882449338114</v>
      </c>
      <c r="BY19" s="47">
        <f t="shared" si="9"/>
        <v>0.99977192962589745</v>
      </c>
      <c r="BZ19" s="47">
        <f t="shared" si="9"/>
        <v>0.99980085696202925</v>
      </c>
      <c r="CA19" s="47">
        <f t="shared" ref="CA19:DF19" si="10">CA18*C0</f>
        <v>0.99982613386837549</v>
      </c>
      <c r="CB19" s="47">
        <f t="shared" si="10"/>
        <v>0.99984822114162508</v>
      </c>
      <c r="CC19" s="47">
        <f t="shared" si="10"/>
        <v>0.99986752141173008</v>
      </c>
      <c r="CD19" s="47">
        <f t="shared" si="10"/>
        <v>0.99988438648433953</v>
      </c>
      <c r="CE19" s="47">
        <f t="shared" si="10"/>
        <v>0.999899123756393</v>
      </c>
      <c r="CF19" s="47">
        <f t="shared" si="10"/>
        <v>0.99991200182186624</v>
      </c>
      <c r="CG19" s="47">
        <f t="shared" si="10"/>
        <v>0.99992325536990179</v>
      </c>
      <c r="CH19" s="47">
        <f t="shared" si="10"/>
        <v>0.99993308946464288</v>
      </c>
      <c r="CI19" s="47">
        <f t="shared" si="10"/>
        <v>0.99994168328482136</v>
      </c>
      <c r="CJ19" s="47">
        <f t="shared" si="10"/>
        <v>0.99994919339129251</v>
      </c>
      <c r="CK19" s="47">
        <f t="shared" si="10"/>
        <v>0.99995575658210989</v>
      </c>
      <c r="CL19" s="47">
        <f t="shared" si="10"/>
        <v>0.99996149238719811</v>
      </c>
      <c r="CM19" s="47">
        <f t="shared" si="10"/>
        <v>0.99996650524812358</v>
      </c>
      <c r="CN19" s="47">
        <f t="shared" si="10"/>
        <v>0.9999708864227097</v>
      </c>
      <c r="CO19" s="47">
        <f t="shared" si="10"/>
        <v>0.99997471564923124</v>
      </c>
      <c r="CP19" s="47">
        <f t="shared" si="10"/>
        <v>0.99997806260053645</v>
      </c>
      <c r="CQ19" s="47">
        <f t="shared" si="10"/>
        <v>0.999980988154614</v>
      </c>
      <c r="CR19" s="47">
        <f t="shared" si="10"/>
        <v>0.99998354550477497</v>
      </c>
      <c r="CS19" s="47">
        <f t="shared" si="10"/>
        <v>0.99998578112969594</v>
      </c>
      <c r="CT19" s="47">
        <f t="shared" si="10"/>
        <v>0.99998773564101295</v>
      </c>
      <c r="CU19" s="47">
        <f t="shared" si="10"/>
        <v>0.99998944452392224</v>
      </c>
      <c r="CV19" s="47">
        <f t="shared" si="10"/>
        <v>0.99999093878429535</v>
      </c>
      <c r="CW19" s="47">
        <f t="shared" si="10"/>
        <v>0.99999224551410792</v>
      </c>
      <c r="CX19" s="47">
        <f t="shared" si="10"/>
        <v>0.99999338838549323</v>
      </c>
      <c r="CY19" s="47">
        <f t="shared" si="10"/>
        <v>0.99999438808243257</v>
      </c>
      <c r="CZ19" s="47">
        <f t="shared" si="10"/>
        <v>0.99999526267795147</v>
      </c>
      <c r="DA19" s="47">
        <f t="shared" si="10"/>
        <v>0.99999602796370302</v>
      </c>
      <c r="DB19" s="47">
        <f t="shared" si="10"/>
        <v>0.99999669773794664</v>
      </c>
      <c r="DC19" s="47">
        <f t="shared" si="10"/>
        <v>0.99999728405717703</v>
      </c>
      <c r="DD19" s="47">
        <f t="shared" si="10"/>
        <v>0.99999780168655261</v>
      </c>
      <c r="DE19" s="47">
        <f t="shared" si="10"/>
        <v>0.99999825909104267</v>
      </c>
      <c r="DF19" s="47">
        <f t="shared" si="10"/>
        <v>0.99999865756425377</v>
      </c>
      <c r="DG19" s="47">
        <f>DG18*C0</f>
        <v>0.99999900469879999</v>
      </c>
      <c r="DH19" s="47">
        <f>DH18*C0</f>
        <v>0.99999930710907436</v>
      </c>
      <c r="DI19" s="47">
        <f>DI18*C0</f>
        <v>0.99999957055728217</v>
      </c>
      <c r="DJ19" s="47">
        <f>DJ18*C0</f>
        <v>0.99999980006323508</v>
      </c>
      <c r="DK19" s="48">
        <f>DK18*C0</f>
        <v>1</v>
      </c>
    </row>
    <row r="20" spans="1:115" ht="15.75" x14ac:dyDescent="0.3">
      <c r="A20" s="4" t="s">
        <v>67</v>
      </c>
      <c r="B20" s="53">
        <v>0</v>
      </c>
      <c r="C20" s="4" t="s">
        <v>1</v>
      </c>
    </row>
    <row r="21" spans="1:115" x14ac:dyDescent="0.2">
      <c r="A21" s="26" t="s">
        <v>136</v>
      </c>
      <c r="B21" s="53">
        <v>30</v>
      </c>
      <c r="C21" s="26" t="s">
        <v>0</v>
      </c>
    </row>
    <row r="22" spans="1:115" x14ac:dyDescent="0.2">
      <c r="A22" s="26" t="s">
        <v>137</v>
      </c>
      <c r="B22" s="53">
        <v>5</v>
      </c>
      <c r="C22" s="26" t="s">
        <v>0</v>
      </c>
    </row>
    <row r="23" spans="1:115" x14ac:dyDescent="0.2">
      <c r="A23" s="26" t="s">
        <v>105</v>
      </c>
      <c r="B23" s="69">
        <f>B21-B22</f>
        <v>25</v>
      </c>
      <c r="C23" s="4" t="s">
        <v>0</v>
      </c>
    </row>
    <row r="24" spans="1:115" ht="13.5" customHeight="1" x14ac:dyDescent="0.2">
      <c r="A24" s="4" t="s">
        <v>61</v>
      </c>
      <c r="B24" s="52" t="s">
        <v>62</v>
      </c>
      <c r="C24" s="4"/>
    </row>
    <row r="25" spans="1:115" x14ac:dyDescent="0.2">
      <c r="A25" s="26" t="s">
        <v>142</v>
      </c>
      <c r="B25" s="53">
        <v>0.5</v>
      </c>
      <c r="C25" s="4"/>
    </row>
    <row r="26" spans="1:115" ht="15.75" x14ac:dyDescent="0.3">
      <c r="A26" s="26" t="s">
        <v>143</v>
      </c>
      <c r="B26" s="53">
        <v>2.6</v>
      </c>
      <c r="C26" s="4"/>
    </row>
    <row r="27" spans="1:115" ht="14.25" x14ac:dyDescent="0.2">
      <c r="A27" s="26" t="s">
        <v>128</v>
      </c>
      <c r="B27" s="74">
        <f>Dbio</f>
        <v>200.09041936230369</v>
      </c>
      <c r="C27" s="4" t="s">
        <v>83</v>
      </c>
    </row>
    <row r="28" spans="1:115" ht="15.75" hidden="1" x14ac:dyDescent="0.3">
      <c r="A28" s="27" t="s">
        <v>19</v>
      </c>
      <c r="B28" s="53">
        <v>0</v>
      </c>
      <c r="C28" s="4" t="s">
        <v>83</v>
      </c>
    </row>
    <row r="29" spans="1:115" x14ac:dyDescent="0.2">
      <c r="A29" s="27"/>
      <c r="B29" s="23"/>
      <c r="C29" s="4"/>
    </row>
    <row r="30" spans="1:115" ht="13.5" customHeight="1" x14ac:dyDescent="0.2">
      <c r="A30" s="2" t="s">
        <v>97</v>
      </c>
      <c r="C30" s="4"/>
    </row>
    <row r="31" spans="1:115" x14ac:dyDescent="0.2">
      <c r="A31" s="26" t="s">
        <v>158</v>
      </c>
      <c r="B31" s="53">
        <v>2</v>
      </c>
      <c r="C31" s="4" t="s">
        <v>0</v>
      </c>
    </row>
    <row r="32" spans="1:115" x14ac:dyDescent="0.2">
      <c r="A32" s="4" t="s">
        <v>61</v>
      </c>
      <c r="B32" s="52" t="s">
        <v>62</v>
      </c>
      <c r="C32" s="4"/>
    </row>
    <row r="33" spans="1:127" x14ac:dyDescent="0.2">
      <c r="A33" s="26" t="s">
        <v>134</v>
      </c>
      <c r="B33" s="53">
        <v>0</v>
      </c>
      <c r="C33" s="4" t="s">
        <v>0</v>
      </c>
    </row>
    <row r="34" spans="1:127" x14ac:dyDescent="0.2">
      <c r="A34" t="s">
        <v>63</v>
      </c>
      <c r="B34" s="53">
        <v>0</v>
      </c>
      <c r="C34" s="4" t="s">
        <v>0</v>
      </c>
    </row>
    <row r="35" spans="1:127" x14ac:dyDescent="0.2">
      <c r="A35" s="4" t="s">
        <v>17</v>
      </c>
      <c r="B35" s="53">
        <v>0.6</v>
      </c>
      <c r="C35" s="4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</row>
    <row r="36" spans="1:127" ht="15.75" x14ac:dyDescent="0.3">
      <c r="A36" s="27" t="s">
        <v>18</v>
      </c>
      <c r="B36" s="53">
        <v>1</v>
      </c>
      <c r="C36" s="4" t="s">
        <v>84</v>
      </c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</row>
    <row r="37" spans="1:127" ht="14.25" x14ac:dyDescent="0.2">
      <c r="A37" s="26" t="s">
        <v>132</v>
      </c>
      <c r="B37" s="69">
        <f>(1-e)*rhop*10</f>
        <v>4</v>
      </c>
      <c r="C37" s="70">
        <f>B37*2.2/3.28/3.28</f>
        <v>0.81796549672813812</v>
      </c>
      <c r="D37" s="69" t="s">
        <v>133</v>
      </c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</row>
    <row r="38" spans="1:127" x14ac:dyDescent="0.2">
      <c r="A38" s="26" t="s">
        <v>139</v>
      </c>
      <c r="B38" s="71">
        <f>10^logKoc</f>
        <v>59093.539022921359</v>
      </c>
      <c r="C38" s="67" t="s">
        <v>140</v>
      </c>
      <c r="D38" s="69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</row>
    <row r="39" spans="1:127" ht="15.75" hidden="1" x14ac:dyDescent="0.3">
      <c r="A39" s="26" t="s">
        <v>138</v>
      </c>
      <c r="B39" s="53">
        <v>1</v>
      </c>
      <c r="C39" s="4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</row>
    <row r="40" spans="1:127" x14ac:dyDescent="0.2">
      <c r="A40" s="26" t="s">
        <v>141</v>
      </c>
      <c r="B40" s="53">
        <v>15</v>
      </c>
      <c r="C40" s="4" t="s">
        <v>0</v>
      </c>
    </row>
    <row r="41" spans="1:127" ht="15.75" x14ac:dyDescent="0.3">
      <c r="A41" s="27" t="s">
        <v>9</v>
      </c>
      <c r="B41" s="53">
        <v>0.05</v>
      </c>
      <c r="C41" s="4"/>
    </row>
    <row r="42" spans="1:127" x14ac:dyDescent="0.2">
      <c r="B42" s="7"/>
      <c r="C42" s="4"/>
    </row>
    <row r="43" spans="1:127" x14ac:dyDescent="0.2">
      <c r="A43" s="2" t="s">
        <v>69</v>
      </c>
      <c r="B43" s="7"/>
      <c r="C43" s="4"/>
    </row>
    <row r="44" spans="1:127" ht="15.75" x14ac:dyDescent="0.3">
      <c r="A44" s="27" t="s">
        <v>15</v>
      </c>
      <c r="B44" s="51">
        <f>0.903*logKow+0.094</f>
        <v>4.7715399999999999</v>
      </c>
      <c r="C44" s="4" t="s">
        <v>3</v>
      </c>
    </row>
    <row r="45" spans="1:127" ht="15.75" x14ac:dyDescent="0.3">
      <c r="A45" s="27" t="s">
        <v>29</v>
      </c>
      <c r="B45" s="51">
        <f>logKoc-0.37</f>
        <v>4.4015399999999998</v>
      </c>
      <c r="C45" s="4" t="s">
        <v>3</v>
      </c>
    </row>
    <row r="46" spans="1:127" ht="15.75" x14ac:dyDescent="0.3">
      <c r="A46" s="27" t="s">
        <v>26</v>
      </c>
      <c r="B46" s="51">
        <f>SQRT(0.02*0.01)/100^(2/3)/10^(1/2)*3600</f>
        <v>0.74728138720047343</v>
      </c>
      <c r="C46" s="4" t="s">
        <v>2</v>
      </c>
    </row>
    <row r="47" spans="1:127" ht="12.75" customHeight="1" x14ac:dyDescent="0.2">
      <c r="A47" s="26" t="s">
        <v>130</v>
      </c>
      <c r="B47" s="51">
        <f>IF(0.05*heff&lt;1,1,0.05*heff)</f>
        <v>1</v>
      </c>
      <c r="C47" s="4" t="s">
        <v>0</v>
      </c>
      <c r="D47" s="4" t="s">
        <v>94</v>
      </c>
    </row>
    <row r="48" spans="1:127" ht="12.75" customHeight="1" x14ac:dyDescent="0.2">
      <c r="A48" s="26" t="s">
        <v>131</v>
      </c>
      <c r="B48" s="51">
        <f>IF(0.05*(B23)&lt;1,1,0.05*(B23))</f>
        <v>1.25</v>
      </c>
      <c r="C48" s="26" t="s">
        <v>0</v>
      </c>
      <c r="D48" s="4" t="s">
        <v>94</v>
      </c>
    </row>
    <row r="49" spans="1:4" ht="15.75" x14ac:dyDescent="0.3">
      <c r="A49" s="26" t="s">
        <v>113</v>
      </c>
      <c r="B49" s="64">
        <f>IF(B32="G",Dw*86400*365*e^(4/3)+alpha*ABS(Vdar),Dw*e/(1-LN(e^2))*86400*365+alpha*ABS(Vdar))</f>
        <v>195.75457311864145</v>
      </c>
      <c r="C49" s="4" t="s">
        <v>83</v>
      </c>
    </row>
    <row r="50" spans="1:4" ht="15.75" x14ac:dyDescent="0.3">
      <c r="A50" s="26" t="s">
        <v>129</v>
      </c>
      <c r="B50" s="64">
        <f>IF(B24="G",Dw*86400*365*B25^(4/3)+B48*ABS(Vdar),Dw*B25/(1-LN(B25^2))*86400*365+B48*ABS(Vdar))</f>
        <v>200.09041936230369</v>
      </c>
      <c r="C50" s="4" t="s">
        <v>83</v>
      </c>
    </row>
    <row r="51" spans="1:4" x14ac:dyDescent="0.2">
      <c r="A51" s="27"/>
      <c r="B51" s="51"/>
      <c r="C51" s="4"/>
    </row>
    <row r="52" spans="1:4" x14ac:dyDescent="0.2">
      <c r="A52" s="2" t="s">
        <v>7</v>
      </c>
      <c r="B52" s="6"/>
      <c r="C52" s="4"/>
    </row>
    <row r="53" spans="1:4" x14ac:dyDescent="0.2">
      <c r="A53" s="4" t="s">
        <v>10</v>
      </c>
      <c r="B53" s="36">
        <f>C0*IF(z&lt;hbio,(Cbl*EXP(-_Pe2/2)-Cbio*EXP(-G))/2/SINH(G)*EXP((_Pe2/2+G)*(hbio-z)/hbio)+(Cbio*EXP(G)-Cbl*EXP(-_Pe2/2))/2/SINH(G)*EXP((_Pe2/2-G)*(hbio-z)/hbio),(Cbio*EXP(-_Pe1/2)-EXP(-B))/2/SINH(B)*EXP((_Pe1/2+B)*(hcap-z)/(heff))+(EXP(B)-Cbio*EXP(-_Pe1/2))/2/SINH(B)*EXP((_Pe1/2-B)*(hcap-z)/(heff)))</f>
        <v>0.99945435613284139</v>
      </c>
      <c r="C53" s="65" t="s">
        <v>4</v>
      </c>
    </row>
    <row r="54" spans="1:4" x14ac:dyDescent="0.2">
      <c r="A54" s="4" t="s">
        <v>11</v>
      </c>
      <c r="B54" s="42">
        <f>Cz*10^logKoc*focz</f>
        <v>2953.0647497882401</v>
      </c>
      <c r="C54" s="66" t="s">
        <v>5</v>
      </c>
    </row>
    <row r="55" spans="1:4" x14ac:dyDescent="0.2">
      <c r="A55" s="26" t="s">
        <v>109</v>
      </c>
      <c r="B55" s="24">
        <f>focbio*10^logKoc*Cbioavg*C0</f>
        <v>5.4435149980584825</v>
      </c>
      <c r="C55" s="66" t="s">
        <v>5</v>
      </c>
    </row>
    <row r="56" spans="1:4" ht="14.25" x14ac:dyDescent="0.2">
      <c r="A56" s="4" t="s">
        <v>12</v>
      </c>
      <c r="B56" s="18">
        <f>(kbl*24*365+Ueff)*Cbl*C0*10</f>
        <v>1000.0007146358082</v>
      </c>
      <c r="C56" s="66" t="s">
        <v>85</v>
      </c>
    </row>
    <row r="57" spans="1:4" ht="15.75" x14ac:dyDescent="0.3">
      <c r="A57" s="26" t="s">
        <v>118</v>
      </c>
      <c r="B57" s="41">
        <f>_Pe2/_Pe1*EXP(_Pe1/2)*B*SINH(G)/(_Pe2/_Pe1*B*COSH(B)*SINH(G)+G*SINH(B)*COSH(G)-G^2*SINH(B)/((Sh+_Pe2/2)*SINH(G)+G*COSH(G)))</f>
        <v>0.99999759647819386</v>
      </c>
      <c r="C57" s="4"/>
      <c r="D57" s="28"/>
    </row>
    <row r="58" spans="1:4" ht="15.75" x14ac:dyDescent="0.3">
      <c r="A58" s="4" t="s">
        <v>60</v>
      </c>
      <c r="B58" s="41">
        <f>EXP((_Pe1+_Pe2)/2)/((_Pe1/2+Sh*_Pe1/_Pe2)*SINH(B)*COSH(G)/B+(_Pe2/2+Sh)*COSH(B)*SINH(G)/G+_Pe1*G*SINH(G)*SINH(B)/_Pe2/B+COSH(B)*COSH(G))</f>
        <v>1.5046236605992962E-2</v>
      </c>
      <c r="C58" s="4"/>
    </row>
    <row r="59" spans="1:4" x14ac:dyDescent="0.2">
      <c r="A59" s="26" t="s">
        <v>119</v>
      </c>
      <c r="B59" s="41">
        <f>(Cbl*EXP(-_Pe2/2)-Cbio*EXP(-G))/2/SINH(G)*(EXP(_Pe2/2+G)-1)/(_Pe2/2+G)+(Cbio*EXP(G)-Cbl*EXP(-_Pe2/2))/2/SINH(G)*(EXP(_Pe2/2-G)-1)/(_Pe2/2-G)</f>
        <v>0.92116923238376991</v>
      </c>
      <c r="C59" s="4"/>
      <c r="D59" s="35"/>
    </row>
    <row r="60" spans="1:4" ht="15.75" x14ac:dyDescent="0.3">
      <c r="A60" s="4" t="s">
        <v>66</v>
      </c>
      <c r="B60" s="43">
        <f>1/(1/tadv+1/tdiff)</f>
        <v>28.376346210918943</v>
      </c>
      <c r="C60" s="66" t="s">
        <v>22</v>
      </c>
    </row>
    <row r="61" spans="1:4" x14ac:dyDescent="0.2">
      <c r="A61" s="5"/>
      <c r="B61" s="17"/>
      <c r="C61" s="4"/>
    </row>
    <row r="62" spans="1:4" x14ac:dyDescent="0.2">
      <c r="A62" s="2" t="s">
        <v>21</v>
      </c>
      <c r="B62" s="19"/>
      <c r="C62" s="4"/>
    </row>
    <row r="63" spans="1:4" ht="15.75" x14ac:dyDescent="0.3">
      <c r="A63" s="26" t="s">
        <v>122</v>
      </c>
      <c r="B63" s="20">
        <f>IF(Ueff=0,0.000001,Ueff*heff/Deff)</f>
        <v>1.0216876000071045</v>
      </c>
      <c r="C63" s="4"/>
    </row>
    <row r="64" spans="1:4" ht="15.75" x14ac:dyDescent="0.3">
      <c r="A64" s="26" t="s">
        <v>123</v>
      </c>
      <c r="B64" s="20">
        <f>e*_lam1*heff^2/Deff</f>
        <v>0</v>
      </c>
      <c r="C64" s="4"/>
    </row>
    <row r="65" spans="1:7" ht="15.75" x14ac:dyDescent="0.3">
      <c r="A65" s="15" t="s">
        <v>75</v>
      </c>
      <c r="B65" s="20">
        <f>SQRT(_Pe1^2/4+_Dam1)</f>
        <v>0.51084380000355223</v>
      </c>
      <c r="C65" s="4"/>
    </row>
    <row r="66" spans="1:7" ht="15.75" x14ac:dyDescent="0.3">
      <c r="A66" s="26" t="s">
        <v>120</v>
      </c>
      <c r="B66" s="20">
        <f>IF(Ueff=0,0.00001,Ueff*hbio/Dbio)</f>
        <v>12.494352593030703</v>
      </c>
      <c r="C66" s="4"/>
    </row>
    <row r="67" spans="1:7" ht="15.75" x14ac:dyDescent="0.3">
      <c r="A67" s="26" t="s">
        <v>121</v>
      </c>
      <c r="B67" s="20">
        <f>IF(_lam2&gt;0,e*_lam2*hbio^2/Dbio,0.00001)</f>
        <v>1.0000000000000001E-5</v>
      </c>
      <c r="C67" s="4"/>
    </row>
    <row r="68" spans="1:7" ht="15.75" x14ac:dyDescent="0.3">
      <c r="A68" s="22" t="s">
        <v>74</v>
      </c>
      <c r="B68" s="21">
        <f>SQRT(_Pe2^2/4+_Dam2)</f>
        <v>6.2471770968768974</v>
      </c>
      <c r="C68" s="4"/>
    </row>
    <row r="69" spans="1:7" x14ac:dyDescent="0.2">
      <c r="A69" s="4" t="s">
        <v>48</v>
      </c>
      <c r="B69" s="32">
        <f>kbl*24*365*hbio/Dbio</f>
        <v>817.90334748898829</v>
      </c>
      <c r="C69" s="4"/>
      <c r="E69" s="29"/>
      <c r="G69" s="28"/>
    </row>
    <row r="70" spans="1:7" x14ac:dyDescent="0.2">
      <c r="A70" s="5"/>
      <c r="B70" s="3"/>
      <c r="C70" s="4"/>
      <c r="E70" s="29"/>
      <c r="G70" s="28"/>
    </row>
    <row r="71" spans="1:7" ht="12.75" customHeight="1" x14ac:dyDescent="0.2">
      <c r="A71" s="2" t="s">
        <v>20</v>
      </c>
      <c r="B71" s="19"/>
      <c r="C71" s="4"/>
    </row>
    <row r="72" spans="1:7" ht="15.75" x14ac:dyDescent="0.3">
      <c r="A72" s="4" t="s">
        <v>70</v>
      </c>
      <c r="B72" s="49">
        <f>B23+B31-B33-B34/_Rf1</f>
        <v>27</v>
      </c>
      <c r="C72" s="4" t="s">
        <v>0</v>
      </c>
    </row>
    <row r="73" spans="1:7" ht="15.75" customHeight="1" x14ac:dyDescent="0.3">
      <c r="A73" s="26" t="s">
        <v>135</v>
      </c>
      <c r="B73" s="18">
        <f>IF(hcap-hbio&gt;0,hcap-hbio,0.001)</f>
        <v>2</v>
      </c>
      <c r="C73" s="4" t="s">
        <v>0</v>
      </c>
    </row>
    <row r="74" spans="1:7" ht="15.75" x14ac:dyDescent="0.3">
      <c r="A74" s="26" t="s">
        <v>99</v>
      </c>
      <c r="B74" s="18">
        <f>(e+e*rhoDOC*10^(logKDOC-6)+(1-e)*rhop*B38/(1+rhoDOC*10^(logKDOC-6)))</f>
        <v>23638.015609168542</v>
      </c>
      <c r="C74" s="4"/>
    </row>
    <row r="75" spans="1:7" ht="15.75" x14ac:dyDescent="0.3">
      <c r="A75" s="26" t="s">
        <v>98</v>
      </c>
      <c r="B75" s="18">
        <f>(B25+B25*rhoDOC*10^(logKDOC-6)+(1-B25)*B26*focbio*10^logKoc)/(1+rhoDOC*10^(logKDOC-6))</f>
        <v>8.1821600729797765</v>
      </c>
      <c r="C75" s="4"/>
    </row>
    <row r="76" spans="1:7" x14ac:dyDescent="0.2">
      <c r="A76" s="4" t="s">
        <v>53</v>
      </c>
      <c r="B76" s="20">
        <f>MAX(Vdar-((1-e)*rhop*foceff*10^logKoc*Vdep)+0.00001,-_Rf1*heff/(_Rf1*heff^2/16/Deff)+0.00001)</f>
        <v>100.00001</v>
      </c>
      <c r="C76" s="4" t="s">
        <v>1</v>
      </c>
      <c r="D76" s="4" t="s">
        <v>95</v>
      </c>
    </row>
    <row r="77" spans="1:7" ht="15.75" x14ac:dyDescent="0.3">
      <c r="A77" s="26" t="s">
        <v>124</v>
      </c>
      <c r="B77" s="32">
        <f>_Rf1*heff/Ueff</f>
        <v>472.76026490734432</v>
      </c>
      <c r="C77" s="4" t="s">
        <v>22</v>
      </c>
    </row>
    <row r="78" spans="1:7" ht="15.75" x14ac:dyDescent="0.3">
      <c r="A78" s="26" t="s">
        <v>125</v>
      </c>
      <c r="B78" s="32">
        <f>_Rf1*heff^2/16/Deff</f>
        <v>30.188331276994219</v>
      </c>
      <c r="C78" s="4" t="s">
        <v>22</v>
      </c>
    </row>
    <row r="79" spans="1:7" ht="15.75" x14ac:dyDescent="0.3">
      <c r="A79" s="26" t="s">
        <v>126</v>
      </c>
      <c r="B79" s="57" t="str">
        <f>IF(_lam1&gt;0,_Rf1/_lam1,"infinity")</f>
        <v>infinity</v>
      </c>
      <c r="C79" s="4" t="s">
        <v>22</v>
      </c>
    </row>
    <row r="80" spans="1:7" x14ac:dyDescent="0.2">
      <c r="B80" s="6"/>
    </row>
    <row r="81" spans="1:14" ht="26.25" customHeight="1" x14ac:dyDescent="0.2">
      <c r="A81" s="79" t="s">
        <v>80</v>
      </c>
      <c r="B81" s="80"/>
      <c r="C81" s="80"/>
      <c r="D81" s="80"/>
    </row>
    <row r="85" spans="1:14" x14ac:dyDescent="0.2">
      <c r="A85" s="1"/>
      <c r="B85" s="1"/>
      <c r="C85" s="1"/>
    </row>
    <row r="86" spans="1:14" x14ac:dyDescent="0.2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</sheetData>
  <sortState ref="A8:C15">
    <sortCondition sortBy="cellColor" ref="A10"/>
  </sortState>
  <mergeCells count="3">
    <mergeCell ref="O15:DK15"/>
    <mergeCell ref="A6:D6"/>
    <mergeCell ref="A81:D81"/>
  </mergeCells>
  <phoneticPr fontId="2" type="noConversion"/>
  <pageMargins left="0.75" right="0.75" top="1" bottom="1" header="0.5" footer="0.5"/>
  <pageSetup paperSize="256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21513" r:id="rId4">
          <objectPr defaultSize="0" autoPict="0" r:id="rId5">
            <anchor moveWithCells="1" sizeWithCells="1">
              <from>
                <xdr:col>4</xdr:col>
                <xdr:colOff>238125</xdr:colOff>
                <xdr:row>31</xdr:row>
                <xdr:rowOff>142875</xdr:rowOff>
              </from>
              <to>
                <xdr:col>11</xdr:col>
                <xdr:colOff>457200</xdr:colOff>
                <xdr:row>39</xdr:row>
                <xdr:rowOff>95250</xdr:rowOff>
              </to>
            </anchor>
          </objectPr>
        </oleObject>
      </mc:Choice>
      <mc:Fallback>
        <oleObject progId="Equation.3" shapeId="21513" r:id="rId4"/>
      </mc:Fallback>
    </mc:AlternateContent>
    <mc:AlternateContent xmlns:mc="http://schemas.openxmlformats.org/markup-compatibility/2006">
      <mc:Choice Requires="x14">
        <oleObject progId="Equation.3" shapeId="21516" r:id="rId6">
          <objectPr defaultSize="0" autoPict="0" r:id="rId7">
            <anchor moveWithCells="1" sizeWithCells="1">
              <from>
                <xdr:col>4</xdr:col>
                <xdr:colOff>228600</xdr:colOff>
                <xdr:row>40</xdr:row>
                <xdr:rowOff>9525</xdr:rowOff>
              </from>
              <to>
                <xdr:col>13</xdr:col>
                <xdr:colOff>390525</xdr:colOff>
                <xdr:row>45</xdr:row>
                <xdr:rowOff>28575</xdr:rowOff>
              </to>
            </anchor>
          </objectPr>
        </oleObject>
      </mc:Choice>
      <mc:Fallback>
        <oleObject progId="Equation.3" shapeId="21516" r:id="rId6"/>
      </mc:Fallback>
    </mc:AlternateContent>
    <mc:AlternateContent xmlns:mc="http://schemas.openxmlformats.org/markup-compatibility/2006">
      <mc:Choice Requires="x14">
        <oleObject progId="Equation.3" shapeId="21517" r:id="rId8">
          <objectPr defaultSize="0" autoPict="0" r:id="rId9">
            <anchor moveWithCells="1" sizeWithCells="1">
              <from>
                <xdr:col>4</xdr:col>
                <xdr:colOff>238125</xdr:colOff>
                <xdr:row>12</xdr:row>
                <xdr:rowOff>57150</xdr:rowOff>
              </from>
              <to>
                <xdr:col>13</xdr:col>
                <xdr:colOff>466725</xdr:colOff>
                <xdr:row>21</xdr:row>
                <xdr:rowOff>19050</xdr:rowOff>
              </to>
            </anchor>
          </objectPr>
        </oleObject>
      </mc:Choice>
      <mc:Fallback>
        <oleObject progId="Equation.3" shapeId="21517" r:id="rId8"/>
      </mc:Fallback>
    </mc:AlternateContent>
    <mc:AlternateContent xmlns:mc="http://schemas.openxmlformats.org/markup-compatibility/2006">
      <mc:Choice Requires="x14">
        <oleObject progId="Equation.3" shapeId="21518" r:id="rId10">
          <objectPr defaultSize="0" autoPict="0" r:id="rId11">
            <anchor moveWithCells="1" sizeWithCells="1">
              <from>
                <xdr:col>4</xdr:col>
                <xdr:colOff>219075</xdr:colOff>
                <xdr:row>21</xdr:row>
                <xdr:rowOff>28575</xdr:rowOff>
              </from>
              <to>
                <xdr:col>13</xdr:col>
                <xdr:colOff>533400</xdr:colOff>
                <xdr:row>32</xdr:row>
                <xdr:rowOff>0</xdr:rowOff>
              </to>
            </anchor>
          </objectPr>
        </oleObject>
      </mc:Choice>
      <mc:Fallback>
        <oleObject progId="Equation.3" shapeId="21518" r:id="rId10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9"/>
  <sheetViews>
    <sheetView workbookViewId="0">
      <selection activeCell="N21" sqref="N21"/>
    </sheetView>
  </sheetViews>
  <sheetFormatPr defaultRowHeight="12.75" x14ac:dyDescent="0.2"/>
  <cols>
    <col min="1" max="1" width="11.28515625" customWidth="1"/>
    <col min="2" max="9" width="8.140625" customWidth="1"/>
    <col min="13" max="13" width="12.42578125" bestFit="1" customWidth="1"/>
    <col min="14" max="15" width="10.42578125" bestFit="1" customWidth="1"/>
  </cols>
  <sheetData>
    <row r="1" spans="1:12" x14ac:dyDescent="0.2">
      <c r="A1" s="2" t="s">
        <v>55</v>
      </c>
      <c r="C1" s="26" t="s">
        <v>127</v>
      </c>
    </row>
    <row r="2" spans="1:12" x14ac:dyDescent="0.2">
      <c r="A2" s="4" t="s">
        <v>56</v>
      </c>
    </row>
    <row r="3" spans="1:12" x14ac:dyDescent="0.2">
      <c r="A3" s="16" t="s">
        <v>57</v>
      </c>
    </row>
    <row r="4" spans="1:12" x14ac:dyDescent="0.2">
      <c r="A4" t="s">
        <v>79</v>
      </c>
    </row>
    <row r="5" spans="1:12" x14ac:dyDescent="0.2">
      <c r="A5" t="s">
        <v>25</v>
      </c>
    </row>
    <row r="6" spans="1:12" x14ac:dyDescent="0.2">
      <c r="F6" s="81" t="s">
        <v>58</v>
      </c>
      <c r="G6" s="81"/>
      <c r="H6" s="81"/>
      <c r="I6" s="81"/>
      <c r="J6" s="81"/>
      <c r="K6" s="81"/>
    </row>
    <row r="8" spans="1:12" x14ac:dyDescent="0.2">
      <c r="A8" s="2" t="s">
        <v>23</v>
      </c>
    </row>
    <row r="9" spans="1:12" ht="15.75" x14ac:dyDescent="0.3">
      <c r="A9" s="5" t="s">
        <v>49</v>
      </c>
      <c r="B9" s="63">
        <f>D9</f>
        <v>28.376346210918943</v>
      </c>
      <c r="C9" s="25" t="s">
        <v>22</v>
      </c>
      <c r="D9" s="9">
        <f>tss</f>
        <v>28.376346210918943</v>
      </c>
      <c r="E9" s="9" t="s">
        <v>64</v>
      </c>
      <c r="F9" s="9"/>
      <c r="G9" s="9"/>
      <c r="H9" s="9"/>
    </row>
    <row r="10" spans="1:12" x14ac:dyDescent="0.2">
      <c r="A10" s="5" t="s">
        <v>35</v>
      </c>
      <c r="B10" s="32">
        <f>Ueff*hcap/Deff</f>
        <v>13.792782600095908</v>
      </c>
      <c r="C10" s="19"/>
      <c r="D10" s="9"/>
      <c r="E10" s="9"/>
      <c r="F10" s="9"/>
      <c r="G10" s="9"/>
      <c r="H10" s="9"/>
    </row>
    <row r="11" spans="1:12" x14ac:dyDescent="0.2">
      <c r="A11" s="5" t="s">
        <v>36</v>
      </c>
      <c r="B11" s="32">
        <f>e*_lam1*hcap^2/Deff</f>
        <v>0</v>
      </c>
      <c r="C11" s="19"/>
      <c r="D11" s="9"/>
      <c r="E11" s="9"/>
      <c r="F11" s="9"/>
      <c r="G11" s="9"/>
      <c r="H11" s="9"/>
    </row>
    <row r="12" spans="1:12" x14ac:dyDescent="0.2">
      <c r="A12" s="31" t="s">
        <v>24</v>
      </c>
      <c r="B12" s="18">
        <f>SQRT(Pe^2/4+Da)</f>
        <v>6.896391300047954</v>
      </c>
      <c r="C12" s="19"/>
    </row>
    <row r="13" spans="1:12" x14ac:dyDescent="0.2">
      <c r="B13" s="9"/>
      <c r="C13" s="9"/>
      <c r="D13" s="9"/>
      <c r="E13" s="9"/>
      <c r="F13" s="9"/>
      <c r="G13" s="9"/>
      <c r="H13" s="9"/>
    </row>
    <row r="14" spans="1:12" x14ac:dyDescent="0.2">
      <c r="B14" s="9"/>
      <c r="C14" s="9"/>
      <c r="D14" s="9"/>
      <c r="E14" s="9"/>
      <c r="F14" s="9"/>
      <c r="G14" s="9"/>
      <c r="H14" s="9"/>
    </row>
    <row r="15" spans="1:12" x14ac:dyDescent="0.2">
      <c r="A15" s="83" t="s">
        <v>39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</row>
    <row r="16" spans="1:12" x14ac:dyDescent="0.2">
      <c r="A16" s="30"/>
      <c r="B16" s="82" t="s">
        <v>37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</row>
    <row r="17" spans="1:13" x14ac:dyDescent="0.2">
      <c r="A17" s="37" t="s">
        <v>40</v>
      </c>
      <c r="B17" s="60">
        <v>1E-8</v>
      </c>
      <c r="C17" s="61">
        <f>Deff*Calctime/hcap^2/_Rf1*0.1</f>
        <v>3.2235161277011825E-5</v>
      </c>
      <c r="D17" s="61">
        <f t="shared" ref="D17:L17" si="0">C17+Deff*Calctime/hcap^2/_Rf1*0.1</f>
        <v>6.4470322554023649E-5</v>
      </c>
      <c r="E17" s="61">
        <f t="shared" si="0"/>
        <v>9.6705483831035474E-5</v>
      </c>
      <c r="F17" s="61">
        <f t="shared" si="0"/>
        <v>1.289406451080473E-4</v>
      </c>
      <c r="G17" s="61">
        <f t="shared" si="0"/>
        <v>1.6117580638505912E-4</v>
      </c>
      <c r="H17" s="61">
        <f t="shared" si="0"/>
        <v>1.9341096766207095E-4</v>
      </c>
      <c r="I17" s="61">
        <f t="shared" si="0"/>
        <v>2.2564612893908277E-4</v>
      </c>
      <c r="J17" s="61">
        <f t="shared" si="0"/>
        <v>2.578812902160946E-4</v>
      </c>
      <c r="K17" s="61">
        <f t="shared" si="0"/>
        <v>2.9011645149310645E-4</v>
      </c>
      <c r="L17" s="61">
        <f t="shared" si="0"/>
        <v>3.223516127701183E-4</v>
      </c>
      <c r="M17" s="34"/>
    </row>
    <row r="18" spans="1:13" x14ac:dyDescent="0.2">
      <c r="A18" s="62">
        <v>1</v>
      </c>
      <c r="B18" s="20">
        <f t="shared" ref="B18:L27" si="1">0.5*(EXP((Pe/2-u)*$A18)*IF($A18-2*u*B$17&gt;0,ERFC(1/2/B$17^0.5*($A18-2*u*B$17)),2-ERFC(1/2/B$17^0.5*ABS($A18-2*u*B$17)))+EXP((Pe/2+u)*$A18)*ERFC(1/2/B$17^0.5*($A18+2*u*B$17)))</f>
        <v>0</v>
      </c>
      <c r="C18" s="20">
        <f t="shared" si="1"/>
        <v>0</v>
      </c>
      <c r="D18" s="20">
        <f t="shared" si="1"/>
        <v>0</v>
      </c>
      <c r="E18" s="20">
        <f t="shared" si="1"/>
        <v>0</v>
      </c>
      <c r="F18" s="20">
        <f t="shared" si="1"/>
        <v>0</v>
      </c>
      <c r="G18" s="20">
        <f t="shared" si="1"/>
        <v>0</v>
      </c>
      <c r="H18" s="20">
        <f t="shared" si="1"/>
        <v>0</v>
      </c>
      <c r="I18" s="20">
        <f t="shared" si="1"/>
        <v>0</v>
      </c>
      <c r="J18" s="20">
        <f t="shared" si="1"/>
        <v>0</v>
      </c>
      <c r="K18" s="20">
        <f t="shared" si="1"/>
        <v>0</v>
      </c>
      <c r="L18" s="20">
        <f t="shared" si="1"/>
        <v>0</v>
      </c>
    </row>
    <row r="19" spans="1:13" x14ac:dyDescent="0.2">
      <c r="A19" s="62">
        <f>A18-0.05</f>
        <v>0.95</v>
      </c>
      <c r="B19" s="20">
        <f t="shared" si="1"/>
        <v>0</v>
      </c>
      <c r="C19" s="20">
        <f t="shared" si="1"/>
        <v>0</v>
      </c>
      <c r="D19" s="20">
        <f t="shared" si="1"/>
        <v>0</v>
      </c>
      <c r="E19" s="20">
        <f t="shared" si="1"/>
        <v>0</v>
      </c>
      <c r="F19" s="20">
        <f t="shared" si="1"/>
        <v>0</v>
      </c>
      <c r="G19" s="20">
        <f t="shared" si="1"/>
        <v>0</v>
      </c>
      <c r="H19" s="20">
        <f t="shared" si="1"/>
        <v>0</v>
      </c>
      <c r="I19" s="20">
        <f t="shared" si="1"/>
        <v>0</v>
      </c>
      <c r="J19" s="20">
        <f t="shared" si="1"/>
        <v>0</v>
      </c>
      <c r="K19" s="20">
        <f t="shared" si="1"/>
        <v>0</v>
      </c>
      <c r="L19" s="20">
        <f t="shared" si="1"/>
        <v>7.7727264727668145E-304</v>
      </c>
    </row>
    <row r="20" spans="1:13" x14ac:dyDescent="0.2">
      <c r="A20" s="62">
        <f t="shared" ref="A20:A37" si="2">A19-0.05</f>
        <v>0.89999999999999991</v>
      </c>
      <c r="B20" s="20">
        <f t="shared" si="1"/>
        <v>0</v>
      </c>
      <c r="C20" s="20">
        <f t="shared" si="1"/>
        <v>0</v>
      </c>
      <c r="D20" s="20">
        <f t="shared" si="1"/>
        <v>0</v>
      </c>
      <c r="E20" s="20">
        <f t="shared" si="1"/>
        <v>0</v>
      </c>
      <c r="F20" s="20">
        <f t="shared" si="1"/>
        <v>0</v>
      </c>
      <c r="G20" s="20">
        <f t="shared" si="1"/>
        <v>0</v>
      </c>
      <c r="H20" s="20">
        <f t="shared" si="1"/>
        <v>0</v>
      </c>
      <c r="I20" s="20">
        <f t="shared" si="1"/>
        <v>0</v>
      </c>
      <c r="J20" s="20">
        <f t="shared" si="1"/>
        <v>0</v>
      </c>
      <c r="K20" s="20">
        <f t="shared" si="1"/>
        <v>7.640732781460096E-303</v>
      </c>
      <c r="L20" s="20">
        <f t="shared" si="1"/>
        <v>1.6553058712403866E-272</v>
      </c>
    </row>
    <row r="21" spans="1:13" x14ac:dyDescent="0.2">
      <c r="A21" s="62">
        <f t="shared" si="2"/>
        <v>0.84999999999999987</v>
      </c>
      <c r="B21" s="20">
        <f t="shared" si="1"/>
        <v>0</v>
      </c>
      <c r="C21" s="20">
        <f t="shared" si="1"/>
        <v>0</v>
      </c>
      <c r="D21" s="20">
        <f t="shared" si="1"/>
        <v>0</v>
      </c>
      <c r="E21" s="20">
        <f t="shared" si="1"/>
        <v>0</v>
      </c>
      <c r="F21" s="20">
        <f t="shared" si="1"/>
        <v>0</v>
      </c>
      <c r="G21" s="20">
        <f t="shared" si="1"/>
        <v>0</v>
      </c>
      <c r="H21" s="20">
        <f t="shared" si="1"/>
        <v>0</v>
      </c>
      <c r="I21" s="20">
        <f t="shared" si="1"/>
        <v>0</v>
      </c>
      <c r="J21" s="20">
        <f t="shared" si="1"/>
        <v>2.4072529994857514E-304</v>
      </c>
      <c r="K21" s="20">
        <f t="shared" si="1"/>
        <v>3.1937540185755904E-270</v>
      </c>
      <c r="L21" s="20">
        <f t="shared" si="1"/>
        <v>3.676440446904288E-243</v>
      </c>
    </row>
    <row r="22" spans="1:13" x14ac:dyDescent="0.2">
      <c r="A22" s="62">
        <f t="shared" si="2"/>
        <v>0.79999999999999982</v>
      </c>
      <c r="B22" s="20">
        <f t="shared" si="1"/>
        <v>0</v>
      </c>
      <c r="C22" s="20">
        <f t="shared" si="1"/>
        <v>0</v>
      </c>
      <c r="D22" s="20">
        <f t="shared" si="1"/>
        <v>0</v>
      </c>
      <c r="E22" s="20">
        <f t="shared" si="1"/>
        <v>0</v>
      </c>
      <c r="F22" s="20">
        <f t="shared" si="1"/>
        <v>0</v>
      </c>
      <c r="G22" s="20">
        <f t="shared" si="1"/>
        <v>0</v>
      </c>
      <c r="H22" s="20">
        <f t="shared" si="1"/>
        <v>0</v>
      </c>
      <c r="I22" s="20">
        <f t="shared" si="1"/>
        <v>2.9547490945379582E-308</v>
      </c>
      <c r="J22" s="20">
        <f t="shared" si="1"/>
        <v>1.9568983886300428E-269</v>
      </c>
      <c r="K22" s="20">
        <f t="shared" si="1"/>
        <v>1.8020160630494249E-239</v>
      </c>
      <c r="L22" s="20">
        <f t="shared" si="1"/>
        <v>1.6958504964223808E-215</v>
      </c>
    </row>
    <row r="23" spans="1:13" x14ac:dyDescent="0.2">
      <c r="A23" s="62">
        <f t="shared" si="2"/>
        <v>0.74999999999999978</v>
      </c>
      <c r="B23" s="20">
        <f t="shared" si="1"/>
        <v>0</v>
      </c>
      <c r="C23" s="20">
        <f t="shared" si="1"/>
        <v>0</v>
      </c>
      <c r="D23" s="20">
        <f t="shared" si="1"/>
        <v>0</v>
      </c>
      <c r="E23" s="20">
        <f t="shared" si="1"/>
        <v>0</v>
      </c>
      <c r="F23" s="20">
        <f t="shared" si="1"/>
        <v>0</v>
      </c>
      <c r="G23" s="20">
        <f t="shared" si="1"/>
        <v>0</v>
      </c>
      <c r="H23" s="20">
        <f t="shared" si="1"/>
        <v>0</v>
      </c>
      <c r="I23" s="20">
        <f t="shared" si="1"/>
        <v>8.6815026766404945E-271</v>
      </c>
      <c r="J23" s="20">
        <f t="shared" si="1"/>
        <v>6.2947582439771309E-237</v>
      </c>
      <c r="K23" s="20">
        <f t="shared" si="1"/>
        <v>1.3730902812976642E-210</v>
      </c>
      <c r="L23" s="20">
        <f t="shared" si="1"/>
        <v>1.6253639849211469E-189</v>
      </c>
    </row>
    <row r="24" spans="1:13" x14ac:dyDescent="0.2">
      <c r="A24" s="62">
        <f t="shared" si="2"/>
        <v>0.69999999999999973</v>
      </c>
      <c r="B24" s="20">
        <f t="shared" si="1"/>
        <v>0</v>
      </c>
      <c r="C24" s="20">
        <f t="shared" si="1"/>
        <v>0</v>
      </c>
      <c r="D24" s="20">
        <f t="shared" si="1"/>
        <v>0</v>
      </c>
      <c r="E24" s="20">
        <f t="shared" si="1"/>
        <v>0</v>
      </c>
      <c r="F24" s="20">
        <f t="shared" si="1"/>
        <v>0</v>
      </c>
      <c r="G24" s="20">
        <f t="shared" si="1"/>
        <v>0</v>
      </c>
      <c r="H24" s="20">
        <f t="shared" si="1"/>
        <v>2.3730022111587453E-275</v>
      </c>
      <c r="I24" s="20">
        <f t="shared" si="1"/>
        <v>5.0513819447886644E-236</v>
      </c>
      <c r="J24" s="20">
        <f t="shared" si="1"/>
        <v>1.5966342898058405E-206</v>
      </c>
      <c r="K24" s="20">
        <f t="shared" si="1"/>
        <v>1.4136921459324002E-183</v>
      </c>
      <c r="L24" s="20">
        <f t="shared" si="1"/>
        <v>3.2385345814511806E-165</v>
      </c>
    </row>
    <row r="25" spans="1:13" x14ac:dyDescent="0.2">
      <c r="A25" s="62">
        <f t="shared" si="2"/>
        <v>0.64999999999999969</v>
      </c>
      <c r="B25" s="20">
        <f t="shared" si="1"/>
        <v>0</v>
      </c>
      <c r="C25" s="20">
        <f t="shared" si="1"/>
        <v>0</v>
      </c>
      <c r="D25" s="20">
        <f t="shared" si="1"/>
        <v>0</v>
      </c>
      <c r="E25" s="20">
        <f t="shared" si="1"/>
        <v>0</v>
      </c>
      <c r="F25" s="20">
        <f t="shared" si="1"/>
        <v>0</v>
      </c>
      <c r="G25" s="20">
        <f t="shared" si="1"/>
        <v>4.7386690120090595E-285</v>
      </c>
      <c r="H25" s="20">
        <f t="shared" si="1"/>
        <v>1.4113329871074318E-237</v>
      </c>
      <c r="I25" s="20">
        <f t="shared" si="1"/>
        <v>1.1603704599509832E-203</v>
      </c>
      <c r="J25" s="20">
        <f t="shared" si="1"/>
        <v>3.1954434369764522E-178</v>
      </c>
      <c r="K25" s="20">
        <f t="shared" si="1"/>
        <v>1.9679279219348242E-158</v>
      </c>
      <c r="L25" s="20">
        <f t="shared" si="1"/>
        <v>1.3423450496574509E-142</v>
      </c>
    </row>
    <row r="26" spans="1:13" x14ac:dyDescent="0.2">
      <c r="A26" s="62">
        <f t="shared" si="2"/>
        <v>0.59999999999999964</v>
      </c>
      <c r="B26" s="20">
        <f t="shared" si="1"/>
        <v>0</v>
      </c>
      <c r="C26" s="20">
        <f t="shared" si="1"/>
        <v>0</v>
      </c>
      <c r="D26" s="20">
        <f t="shared" si="1"/>
        <v>0</v>
      </c>
      <c r="E26" s="20">
        <f t="shared" si="1"/>
        <v>0</v>
      </c>
      <c r="F26" s="20">
        <f t="shared" si="1"/>
        <v>9.7261275650048494E-304</v>
      </c>
      <c r="G26" s="20">
        <f t="shared" si="1"/>
        <v>4.6002276647476563E-243</v>
      </c>
      <c r="H26" s="20">
        <f t="shared" si="1"/>
        <v>1.3173858937367216E-202</v>
      </c>
      <c r="I26" s="20">
        <f t="shared" si="1"/>
        <v>1.0531884686456096E-173</v>
      </c>
      <c r="J26" s="20">
        <f t="shared" si="1"/>
        <v>5.0501857898308837E-152</v>
      </c>
      <c r="K26" s="20">
        <f t="shared" si="1"/>
        <v>3.7069165632532546E-135</v>
      </c>
      <c r="L26" s="20">
        <f t="shared" si="1"/>
        <v>1.1583709152628361E-121</v>
      </c>
    </row>
    <row r="27" spans="1:13" x14ac:dyDescent="0.2">
      <c r="A27" s="62">
        <f t="shared" si="2"/>
        <v>0.5499999999999996</v>
      </c>
      <c r="B27" s="20">
        <f t="shared" si="1"/>
        <v>0</v>
      </c>
      <c r="C27" s="20">
        <f t="shared" si="1"/>
        <v>0</v>
      </c>
      <c r="D27" s="20">
        <f t="shared" si="1"/>
        <v>0</v>
      </c>
      <c r="E27" s="20">
        <f t="shared" si="1"/>
        <v>0</v>
      </c>
      <c r="F27" s="20">
        <f t="shared" si="1"/>
        <v>1.9652290259542801E-255</v>
      </c>
      <c r="G27" s="20">
        <f t="shared" si="1"/>
        <v>1.926367172329309E-204</v>
      </c>
      <c r="H27" s="20">
        <f t="shared" si="1"/>
        <v>1.9319348396098614E-170</v>
      </c>
      <c r="I27" s="20">
        <f t="shared" si="1"/>
        <v>3.7807802855484814E-146</v>
      </c>
      <c r="J27" s="20">
        <f t="shared" si="1"/>
        <v>6.3092279588963267E-128</v>
      </c>
      <c r="K27" s="20">
        <f t="shared" si="1"/>
        <v>9.4581673056320862E-114</v>
      </c>
      <c r="L27" s="20">
        <f t="shared" si="1"/>
        <v>2.0832406229222991E-102</v>
      </c>
    </row>
    <row r="28" spans="1:13" x14ac:dyDescent="0.2">
      <c r="A28" s="62">
        <f t="shared" si="2"/>
        <v>0.49999999999999961</v>
      </c>
      <c r="B28" s="20">
        <f t="shared" ref="B28:L40" si="3">0.5*(EXP((Pe/2-u)*$A28)*IF($A28-2*u*B$17&gt;0,ERFC(1/2/B$17^0.5*($A28-2*u*B$17)),2-ERFC(1/2/B$17^0.5*ABS($A28-2*u*B$17)))+EXP((Pe/2+u)*$A28)*ERFC(1/2/B$17^0.5*($A28+2*u*B$17)))</f>
        <v>0</v>
      </c>
      <c r="C28" s="20">
        <f t="shared" si="3"/>
        <v>0</v>
      </c>
      <c r="D28" s="20">
        <f t="shared" si="3"/>
        <v>0</v>
      </c>
      <c r="E28" s="20">
        <f t="shared" si="3"/>
        <v>1.4463606655894288E-281</v>
      </c>
      <c r="F28" s="20">
        <f t="shared" si="3"/>
        <v>2.4674888393455415E-211</v>
      </c>
      <c r="G28" s="20">
        <f t="shared" si="3"/>
        <v>3.4842281601083743E-169</v>
      </c>
      <c r="H28" s="20">
        <f t="shared" si="3"/>
        <v>4.4569481018802805E-141</v>
      </c>
      <c r="I28" s="20">
        <f t="shared" si="3"/>
        <v>5.3751564033952597E-121</v>
      </c>
      <c r="J28" s="20">
        <f t="shared" si="3"/>
        <v>6.2388546595064289E-106</v>
      </c>
      <c r="K28" s="20">
        <f t="shared" si="3"/>
        <v>3.2730875542987626E-94</v>
      </c>
      <c r="L28" s="20">
        <f t="shared" si="3"/>
        <v>7.8181534944137616E-85</v>
      </c>
    </row>
    <row r="29" spans="1:13" x14ac:dyDescent="0.2">
      <c r="A29" s="62">
        <f t="shared" si="2"/>
        <v>0.44999999999999962</v>
      </c>
      <c r="B29" s="20">
        <f t="shared" si="3"/>
        <v>0</v>
      </c>
      <c r="C29" s="20">
        <f t="shared" si="3"/>
        <v>0</v>
      </c>
      <c r="D29" s="20">
        <f t="shared" si="3"/>
        <v>0</v>
      </c>
      <c r="E29" s="20">
        <f t="shared" si="3"/>
        <v>2.4300715510572019E-228</v>
      </c>
      <c r="F29" s="20">
        <f t="shared" si="3"/>
        <v>1.9284936488108421E-171</v>
      </c>
      <c r="G29" s="20">
        <f t="shared" si="3"/>
        <v>2.7266662643097993E-137</v>
      </c>
      <c r="H29" s="20">
        <f t="shared" si="3"/>
        <v>1.6203035499330777E-114</v>
      </c>
      <c r="I29" s="20">
        <f t="shared" si="3"/>
        <v>3.0316645459823104E-98</v>
      </c>
      <c r="J29" s="20">
        <f t="shared" si="3"/>
        <v>4.8914471322017513E-86</v>
      </c>
      <c r="K29" s="20">
        <f t="shared" si="3"/>
        <v>1.5388872327021704E-76</v>
      </c>
      <c r="L29" s="20">
        <f t="shared" si="3"/>
        <v>6.1331285185462684E-69</v>
      </c>
    </row>
    <row r="30" spans="1:13" x14ac:dyDescent="0.2">
      <c r="A30" s="62">
        <f t="shared" si="2"/>
        <v>0.39999999999999963</v>
      </c>
      <c r="B30" s="20">
        <f t="shared" si="3"/>
        <v>0</v>
      </c>
      <c r="C30" s="20">
        <f t="shared" si="3"/>
        <v>0</v>
      </c>
      <c r="D30" s="20">
        <f t="shared" si="3"/>
        <v>1.2517883865007656E-270</v>
      </c>
      <c r="E30" s="20">
        <f t="shared" si="3"/>
        <v>1.006243265556906E-180</v>
      </c>
      <c r="F30" s="20">
        <f t="shared" si="3"/>
        <v>9.4041237573483759E-136</v>
      </c>
      <c r="G30" s="20">
        <f t="shared" si="3"/>
        <v>9.2539675345523961E-109</v>
      </c>
      <c r="H30" s="20">
        <f t="shared" si="3"/>
        <v>9.3041828367842021E-91</v>
      </c>
      <c r="I30" s="20">
        <f t="shared" si="3"/>
        <v>6.7991962860047099E-78</v>
      </c>
      <c r="J30" s="20">
        <f t="shared" si="3"/>
        <v>3.0477297207035639E-68</v>
      </c>
      <c r="K30" s="20">
        <f t="shared" si="3"/>
        <v>9.8526719687283708E-61</v>
      </c>
      <c r="L30" s="20">
        <f t="shared" si="3"/>
        <v>1.0080205178019971E-54</v>
      </c>
    </row>
    <row r="31" spans="1:13" x14ac:dyDescent="0.2">
      <c r="A31" s="62">
        <f t="shared" si="2"/>
        <v>0.34999999999999964</v>
      </c>
      <c r="B31" s="20">
        <f t="shared" si="3"/>
        <v>0</v>
      </c>
      <c r="C31" s="20">
        <f t="shared" si="3"/>
        <v>0</v>
      </c>
      <c r="D31" s="20">
        <f t="shared" si="3"/>
        <v>1.4418476562903518E-207</v>
      </c>
      <c r="E31" s="20">
        <f t="shared" si="3"/>
        <v>1.0302771067038016E-138</v>
      </c>
      <c r="F31" s="20">
        <f t="shared" si="3"/>
        <v>2.8706165444741984E-104</v>
      </c>
      <c r="G31" s="20">
        <f t="shared" si="3"/>
        <v>1.3664954921943971E-83</v>
      </c>
      <c r="H31" s="20">
        <f t="shared" si="3"/>
        <v>8.4662467137424309E-70</v>
      </c>
      <c r="I31" s="20">
        <f t="shared" si="3"/>
        <v>6.0830643241673306E-60</v>
      </c>
      <c r="J31" s="20">
        <f t="shared" si="3"/>
        <v>1.5139740445692533E-52</v>
      </c>
      <c r="K31" s="20">
        <f t="shared" si="3"/>
        <v>8.617672647259437E-47</v>
      </c>
      <c r="L31" s="20">
        <f t="shared" si="3"/>
        <v>3.482180425582422E-42</v>
      </c>
    </row>
    <row r="32" spans="1:13" x14ac:dyDescent="0.2">
      <c r="A32" s="62">
        <f t="shared" si="2"/>
        <v>0.29999999999999966</v>
      </c>
      <c r="B32" s="20">
        <f t="shared" si="3"/>
        <v>0</v>
      </c>
      <c r="C32" s="20">
        <f t="shared" si="3"/>
        <v>1.2342841979652138E-304</v>
      </c>
      <c r="D32" s="20">
        <f t="shared" si="3"/>
        <v>6.4383045148213883E-153</v>
      </c>
      <c r="E32" s="20">
        <f t="shared" si="3"/>
        <v>2.6209109576646751E-102</v>
      </c>
      <c r="F32" s="20">
        <f t="shared" si="3"/>
        <v>5.5113423696836825E-77</v>
      </c>
      <c r="G32" s="20">
        <f t="shared" si="3"/>
        <v>8.8212500497290061E-62</v>
      </c>
      <c r="H32" s="20">
        <f t="shared" si="3"/>
        <v>1.2265376993184325E-51</v>
      </c>
      <c r="I32" s="20">
        <f t="shared" si="3"/>
        <v>2.1812794360530723E-44</v>
      </c>
      <c r="J32" s="20">
        <f t="shared" si="3"/>
        <v>6.0240471706072676E-39</v>
      </c>
      <c r="K32" s="20">
        <f t="shared" si="3"/>
        <v>1.0344972432717507E-34</v>
      </c>
      <c r="L32" s="20">
        <f t="shared" si="3"/>
        <v>2.5399907951632842E-31</v>
      </c>
    </row>
    <row r="33" spans="1:13" x14ac:dyDescent="0.2">
      <c r="A33" s="62">
        <f t="shared" si="2"/>
        <v>0.24999999999999967</v>
      </c>
      <c r="B33" s="20">
        <f t="shared" si="3"/>
        <v>0</v>
      </c>
      <c r="C33" s="20">
        <f t="shared" si="3"/>
        <v>4.4206119223642437E-212</v>
      </c>
      <c r="D33" s="20">
        <f t="shared" si="3"/>
        <v>1.1228385391314551E-106</v>
      </c>
      <c r="E33" s="20">
        <f t="shared" si="3"/>
        <v>1.668797399804056E-71</v>
      </c>
      <c r="F33" s="20">
        <f t="shared" si="3"/>
        <v>6.7042075885709973E-54</v>
      </c>
      <c r="G33" s="20">
        <f t="shared" si="3"/>
        <v>2.5075712373572213E-43</v>
      </c>
      <c r="H33" s="20">
        <f t="shared" si="3"/>
        <v>2.849608591840423E-36</v>
      </c>
      <c r="I33" s="20">
        <f t="shared" si="3"/>
        <v>3.157470372258021E-31</v>
      </c>
      <c r="J33" s="20">
        <f t="shared" si="3"/>
        <v>1.9336582164894013E-27</v>
      </c>
      <c r="K33" s="20">
        <f t="shared" si="3"/>
        <v>1.7165023687122622E-24</v>
      </c>
      <c r="L33" s="20">
        <f t="shared" si="3"/>
        <v>3.9397046016317451E-22</v>
      </c>
    </row>
    <row r="34" spans="1:13" x14ac:dyDescent="0.2">
      <c r="A34" s="62">
        <f t="shared" si="2"/>
        <v>0.19999999999999968</v>
      </c>
      <c r="B34" s="20">
        <f t="shared" si="3"/>
        <v>0</v>
      </c>
      <c r="C34" s="20">
        <f t="shared" si="3"/>
        <v>2.3784634166818494E-136</v>
      </c>
      <c r="D34" s="20">
        <f t="shared" si="3"/>
        <v>7.7434249228583086E-69</v>
      </c>
      <c r="E34" s="20">
        <f t="shared" si="3"/>
        <v>2.692327950737088E-46</v>
      </c>
      <c r="F34" s="20">
        <f t="shared" si="3"/>
        <v>5.2301045241336937E-35</v>
      </c>
      <c r="G34" s="20">
        <f t="shared" si="3"/>
        <v>3.1767957426487564E-28</v>
      </c>
      <c r="H34" s="20">
        <f t="shared" si="3"/>
        <v>1.0743940810278954E-23</v>
      </c>
      <c r="I34" s="20">
        <f t="shared" si="3"/>
        <v>1.8668765785118224E-20</v>
      </c>
      <c r="J34" s="20">
        <f t="shared" si="3"/>
        <v>5.0658529865474802E-18</v>
      </c>
      <c r="K34" s="20">
        <f t="shared" si="3"/>
        <v>3.9824234518459228E-16</v>
      </c>
      <c r="L34" s="20">
        <f t="shared" si="3"/>
        <v>1.31435118769002E-14</v>
      </c>
    </row>
    <row r="35" spans="1:13" x14ac:dyDescent="0.2">
      <c r="A35" s="62">
        <f t="shared" si="2"/>
        <v>0.14999999999999969</v>
      </c>
      <c r="B35" s="20">
        <f t="shared" si="3"/>
        <v>0</v>
      </c>
      <c r="C35" s="20">
        <f t="shared" si="3"/>
        <v>1.9678131854771575E-77</v>
      </c>
      <c r="D35" s="20">
        <f t="shared" si="3"/>
        <v>2.1606233201330033E-39</v>
      </c>
      <c r="E35" s="20">
        <f t="shared" si="3"/>
        <v>1.1257087742726721E-26</v>
      </c>
      <c r="F35" s="20">
        <f t="shared" si="3"/>
        <v>2.6754311482750133E-20</v>
      </c>
      <c r="G35" s="20">
        <f t="shared" si="3"/>
        <v>1.8333216064003383E-16</v>
      </c>
      <c r="H35" s="20">
        <f t="shared" si="3"/>
        <v>6.7169946765449864E-14</v>
      </c>
      <c r="I35" s="20">
        <f t="shared" si="3"/>
        <v>4.605352457735086E-12</v>
      </c>
      <c r="J35" s="20">
        <f t="shared" si="3"/>
        <v>1.1061097066260832E-10</v>
      </c>
      <c r="K35" s="20">
        <f t="shared" si="3"/>
        <v>1.3188729506679683E-9</v>
      </c>
      <c r="L35" s="20">
        <f t="shared" si="3"/>
        <v>9.6253754771145635E-9</v>
      </c>
    </row>
    <row r="36" spans="1:13" x14ac:dyDescent="0.2">
      <c r="A36" s="62">
        <f t="shared" si="2"/>
        <v>9.9999999999999686E-2</v>
      </c>
      <c r="B36" s="20">
        <f t="shared" si="3"/>
        <v>0</v>
      </c>
      <c r="C36" s="20">
        <f t="shared" si="3"/>
        <v>2.6361881356811631E-35</v>
      </c>
      <c r="D36" s="20">
        <f t="shared" si="3"/>
        <v>2.5647443496348968E-18</v>
      </c>
      <c r="E36" s="20">
        <f t="shared" si="3"/>
        <v>1.2808170265336047E-12</v>
      </c>
      <c r="F36" s="20">
        <f t="shared" si="3"/>
        <v>9.4107837829809703E-10</v>
      </c>
      <c r="G36" s="20">
        <f t="shared" si="3"/>
        <v>5.047809658531336E-8</v>
      </c>
      <c r="H36" s="20">
        <f t="shared" si="3"/>
        <v>7.2849346478459667E-7</v>
      </c>
      <c r="I36" s="20">
        <f t="shared" si="3"/>
        <v>4.9535921458367238E-6</v>
      </c>
      <c r="J36" s="20">
        <f t="shared" si="3"/>
        <v>2.1014271949973556E-5</v>
      </c>
      <c r="K36" s="20">
        <f t="shared" si="3"/>
        <v>6.5026569026569906E-5</v>
      </c>
      <c r="L36" s="20">
        <f t="shared" si="3"/>
        <v>1.6123744500353728E-4</v>
      </c>
    </row>
    <row r="37" spans="1:13" x14ac:dyDescent="0.2">
      <c r="A37" s="62">
        <f t="shared" si="2"/>
        <v>4.9999999999999684E-2</v>
      </c>
      <c r="B37" s="20">
        <f t="shared" si="3"/>
        <v>0</v>
      </c>
      <c r="C37" s="20">
        <f t="shared" si="3"/>
        <v>6.6954261484184422E-10</v>
      </c>
      <c r="D37" s="20">
        <f t="shared" si="3"/>
        <v>1.5011437857727258E-5</v>
      </c>
      <c r="E37" s="20">
        <f t="shared" si="3"/>
        <v>4.5565240406111141E-4</v>
      </c>
      <c r="F37" s="20">
        <f t="shared" si="3"/>
        <v>2.5956615748144408E-3</v>
      </c>
      <c r="G37" s="20">
        <f t="shared" si="3"/>
        <v>7.5116021264679221E-3</v>
      </c>
      <c r="H37" s="20">
        <f t="shared" si="3"/>
        <v>1.5434467073832874E-2</v>
      </c>
      <c r="I37" s="20">
        <f t="shared" si="3"/>
        <v>2.6022700906607639E-2</v>
      </c>
      <c r="J37" s="20">
        <f t="shared" si="3"/>
        <v>3.8723581961885897E-2</v>
      </c>
      <c r="K37" s="20">
        <f t="shared" si="3"/>
        <v>5.2976598136034767E-2</v>
      </c>
      <c r="L37" s="20">
        <f t="shared" si="3"/>
        <v>6.8295184354954422E-2</v>
      </c>
    </row>
    <row r="38" spans="1:13" x14ac:dyDescent="0.2">
      <c r="A38" s="62">
        <v>0.01</v>
      </c>
      <c r="B38" s="20">
        <f t="shared" si="3"/>
        <v>0</v>
      </c>
      <c r="C38" s="20">
        <f t="shared" si="3"/>
        <v>0.22796983471573984</v>
      </c>
      <c r="D38" s="20">
        <f t="shared" si="3"/>
        <v>0.40492828855687713</v>
      </c>
      <c r="E38" s="20">
        <f t="shared" si="3"/>
        <v>0.50483824950265621</v>
      </c>
      <c r="F38" s="20">
        <f t="shared" si="3"/>
        <v>0.57023191324187117</v>
      </c>
      <c r="G38" s="20">
        <f t="shared" si="3"/>
        <v>0.61712975355257238</v>
      </c>
      <c r="H38" s="20">
        <f t="shared" si="3"/>
        <v>0.65282316826788689</v>
      </c>
      <c r="I38" s="20">
        <f t="shared" si="3"/>
        <v>0.68113947217584814</v>
      </c>
      <c r="J38" s="20">
        <f t="shared" si="3"/>
        <v>0.70429965585583476</v>
      </c>
      <c r="K38" s="20">
        <f t="shared" si="3"/>
        <v>0.72369086179594055</v>
      </c>
      <c r="L38" s="20">
        <f t="shared" si="3"/>
        <v>0.74022936188303179</v>
      </c>
    </row>
    <row r="39" spans="1:13" x14ac:dyDescent="0.2">
      <c r="A39" s="62">
        <v>1E-3</v>
      </c>
      <c r="B39" s="20">
        <f t="shared" si="3"/>
        <v>1.5480986545222569E-12</v>
      </c>
      <c r="C39" s="20">
        <f t="shared" si="3"/>
        <v>0.90698890760672446</v>
      </c>
      <c r="D39" s="20">
        <f t="shared" si="3"/>
        <v>0.93606560251060689</v>
      </c>
      <c r="E39" s="20">
        <f t="shared" si="3"/>
        <v>0.9489587660417933</v>
      </c>
      <c r="F39" s="20">
        <f t="shared" si="3"/>
        <v>0.95664000982839903</v>
      </c>
      <c r="G39" s="20">
        <f t="shared" si="3"/>
        <v>0.96187653734109757</v>
      </c>
      <c r="H39" s="20">
        <f t="shared" si="3"/>
        <v>0.9657372707389219</v>
      </c>
      <c r="I39" s="20">
        <f t="shared" si="3"/>
        <v>0.96873387980560377</v>
      </c>
      <c r="J39" s="20">
        <f t="shared" si="3"/>
        <v>0.97114605564490941</v>
      </c>
      <c r="K39" s="20">
        <f t="shared" si="3"/>
        <v>0.97314127447966126</v>
      </c>
      <c r="L39" s="20">
        <f t="shared" si="3"/>
        <v>0.97482674367848654</v>
      </c>
    </row>
    <row r="40" spans="1:13" x14ac:dyDescent="0.2">
      <c r="A40" s="62">
        <v>0</v>
      </c>
      <c r="B40" s="20">
        <f t="shared" si="3"/>
        <v>1</v>
      </c>
      <c r="C40" s="20">
        <f t="shared" si="3"/>
        <v>1</v>
      </c>
      <c r="D40" s="20">
        <f t="shared" si="3"/>
        <v>1</v>
      </c>
      <c r="E40" s="20">
        <f t="shared" si="3"/>
        <v>1</v>
      </c>
      <c r="F40" s="20">
        <f t="shared" si="3"/>
        <v>1</v>
      </c>
      <c r="G40" s="20">
        <f t="shared" si="3"/>
        <v>1</v>
      </c>
      <c r="H40" s="20">
        <f t="shared" si="3"/>
        <v>1</v>
      </c>
      <c r="I40" s="20">
        <f t="shared" si="3"/>
        <v>1</v>
      </c>
      <c r="J40" s="20">
        <f t="shared" si="3"/>
        <v>1</v>
      </c>
      <c r="K40" s="20">
        <f t="shared" si="3"/>
        <v>1</v>
      </c>
      <c r="L40" s="20">
        <f t="shared" si="3"/>
        <v>1</v>
      </c>
    </row>
    <row r="42" spans="1:13" x14ac:dyDescent="0.2">
      <c r="A42" s="83" t="s">
        <v>41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</row>
    <row r="43" spans="1:13" x14ac:dyDescent="0.2">
      <c r="A43" s="30"/>
      <c r="B43" s="82" t="s">
        <v>38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</row>
    <row r="44" spans="1:13" x14ac:dyDescent="0.2">
      <c r="A44" s="37" t="s">
        <v>42</v>
      </c>
      <c r="B44" s="38">
        <f t="shared" ref="B44:L44" si="4">B17*hcap^2*_Rf1/Deff</f>
        <v>8.8029174003715152E-4</v>
      </c>
      <c r="C44" s="38">
        <f t="shared" si="4"/>
        <v>2.8376346210918943</v>
      </c>
      <c r="D44" s="38">
        <f t="shared" si="4"/>
        <v>5.6752692421837887</v>
      </c>
      <c r="E44" s="38">
        <f t="shared" si="4"/>
        <v>8.5129038632756817</v>
      </c>
      <c r="F44" s="38">
        <f t="shared" si="4"/>
        <v>11.350538484367577</v>
      </c>
      <c r="G44" s="38">
        <f t="shared" si="4"/>
        <v>14.188173105459471</v>
      </c>
      <c r="H44" s="38">
        <f t="shared" si="4"/>
        <v>17.025807726551363</v>
      </c>
      <c r="I44" s="38">
        <f t="shared" si="4"/>
        <v>19.863442347643264</v>
      </c>
      <c r="J44" s="38">
        <f t="shared" si="4"/>
        <v>22.701076968735155</v>
      </c>
      <c r="K44" s="38">
        <f t="shared" si="4"/>
        <v>25.538711589827056</v>
      </c>
      <c r="L44" s="38">
        <f t="shared" si="4"/>
        <v>28.376346210918953</v>
      </c>
      <c r="M44" s="34"/>
    </row>
    <row r="45" spans="1:13" x14ac:dyDescent="0.2">
      <c r="A45" s="39">
        <f t="shared" ref="A45:A67" si="5">(1-A18)*hcap</f>
        <v>0</v>
      </c>
      <c r="B45" s="20">
        <f t="shared" ref="B45:L45" si="6">B18*C0</f>
        <v>0</v>
      </c>
      <c r="C45" s="20">
        <f t="shared" si="6"/>
        <v>0</v>
      </c>
      <c r="D45" s="20">
        <f t="shared" si="6"/>
        <v>0</v>
      </c>
      <c r="E45" s="20">
        <f t="shared" si="6"/>
        <v>0</v>
      </c>
      <c r="F45" s="20">
        <f t="shared" si="6"/>
        <v>0</v>
      </c>
      <c r="G45" s="20">
        <f t="shared" si="6"/>
        <v>0</v>
      </c>
      <c r="H45" s="20">
        <f t="shared" si="6"/>
        <v>0</v>
      </c>
      <c r="I45" s="20">
        <f t="shared" si="6"/>
        <v>0</v>
      </c>
      <c r="J45" s="20">
        <f t="shared" si="6"/>
        <v>0</v>
      </c>
      <c r="K45" s="20">
        <f t="shared" si="6"/>
        <v>0</v>
      </c>
      <c r="L45" s="20">
        <f t="shared" si="6"/>
        <v>0</v>
      </c>
    </row>
    <row r="46" spans="1:13" x14ac:dyDescent="0.2">
      <c r="A46" s="39">
        <f t="shared" si="5"/>
        <v>1.3500000000000012</v>
      </c>
      <c r="B46" s="20">
        <f t="shared" ref="B46:L46" si="7">B19*C0</f>
        <v>0</v>
      </c>
      <c r="C46" s="20">
        <f t="shared" si="7"/>
        <v>0</v>
      </c>
      <c r="D46" s="20">
        <f t="shared" si="7"/>
        <v>0</v>
      </c>
      <c r="E46" s="20">
        <f t="shared" si="7"/>
        <v>0</v>
      </c>
      <c r="F46" s="20">
        <f t="shared" si="7"/>
        <v>0</v>
      </c>
      <c r="G46" s="20">
        <f t="shared" si="7"/>
        <v>0</v>
      </c>
      <c r="H46" s="20">
        <f t="shared" si="7"/>
        <v>0</v>
      </c>
      <c r="I46" s="20">
        <f t="shared" si="7"/>
        <v>0</v>
      </c>
      <c r="J46" s="20">
        <f t="shared" si="7"/>
        <v>0</v>
      </c>
      <c r="K46" s="20">
        <f t="shared" si="7"/>
        <v>0</v>
      </c>
      <c r="L46" s="20">
        <f t="shared" si="7"/>
        <v>7.7727264727668145E-304</v>
      </c>
    </row>
    <row r="47" spans="1:13" x14ac:dyDescent="0.2">
      <c r="A47" s="39">
        <f t="shared" si="5"/>
        <v>2.7000000000000024</v>
      </c>
      <c r="B47" s="20">
        <f t="shared" ref="B47:L47" si="8">B20*C0</f>
        <v>0</v>
      </c>
      <c r="C47" s="20">
        <f t="shared" si="8"/>
        <v>0</v>
      </c>
      <c r="D47" s="20">
        <f t="shared" si="8"/>
        <v>0</v>
      </c>
      <c r="E47" s="20">
        <f t="shared" si="8"/>
        <v>0</v>
      </c>
      <c r="F47" s="20">
        <f t="shared" si="8"/>
        <v>0</v>
      </c>
      <c r="G47" s="20">
        <f t="shared" si="8"/>
        <v>0</v>
      </c>
      <c r="H47" s="20">
        <f t="shared" si="8"/>
        <v>0</v>
      </c>
      <c r="I47" s="20">
        <f t="shared" si="8"/>
        <v>0</v>
      </c>
      <c r="J47" s="20">
        <f t="shared" si="8"/>
        <v>0</v>
      </c>
      <c r="K47" s="20">
        <f t="shared" si="8"/>
        <v>7.640732781460096E-303</v>
      </c>
      <c r="L47" s="20">
        <f t="shared" si="8"/>
        <v>1.6553058712403866E-272</v>
      </c>
    </row>
    <row r="48" spans="1:13" x14ac:dyDescent="0.2">
      <c r="A48" s="39">
        <f t="shared" si="5"/>
        <v>4.0500000000000034</v>
      </c>
      <c r="B48" s="20">
        <f t="shared" ref="B48:L48" si="9">B21*C0</f>
        <v>0</v>
      </c>
      <c r="C48" s="20">
        <f t="shared" si="9"/>
        <v>0</v>
      </c>
      <c r="D48" s="20">
        <f t="shared" si="9"/>
        <v>0</v>
      </c>
      <c r="E48" s="20">
        <f t="shared" si="9"/>
        <v>0</v>
      </c>
      <c r="F48" s="20">
        <f t="shared" si="9"/>
        <v>0</v>
      </c>
      <c r="G48" s="20">
        <f t="shared" si="9"/>
        <v>0</v>
      </c>
      <c r="H48" s="20">
        <f t="shared" si="9"/>
        <v>0</v>
      </c>
      <c r="I48" s="20">
        <f t="shared" si="9"/>
        <v>0</v>
      </c>
      <c r="J48" s="20">
        <f t="shared" si="9"/>
        <v>2.4072529994857514E-304</v>
      </c>
      <c r="K48" s="20">
        <f t="shared" si="9"/>
        <v>3.1937540185755904E-270</v>
      </c>
      <c r="L48" s="20">
        <f t="shared" si="9"/>
        <v>3.676440446904288E-243</v>
      </c>
    </row>
    <row r="49" spans="1:14" x14ac:dyDescent="0.2">
      <c r="A49" s="39">
        <f t="shared" si="5"/>
        <v>5.4000000000000048</v>
      </c>
      <c r="B49" s="20">
        <f t="shared" ref="B49:L49" si="10">B22*C0</f>
        <v>0</v>
      </c>
      <c r="C49" s="20">
        <f t="shared" si="10"/>
        <v>0</v>
      </c>
      <c r="D49" s="20">
        <f t="shared" si="10"/>
        <v>0</v>
      </c>
      <c r="E49" s="20">
        <f t="shared" si="10"/>
        <v>0</v>
      </c>
      <c r="F49" s="20">
        <f t="shared" si="10"/>
        <v>0</v>
      </c>
      <c r="G49" s="20">
        <f t="shared" si="10"/>
        <v>0</v>
      </c>
      <c r="H49" s="20">
        <f t="shared" si="10"/>
        <v>0</v>
      </c>
      <c r="I49" s="20">
        <f t="shared" si="10"/>
        <v>2.9547490945379582E-308</v>
      </c>
      <c r="J49" s="20">
        <f t="shared" si="10"/>
        <v>1.9568983886300428E-269</v>
      </c>
      <c r="K49" s="20">
        <f t="shared" si="10"/>
        <v>1.8020160630494249E-239</v>
      </c>
      <c r="L49" s="20">
        <f t="shared" si="10"/>
        <v>1.6958504964223808E-215</v>
      </c>
    </row>
    <row r="50" spans="1:14" x14ac:dyDescent="0.2">
      <c r="A50" s="39">
        <f t="shared" si="5"/>
        <v>6.7500000000000062</v>
      </c>
      <c r="B50" s="20">
        <f t="shared" ref="B50:L50" si="11">B23*C0</f>
        <v>0</v>
      </c>
      <c r="C50" s="20">
        <f t="shared" si="11"/>
        <v>0</v>
      </c>
      <c r="D50" s="20">
        <f t="shared" si="11"/>
        <v>0</v>
      </c>
      <c r="E50" s="20">
        <f t="shared" si="11"/>
        <v>0</v>
      </c>
      <c r="F50" s="20">
        <f t="shared" si="11"/>
        <v>0</v>
      </c>
      <c r="G50" s="20">
        <f t="shared" si="11"/>
        <v>0</v>
      </c>
      <c r="H50" s="20">
        <f t="shared" si="11"/>
        <v>0</v>
      </c>
      <c r="I50" s="20">
        <f t="shared" si="11"/>
        <v>8.6815026766404945E-271</v>
      </c>
      <c r="J50" s="20">
        <f t="shared" si="11"/>
        <v>6.2947582439771309E-237</v>
      </c>
      <c r="K50" s="20">
        <f t="shared" si="11"/>
        <v>1.3730902812976642E-210</v>
      </c>
      <c r="L50" s="20">
        <f t="shared" si="11"/>
        <v>1.6253639849211469E-189</v>
      </c>
    </row>
    <row r="51" spans="1:14" x14ac:dyDescent="0.2">
      <c r="A51" s="39">
        <f t="shared" si="5"/>
        <v>8.1000000000000068</v>
      </c>
      <c r="B51" s="20">
        <f t="shared" ref="B51:L51" si="12">B24*C0</f>
        <v>0</v>
      </c>
      <c r="C51" s="20">
        <f t="shared" si="12"/>
        <v>0</v>
      </c>
      <c r="D51" s="20">
        <f t="shared" si="12"/>
        <v>0</v>
      </c>
      <c r="E51" s="20">
        <f t="shared" si="12"/>
        <v>0</v>
      </c>
      <c r="F51" s="20">
        <f t="shared" si="12"/>
        <v>0</v>
      </c>
      <c r="G51" s="20">
        <f t="shared" si="12"/>
        <v>0</v>
      </c>
      <c r="H51" s="20">
        <f t="shared" si="12"/>
        <v>2.3730022111587453E-275</v>
      </c>
      <c r="I51" s="20">
        <f t="shared" si="12"/>
        <v>5.0513819447886644E-236</v>
      </c>
      <c r="J51" s="20">
        <f t="shared" si="12"/>
        <v>1.5966342898058405E-206</v>
      </c>
      <c r="K51" s="20">
        <f t="shared" si="12"/>
        <v>1.4136921459324002E-183</v>
      </c>
      <c r="L51" s="20">
        <f t="shared" si="12"/>
        <v>3.2385345814511806E-165</v>
      </c>
      <c r="M51" s="20"/>
      <c r="N51" s="44"/>
    </row>
    <row r="52" spans="1:14" x14ac:dyDescent="0.2">
      <c r="A52" s="39">
        <f t="shared" si="5"/>
        <v>9.4500000000000082</v>
      </c>
      <c r="B52" s="20">
        <f t="shared" ref="B52:L52" si="13">B25*C0</f>
        <v>0</v>
      </c>
      <c r="C52" s="20">
        <f t="shared" si="13"/>
        <v>0</v>
      </c>
      <c r="D52" s="20">
        <f t="shared" si="13"/>
        <v>0</v>
      </c>
      <c r="E52" s="20">
        <f t="shared" si="13"/>
        <v>0</v>
      </c>
      <c r="F52" s="20">
        <f t="shared" si="13"/>
        <v>0</v>
      </c>
      <c r="G52" s="20">
        <f t="shared" si="13"/>
        <v>4.7386690120090595E-285</v>
      </c>
      <c r="H52" s="20">
        <f t="shared" si="13"/>
        <v>1.4113329871074318E-237</v>
      </c>
      <c r="I52" s="20">
        <f t="shared" si="13"/>
        <v>1.1603704599509832E-203</v>
      </c>
      <c r="J52" s="20">
        <f t="shared" si="13"/>
        <v>3.1954434369764522E-178</v>
      </c>
      <c r="K52" s="20">
        <f t="shared" si="13"/>
        <v>1.9679279219348242E-158</v>
      </c>
      <c r="L52" s="20">
        <f t="shared" si="13"/>
        <v>1.3423450496574509E-142</v>
      </c>
      <c r="M52" s="20"/>
      <c r="N52" s="44"/>
    </row>
    <row r="53" spans="1:14" x14ac:dyDescent="0.2">
      <c r="A53" s="39">
        <f t="shared" si="5"/>
        <v>10.80000000000001</v>
      </c>
      <c r="B53" s="20">
        <f t="shared" ref="B53:L53" si="14">B26*C0</f>
        <v>0</v>
      </c>
      <c r="C53" s="20">
        <f t="shared" si="14"/>
        <v>0</v>
      </c>
      <c r="D53" s="20">
        <f t="shared" si="14"/>
        <v>0</v>
      </c>
      <c r="E53" s="20">
        <f t="shared" si="14"/>
        <v>0</v>
      </c>
      <c r="F53" s="20">
        <f t="shared" si="14"/>
        <v>9.7261275650048494E-304</v>
      </c>
      <c r="G53" s="20">
        <f t="shared" si="14"/>
        <v>4.6002276647476563E-243</v>
      </c>
      <c r="H53" s="20">
        <f t="shared" si="14"/>
        <v>1.3173858937367216E-202</v>
      </c>
      <c r="I53" s="20">
        <f t="shared" si="14"/>
        <v>1.0531884686456096E-173</v>
      </c>
      <c r="J53" s="20">
        <f t="shared" si="14"/>
        <v>5.0501857898308837E-152</v>
      </c>
      <c r="K53" s="20">
        <f t="shared" si="14"/>
        <v>3.7069165632532546E-135</v>
      </c>
      <c r="L53" s="20">
        <f t="shared" si="14"/>
        <v>1.1583709152628361E-121</v>
      </c>
      <c r="M53" s="20"/>
      <c r="N53" s="44"/>
    </row>
    <row r="54" spans="1:14" x14ac:dyDescent="0.2">
      <c r="A54" s="39">
        <f t="shared" si="5"/>
        <v>12.150000000000011</v>
      </c>
      <c r="B54" s="20">
        <f t="shared" ref="B54:L54" si="15">B27*C0</f>
        <v>0</v>
      </c>
      <c r="C54" s="20">
        <f t="shared" si="15"/>
        <v>0</v>
      </c>
      <c r="D54" s="20">
        <f t="shared" si="15"/>
        <v>0</v>
      </c>
      <c r="E54" s="20">
        <f t="shared" si="15"/>
        <v>0</v>
      </c>
      <c r="F54" s="20">
        <f t="shared" si="15"/>
        <v>1.9652290259542801E-255</v>
      </c>
      <c r="G54" s="20">
        <f t="shared" si="15"/>
        <v>1.926367172329309E-204</v>
      </c>
      <c r="H54" s="20">
        <f t="shared" si="15"/>
        <v>1.9319348396098614E-170</v>
      </c>
      <c r="I54" s="20">
        <f t="shared" si="15"/>
        <v>3.7807802855484814E-146</v>
      </c>
      <c r="J54" s="20">
        <f t="shared" si="15"/>
        <v>6.3092279588963267E-128</v>
      </c>
      <c r="K54" s="20">
        <f t="shared" si="15"/>
        <v>9.4581673056320862E-114</v>
      </c>
      <c r="L54" s="20">
        <f t="shared" si="15"/>
        <v>2.0832406229222991E-102</v>
      </c>
      <c r="M54" s="20"/>
      <c r="N54" s="44"/>
    </row>
    <row r="55" spans="1:14" x14ac:dyDescent="0.2">
      <c r="A55" s="39">
        <f t="shared" si="5"/>
        <v>13.500000000000012</v>
      </c>
      <c r="B55" s="20">
        <f t="shared" ref="B55:L55" si="16">B28*C0</f>
        <v>0</v>
      </c>
      <c r="C55" s="20">
        <f t="shared" si="16"/>
        <v>0</v>
      </c>
      <c r="D55" s="20">
        <f t="shared" si="16"/>
        <v>0</v>
      </c>
      <c r="E55" s="20">
        <f t="shared" si="16"/>
        <v>1.4463606655894288E-281</v>
      </c>
      <c r="F55" s="20">
        <f t="shared" si="16"/>
        <v>2.4674888393455415E-211</v>
      </c>
      <c r="G55" s="20">
        <f t="shared" si="16"/>
        <v>3.4842281601083743E-169</v>
      </c>
      <c r="H55" s="20">
        <f t="shared" si="16"/>
        <v>4.4569481018802805E-141</v>
      </c>
      <c r="I55" s="20">
        <f t="shared" si="16"/>
        <v>5.3751564033952597E-121</v>
      </c>
      <c r="J55" s="20">
        <f t="shared" si="16"/>
        <v>6.2388546595064289E-106</v>
      </c>
      <c r="K55" s="20">
        <f t="shared" si="16"/>
        <v>3.2730875542987626E-94</v>
      </c>
      <c r="L55" s="20">
        <f t="shared" si="16"/>
        <v>7.8181534944137616E-85</v>
      </c>
    </row>
    <row r="56" spans="1:14" x14ac:dyDescent="0.2">
      <c r="A56" s="39">
        <f t="shared" si="5"/>
        <v>14.85000000000001</v>
      </c>
      <c r="B56" s="20">
        <f t="shared" ref="B56:L56" si="17">B29*C0</f>
        <v>0</v>
      </c>
      <c r="C56" s="20">
        <f t="shared" si="17"/>
        <v>0</v>
      </c>
      <c r="D56" s="20">
        <f t="shared" si="17"/>
        <v>0</v>
      </c>
      <c r="E56" s="20">
        <f t="shared" si="17"/>
        <v>2.4300715510572019E-228</v>
      </c>
      <c r="F56" s="20">
        <f t="shared" si="17"/>
        <v>1.9284936488108421E-171</v>
      </c>
      <c r="G56" s="20">
        <f t="shared" si="17"/>
        <v>2.7266662643097993E-137</v>
      </c>
      <c r="H56" s="20">
        <f t="shared" si="17"/>
        <v>1.6203035499330777E-114</v>
      </c>
      <c r="I56" s="20">
        <f t="shared" si="17"/>
        <v>3.0316645459823104E-98</v>
      </c>
      <c r="J56" s="20">
        <f t="shared" si="17"/>
        <v>4.8914471322017513E-86</v>
      </c>
      <c r="K56" s="20">
        <f t="shared" si="17"/>
        <v>1.5388872327021704E-76</v>
      </c>
      <c r="L56" s="20">
        <f t="shared" si="17"/>
        <v>6.1331285185462684E-69</v>
      </c>
    </row>
    <row r="57" spans="1:14" x14ac:dyDescent="0.2">
      <c r="A57" s="39">
        <f t="shared" si="5"/>
        <v>16.20000000000001</v>
      </c>
      <c r="B57" s="20">
        <f t="shared" ref="B57:L57" si="18">B30*C0</f>
        <v>0</v>
      </c>
      <c r="C57" s="20">
        <f t="shared" si="18"/>
        <v>0</v>
      </c>
      <c r="D57" s="20">
        <f t="shared" si="18"/>
        <v>1.2517883865007656E-270</v>
      </c>
      <c r="E57" s="20">
        <f t="shared" si="18"/>
        <v>1.006243265556906E-180</v>
      </c>
      <c r="F57" s="20">
        <f t="shared" si="18"/>
        <v>9.4041237573483759E-136</v>
      </c>
      <c r="G57" s="20">
        <f t="shared" si="18"/>
        <v>9.2539675345523961E-109</v>
      </c>
      <c r="H57" s="20">
        <f t="shared" si="18"/>
        <v>9.3041828367842021E-91</v>
      </c>
      <c r="I57" s="20">
        <f t="shared" si="18"/>
        <v>6.7991962860047099E-78</v>
      </c>
      <c r="J57" s="20">
        <f t="shared" si="18"/>
        <v>3.0477297207035639E-68</v>
      </c>
      <c r="K57" s="20">
        <f t="shared" si="18"/>
        <v>9.8526719687283708E-61</v>
      </c>
      <c r="L57" s="20">
        <f t="shared" si="18"/>
        <v>1.0080205178019971E-54</v>
      </c>
    </row>
    <row r="58" spans="1:14" x14ac:dyDescent="0.2">
      <c r="A58" s="39">
        <f t="shared" si="5"/>
        <v>17.550000000000011</v>
      </c>
      <c r="B58" s="20">
        <f t="shared" ref="B58:L58" si="19">B31*C0</f>
        <v>0</v>
      </c>
      <c r="C58" s="20">
        <f t="shared" si="19"/>
        <v>0</v>
      </c>
      <c r="D58" s="20">
        <f t="shared" si="19"/>
        <v>1.4418476562903518E-207</v>
      </c>
      <c r="E58" s="20">
        <f t="shared" si="19"/>
        <v>1.0302771067038016E-138</v>
      </c>
      <c r="F58" s="20">
        <f t="shared" si="19"/>
        <v>2.8706165444741984E-104</v>
      </c>
      <c r="G58" s="20">
        <f t="shared" si="19"/>
        <v>1.3664954921943971E-83</v>
      </c>
      <c r="H58" s="20">
        <f t="shared" si="19"/>
        <v>8.4662467137424309E-70</v>
      </c>
      <c r="I58" s="20">
        <f t="shared" si="19"/>
        <v>6.0830643241673306E-60</v>
      </c>
      <c r="J58" s="20">
        <f t="shared" si="19"/>
        <v>1.5139740445692533E-52</v>
      </c>
      <c r="K58" s="20">
        <f t="shared" si="19"/>
        <v>8.617672647259437E-47</v>
      </c>
      <c r="L58" s="20">
        <f t="shared" si="19"/>
        <v>3.482180425582422E-42</v>
      </c>
    </row>
    <row r="59" spans="1:14" x14ac:dyDescent="0.2">
      <c r="A59" s="39">
        <f t="shared" si="5"/>
        <v>18.900000000000009</v>
      </c>
      <c r="B59" s="20">
        <f t="shared" ref="B59:L59" si="20">B32*C0</f>
        <v>0</v>
      </c>
      <c r="C59" s="20">
        <f t="shared" si="20"/>
        <v>1.2342841979652138E-304</v>
      </c>
      <c r="D59" s="20">
        <f t="shared" si="20"/>
        <v>6.4383045148213883E-153</v>
      </c>
      <c r="E59" s="20">
        <f t="shared" si="20"/>
        <v>2.6209109576646751E-102</v>
      </c>
      <c r="F59" s="20">
        <f t="shared" si="20"/>
        <v>5.5113423696836825E-77</v>
      </c>
      <c r="G59" s="20">
        <f t="shared" si="20"/>
        <v>8.8212500497290061E-62</v>
      </c>
      <c r="H59" s="20">
        <f t="shared" si="20"/>
        <v>1.2265376993184325E-51</v>
      </c>
      <c r="I59" s="20">
        <f t="shared" si="20"/>
        <v>2.1812794360530723E-44</v>
      </c>
      <c r="J59" s="20">
        <f t="shared" si="20"/>
        <v>6.0240471706072676E-39</v>
      </c>
      <c r="K59" s="20">
        <f t="shared" si="20"/>
        <v>1.0344972432717507E-34</v>
      </c>
      <c r="L59" s="20">
        <f t="shared" si="20"/>
        <v>2.5399907951632842E-31</v>
      </c>
    </row>
    <row r="60" spans="1:14" x14ac:dyDescent="0.2">
      <c r="A60" s="39">
        <f t="shared" si="5"/>
        <v>20.250000000000011</v>
      </c>
      <c r="B60" s="20">
        <f t="shared" ref="B60:L60" si="21">B33*C0</f>
        <v>0</v>
      </c>
      <c r="C60" s="20">
        <f t="shared" si="21"/>
        <v>4.4206119223642437E-212</v>
      </c>
      <c r="D60" s="20">
        <f t="shared" si="21"/>
        <v>1.1228385391314551E-106</v>
      </c>
      <c r="E60" s="20">
        <f t="shared" si="21"/>
        <v>1.668797399804056E-71</v>
      </c>
      <c r="F60" s="20">
        <f t="shared" si="21"/>
        <v>6.7042075885709973E-54</v>
      </c>
      <c r="G60" s="20">
        <f t="shared" si="21"/>
        <v>2.5075712373572213E-43</v>
      </c>
      <c r="H60" s="20">
        <f t="shared" si="21"/>
        <v>2.849608591840423E-36</v>
      </c>
      <c r="I60" s="20">
        <f t="shared" si="21"/>
        <v>3.157470372258021E-31</v>
      </c>
      <c r="J60" s="20">
        <f t="shared" si="21"/>
        <v>1.9336582164894013E-27</v>
      </c>
      <c r="K60" s="20">
        <f t="shared" si="21"/>
        <v>1.7165023687122622E-24</v>
      </c>
      <c r="L60" s="20">
        <f t="shared" si="21"/>
        <v>3.9397046016317451E-22</v>
      </c>
    </row>
    <row r="61" spans="1:14" x14ac:dyDescent="0.2">
      <c r="A61" s="39">
        <f t="shared" si="5"/>
        <v>21.600000000000009</v>
      </c>
      <c r="B61" s="20">
        <f t="shared" ref="B61:L61" si="22">B34*C0</f>
        <v>0</v>
      </c>
      <c r="C61" s="20">
        <f t="shared" si="22"/>
        <v>2.3784634166818494E-136</v>
      </c>
      <c r="D61" s="20">
        <f t="shared" si="22"/>
        <v>7.7434249228583086E-69</v>
      </c>
      <c r="E61" s="20">
        <f t="shared" si="22"/>
        <v>2.692327950737088E-46</v>
      </c>
      <c r="F61" s="20">
        <f t="shared" si="22"/>
        <v>5.2301045241336937E-35</v>
      </c>
      <c r="G61" s="20">
        <f t="shared" si="22"/>
        <v>3.1767957426487564E-28</v>
      </c>
      <c r="H61" s="20">
        <f t="shared" si="22"/>
        <v>1.0743940810278954E-23</v>
      </c>
      <c r="I61" s="20">
        <f t="shared" si="22"/>
        <v>1.8668765785118224E-20</v>
      </c>
      <c r="J61" s="20">
        <f t="shared" si="22"/>
        <v>5.0658529865474802E-18</v>
      </c>
      <c r="K61" s="20">
        <f t="shared" si="22"/>
        <v>3.9824234518459228E-16</v>
      </c>
      <c r="L61" s="20">
        <f t="shared" si="22"/>
        <v>1.31435118769002E-14</v>
      </c>
    </row>
    <row r="62" spans="1:14" x14ac:dyDescent="0.2">
      <c r="A62" s="39">
        <f t="shared" si="5"/>
        <v>22.95000000000001</v>
      </c>
      <c r="B62" s="20">
        <f t="shared" ref="B62:L62" si="23">B35*C0</f>
        <v>0</v>
      </c>
      <c r="C62" s="20">
        <f t="shared" si="23"/>
        <v>1.9678131854771575E-77</v>
      </c>
      <c r="D62" s="20">
        <f t="shared" si="23"/>
        <v>2.1606233201330033E-39</v>
      </c>
      <c r="E62" s="20">
        <f t="shared" si="23"/>
        <v>1.1257087742726721E-26</v>
      </c>
      <c r="F62" s="20">
        <f t="shared" si="23"/>
        <v>2.6754311482750133E-20</v>
      </c>
      <c r="G62" s="20">
        <f t="shared" si="23"/>
        <v>1.8333216064003383E-16</v>
      </c>
      <c r="H62" s="20">
        <f t="shared" si="23"/>
        <v>6.7169946765449864E-14</v>
      </c>
      <c r="I62" s="20">
        <f t="shared" si="23"/>
        <v>4.605352457735086E-12</v>
      </c>
      <c r="J62" s="20">
        <f t="shared" si="23"/>
        <v>1.1061097066260832E-10</v>
      </c>
      <c r="K62" s="20">
        <f t="shared" si="23"/>
        <v>1.3188729506679683E-9</v>
      </c>
      <c r="L62" s="20">
        <f t="shared" si="23"/>
        <v>9.6253754771145635E-9</v>
      </c>
    </row>
    <row r="63" spans="1:14" x14ac:dyDescent="0.2">
      <c r="A63" s="39">
        <f t="shared" si="5"/>
        <v>24.300000000000011</v>
      </c>
      <c r="B63" s="20">
        <f t="shared" ref="B63:L63" si="24">B36*C0</f>
        <v>0</v>
      </c>
      <c r="C63" s="20">
        <f t="shared" si="24"/>
        <v>2.6361881356811631E-35</v>
      </c>
      <c r="D63" s="20">
        <f t="shared" si="24"/>
        <v>2.5647443496348968E-18</v>
      </c>
      <c r="E63" s="20">
        <f t="shared" si="24"/>
        <v>1.2808170265336047E-12</v>
      </c>
      <c r="F63" s="20">
        <f t="shared" si="24"/>
        <v>9.4107837829809703E-10</v>
      </c>
      <c r="G63" s="20">
        <f t="shared" si="24"/>
        <v>5.047809658531336E-8</v>
      </c>
      <c r="H63" s="20">
        <f t="shared" si="24"/>
        <v>7.2849346478459667E-7</v>
      </c>
      <c r="I63" s="20">
        <f t="shared" si="24"/>
        <v>4.9535921458367238E-6</v>
      </c>
      <c r="J63" s="20">
        <f t="shared" si="24"/>
        <v>2.1014271949973556E-5</v>
      </c>
      <c r="K63" s="20">
        <f t="shared" si="24"/>
        <v>6.5026569026569906E-5</v>
      </c>
      <c r="L63" s="20">
        <f t="shared" si="24"/>
        <v>1.6123744500353728E-4</v>
      </c>
    </row>
    <row r="64" spans="1:14" x14ac:dyDescent="0.2">
      <c r="A64" s="39">
        <f t="shared" si="5"/>
        <v>25.650000000000009</v>
      </c>
      <c r="B64" s="20">
        <f t="shared" ref="B64:L64" si="25">B37*C0</f>
        <v>0</v>
      </c>
      <c r="C64" s="20">
        <f t="shared" si="25"/>
        <v>6.6954261484184422E-10</v>
      </c>
      <c r="D64" s="20">
        <f t="shared" si="25"/>
        <v>1.5011437857727258E-5</v>
      </c>
      <c r="E64" s="20">
        <f t="shared" si="25"/>
        <v>4.5565240406111141E-4</v>
      </c>
      <c r="F64" s="20">
        <f t="shared" si="25"/>
        <v>2.5956615748144408E-3</v>
      </c>
      <c r="G64" s="20">
        <f t="shared" si="25"/>
        <v>7.5116021264679221E-3</v>
      </c>
      <c r="H64" s="20">
        <f t="shared" si="25"/>
        <v>1.5434467073832874E-2</v>
      </c>
      <c r="I64" s="20">
        <f t="shared" si="25"/>
        <v>2.6022700906607639E-2</v>
      </c>
      <c r="J64" s="20">
        <f t="shared" si="25"/>
        <v>3.8723581961885897E-2</v>
      </c>
      <c r="K64" s="20">
        <f t="shared" si="25"/>
        <v>5.2976598136034767E-2</v>
      </c>
      <c r="L64" s="20">
        <f t="shared" si="25"/>
        <v>6.8295184354954422E-2</v>
      </c>
    </row>
    <row r="65" spans="1:12" x14ac:dyDescent="0.2">
      <c r="A65" s="39">
        <f t="shared" si="5"/>
        <v>26.73</v>
      </c>
      <c r="B65" s="20">
        <f t="shared" ref="B65:L65" si="26">B38*C0</f>
        <v>0</v>
      </c>
      <c r="C65" s="20">
        <f t="shared" si="26"/>
        <v>0.22796983471573984</v>
      </c>
      <c r="D65" s="20">
        <f t="shared" si="26"/>
        <v>0.40492828855687713</v>
      </c>
      <c r="E65" s="20">
        <f t="shared" si="26"/>
        <v>0.50483824950265621</v>
      </c>
      <c r="F65" s="20">
        <f t="shared" si="26"/>
        <v>0.57023191324187117</v>
      </c>
      <c r="G65" s="20">
        <f t="shared" si="26"/>
        <v>0.61712975355257238</v>
      </c>
      <c r="H65" s="20">
        <f t="shared" si="26"/>
        <v>0.65282316826788689</v>
      </c>
      <c r="I65" s="20">
        <f t="shared" si="26"/>
        <v>0.68113947217584814</v>
      </c>
      <c r="J65" s="20">
        <f t="shared" si="26"/>
        <v>0.70429965585583476</v>
      </c>
      <c r="K65" s="20">
        <f t="shared" si="26"/>
        <v>0.72369086179594055</v>
      </c>
      <c r="L65" s="20">
        <f t="shared" si="26"/>
        <v>0.74022936188303179</v>
      </c>
    </row>
    <row r="66" spans="1:12" x14ac:dyDescent="0.2">
      <c r="A66" s="39">
        <f t="shared" si="5"/>
        <v>26.972999999999999</v>
      </c>
      <c r="B66" s="20">
        <f t="shared" ref="B66:L66" si="27">B39*C0</f>
        <v>1.5480986545222569E-12</v>
      </c>
      <c r="C66" s="20">
        <f t="shared" si="27"/>
        <v>0.90698890760672446</v>
      </c>
      <c r="D66" s="20">
        <f t="shared" si="27"/>
        <v>0.93606560251060689</v>
      </c>
      <c r="E66" s="20">
        <f t="shared" si="27"/>
        <v>0.9489587660417933</v>
      </c>
      <c r="F66" s="20">
        <f t="shared" si="27"/>
        <v>0.95664000982839903</v>
      </c>
      <c r="G66" s="20">
        <f t="shared" si="27"/>
        <v>0.96187653734109757</v>
      </c>
      <c r="H66" s="20">
        <f t="shared" si="27"/>
        <v>0.9657372707389219</v>
      </c>
      <c r="I66" s="20">
        <f t="shared" si="27"/>
        <v>0.96873387980560377</v>
      </c>
      <c r="J66" s="20">
        <f t="shared" si="27"/>
        <v>0.97114605564490941</v>
      </c>
      <c r="K66" s="20">
        <f t="shared" si="27"/>
        <v>0.97314127447966126</v>
      </c>
      <c r="L66" s="20">
        <f t="shared" si="27"/>
        <v>0.97482674367848654</v>
      </c>
    </row>
    <row r="67" spans="1:12" x14ac:dyDescent="0.2">
      <c r="A67" s="39">
        <f t="shared" si="5"/>
        <v>27</v>
      </c>
      <c r="B67" s="20">
        <f t="shared" ref="B67:L67" si="28">B40*C0</f>
        <v>1</v>
      </c>
      <c r="C67" s="20">
        <f t="shared" si="28"/>
        <v>1</v>
      </c>
      <c r="D67" s="20">
        <f t="shared" si="28"/>
        <v>1</v>
      </c>
      <c r="E67" s="20">
        <f t="shared" si="28"/>
        <v>1</v>
      </c>
      <c r="F67" s="20">
        <f t="shared" si="28"/>
        <v>1</v>
      </c>
      <c r="G67" s="20">
        <f t="shared" si="28"/>
        <v>1</v>
      </c>
      <c r="H67" s="20">
        <f t="shared" si="28"/>
        <v>1</v>
      </c>
      <c r="I67" s="20">
        <f t="shared" si="28"/>
        <v>1</v>
      </c>
      <c r="J67" s="20">
        <f t="shared" si="28"/>
        <v>1</v>
      </c>
      <c r="K67" s="20">
        <f t="shared" si="28"/>
        <v>1</v>
      </c>
      <c r="L67" s="20">
        <f t="shared" si="28"/>
        <v>1</v>
      </c>
    </row>
    <row r="69" spans="1:12" ht="26.25" customHeight="1" x14ac:dyDescent="0.2">
      <c r="A69" s="79" t="s">
        <v>54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</row>
  </sheetData>
  <mergeCells count="6">
    <mergeCell ref="A69:L69"/>
    <mergeCell ref="F6:K6"/>
    <mergeCell ref="B16:L16"/>
    <mergeCell ref="B43:L43"/>
    <mergeCell ref="A15:L15"/>
    <mergeCell ref="A42:L42"/>
  </mergeCells>
  <phoneticPr fontId="2" type="noConversion"/>
  <pageMargins left="0.75" right="0.75" top="1" bottom="1" header="0.5" footer="0.5"/>
  <pageSetup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33796" r:id="rId4">
          <objectPr defaultSize="0" autoPict="0" r:id="rId5">
            <anchor moveWithCells="1">
              <from>
                <xdr:col>5</xdr:col>
                <xdr:colOff>133350</xdr:colOff>
                <xdr:row>6</xdr:row>
                <xdr:rowOff>9525</xdr:rowOff>
              </from>
              <to>
                <xdr:col>10</xdr:col>
                <xdr:colOff>581025</xdr:colOff>
                <xdr:row>13</xdr:row>
                <xdr:rowOff>123825</xdr:rowOff>
              </to>
            </anchor>
          </objectPr>
        </oleObject>
      </mc:Choice>
      <mc:Fallback>
        <oleObject progId="Equation.3" shapeId="33796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topLeftCell="A27" workbookViewId="0">
      <selection activeCell="B42" sqref="B42"/>
    </sheetView>
  </sheetViews>
  <sheetFormatPr defaultRowHeight="12.75" x14ac:dyDescent="0.2"/>
  <cols>
    <col min="1" max="1" width="52.5703125" customWidth="1"/>
    <col min="2" max="16" width="9" customWidth="1"/>
    <col min="17" max="17" width="9.5703125" style="26" customWidth="1"/>
  </cols>
  <sheetData>
    <row r="1" spans="1:17" x14ac:dyDescent="0.2">
      <c r="A1" s="2" t="s">
        <v>34</v>
      </c>
    </row>
    <row r="2" spans="1:17" x14ac:dyDescent="0.2">
      <c r="A2" s="16" t="s">
        <v>59</v>
      </c>
    </row>
    <row r="3" spans="1:17" x14ac:dyDescent="0.2">
      <c r="A3" t="s">
        <v>77</v>
      </c>
    </row>
    <row r="5" spans="1:17" x14ac:dyDescent="0.2">
      <c r="A5" s="2" t="s">
        <v>91</v>
      </c>
    </row>
    <row r="6" spans="1:17" x14ac:dyDescent="0.2">
      <c r="A6" s="33" t="s">
        <v>27</v>
      </c>
      <c r="B6" s="58" t="str">
        <f>'Steady State Conditions'!B9</f>
        <v>PYR</v>
      </c>
      <c r="C6" s="52" t="str">
        <f>B6</f>
        <v>PYR</v>
      </c>
      <c r="D6" s="52" t="str">
        <f>C6</f>
        <v>PYR</v>
      </c>
      <c r="E6" s="52" t="str">
        <f>D6</f>
        <v>PYR</v>
      </c>
      <c r="F6" s="52" t="str">
        <f>E6</f>
        <v>PYR</v>
      </c>
      <c r="G6" s="52" t="str">
        <f>F6</f>
        <v>PYR</v>
      </c>
      <c r="H6" s="52" t="str">
        <f t="shared" ref="H6:P6" si="0">G6</f>
        <v>PYR</v>
      </c>
      <c r="I6" s="52" t="str">
        <f t="shared" si="0"/>
        <v>PYR</v>
      </c>
      <c r="J6" s="52" t="str">
        <f t="shared" si="0"/>
        <v>PYR</v>
      </c>
      <c r="K6" s="52" t="str">
        <f t="shared" si="0"/>
        <v>PYR</v>
      </c>
      <c r="L6" s="52" t="str">
        <f t="shared" si="0"/>
        <v>PYR</v>
      </c>
      <c r="M6" s="52" t="str">
        <f t="shared" si="0"/>
        <v>PYR</v>
      </c>
      <c r="N6" s="52" t="str">
        <f t="shared" si="0"/>
        <v>PYR</v>
      </c>
      <c r="O6" s="52" t="str">
        <f t="shared" si="0"/>
        <v>PYR</v>
      </c>
      <c r="P6" s="52" t="str">
        <f t="shared" si="0"/>
        <v>PYR</v>
      </c>
    </row>
    <row r="7" spans="1:17" ht="15.75" x14ac:dyDescent="0.3">
      <c r="A7" s="50" t="s">
        <v>71</v>
      </c>
      <c r="B7" s="58">
        <f>'Steady State Conditions'!B10</f>
        <v>5.18</v>
      </c>
      <c r="C7" s="53">
        <f>B7+0.01</f>
        <v>5.1899999999999995</v>
      </c>
      <c r="D7" s="53">
        <f t="shared" ref="D7:P7" si="1">C7+0.01</f>
        <v>5.1999999999999993</v>
      </c>
      <c r="E7" s="53">
        <f t="shared" si="1"/>
        <v>5.2099999999999991</v>
      </c>
      <c r="F7" s="53">
        <f t="shared" si="1"/>
        <v>5.2199999999999989</v>
      </c>
      <c r="G7" s="53">
        <f t="shared" si="1"/>
        <v>5.2299999999999986</v>
      </c>
      <c r="H7" s="53">
        <f t="shared" si="1"/>
        <v>5.2399999999999984</v>
      </c>
      <c r="I7" s="53">
        <f t="shared" si="1"/>
        <v>5.2499999999999982</v>
      </c>
      <c r="J7" s="53">
        <f t="shared" si="1"/>
        <v>5.259999999999998</v>
      </c>
      <c r="K7" s="53">
        <f t="shared" si="1"/>
        <v>5.2699999999999978</v>
      </c>
      <c r="L7" s="53">
        <f t="shared" si="1"/>
        <v>5.2799999999999976</v>
      </c>
      <c r="M7" s="53">
        <f t="shared" si="1"/>
        <v>5.2899999999999974</v>
      </c>
      <c r="N7" s="53">
        <f t="shared" si="1"/>
        <v>5.2999999999999972</v>
      </c>
      <c r="O7" s="53">
        <f t="shared" si="1"/>
        <v>5.3099999999999969</v>
      </c>
      <c r="P7" s="53">
        <f t="shared" si="1"/>
        <v>5.3199999999999967</v>
      </c>
    </row>
    <row r="8" spans="1:17" ht="15.75" x14ac:dyDescent="0.3">
      <c r="A8" s="4" t="s">
        <v>16</v>
      </c>
      <c r="B8" s="58">
        <f>'Steady State Conditions'!B11</f>
        <v>6.0000000000000002E-6</v>
      </c>
      <c r="C8" s="53">
        <f t="shared" ref="C8:F33" si="2">B8</f>
        <v>6.0000000000000002E-6</v>
      </c>
      <c r="D8" s="53">
        <f t="shared" si="2"/>
        <v>6.0000000000000002E-6</v>
      </c>
      <c r="E8" s="53">
        <f t="shared" si="2"/>
        <v>6.0000000000000002E-6</v>
      </c>
      <c r="F8" s="53">
        <f t="shared" si="2"/>
        <v>6.0000000000000002E-6</v>
      </c>
      <c r="G8" s="53">
        <f t="shared" ref="G8:P8" si="3">F8</f>
        <v>6.0000000000000002E-6</v>
      </c>
      <c r="H8" s="53">
        <f t="shared" si="3"/>
        <v>6.0000000000000002E-6</v>
      </c>
      <c r="I8" s="53">
        <f t="shared" si="3"/>
        <v>6.0000000000000002E-6</v>
      </c>
      <c r="J8" s="53">
        <f t="shared" si="3"/>
        <v>6.0000000000000002E-6</v>
      </c>
      <c r="K8" s="53">
        <f t="shared" si="3"/>
        <v>6.0000000000000002E-6</v>
      </c>
      <c r="L8" s="53">
        <f t="shared" si="3"/>
        <v>6.0000000000000002E-6</v>
      </c>
      <c r="M8" s="53">
        <f t="shared" si="3"/>
        <v>6.0000000000000002E-6</v>
      </c>
      <c r="N8" s="53">
        <f t="shared" si="3"/>
        <v>6.0000000000000002E-6</v>
      </c>
      <c r="O8" s="53">
        <f t="shared" si="3"/>
        <v>6.0000000000000002E-6</v>
      </c>
      <c r="P8" s="53">
        <f t="shared" si="3"/>
        <v>6.0000000000000002E-6</v>
      </c>
      <c r="Q8" s="26" t="s">
        <v>86</v>
      </c>
    </row>
    <row r="9" spans="1:17" ht="15" x14ac:dyDescent="0.25">
      <c r="A9" s="26" t="s">
        <v>103</v>
      </c>
      <c r="B9" s="58">
        <f>'Steady State Conditions'!B12</f>
        <v>0</v>
      </c>
      <c r="C9" s="53">
        <f t="shared" si="2"/>
        <v>0</v>
      </c>
      <c r="D9" s="53">
        <f t="shared" si="2"/>
        <v>0</v>
      </c>
      <c r="E9" s="53">
        <f t="shared" si="2"/>
        <v>0</v>
      </c>
      <c r="F9" s="53">
        <f t="shared" si="2"/>
        <v>0</v>
      </c>
      <c r="G9" s="53">
        <f t="shared" ref="G9:P9" si="4">F9</f>
        <v>0</v>
      </c>
      <c r="H9" s="53">
        <f t="shared" si="4"/>
        <v>0</v>
      </c>
      <c r="I9" s="53">
        <f t="shared" si="4"/>
        <v>0</v>
      </c>
      <c r="J9" s="53">
        <f t="shared" si="4"/>
        <v>0</v>
      </c>
      <c r="K9" s="53">
        <f t="shared" si="4"/>
        <v>0</v>
      </c>
      <c r="L9" s="53">
        <f t="shared" si="4"/>
        <v>0</v>
      </c>
      <c r="M9" s="53">
        <f t="shared" si="4"/>
        <v>0</v>
      </c>
      <c r="N9" s="53">
        <f t="shared" si="4"/>
        <v>0</v>
      </c>
      <c r="O9" s="53">
        <f t="shared" si="4"/>
        <v>0</v>
      </c>
      <c r="P9" s="53">
        <f t="shared" si="4"/>
        <v>0</v>
      </c>
      <c r="Q9" s="26" t="s">
        <v>87</v>
      </c>
    </row>
    <row r="10" spans="1:17" ht="15" x14ac:dyDescent="0.25">
      <c r="A10" s="26" t="s">
        <v>104</v>
      </c>
      <c r="B10" s="58">
        <f>'Steady State Conditions'!B13</f>
        <v>0</v>
      </c>
      <c r="C10" s="53">
        <f t="shared" si="2"/>
        <v>0</v>
      </c>
      <c r="D10" s="53">
        <f t="shared" si="2"/>
        <v>0</v>
      </c>
      <c r="E10" s="53">
        <f t="shared" si="2"/>
        <v>0</v>
      </c>
      <c r="F10" s="53">
        <f t="shared" si="2"/>
        <v>0</v>
      </c>
      <c r="G10" s="53">
        <f t="shared" ref="G10:P10" si="5">F10</f>
        <v>0</v>
      </c>
      <c r="H10" s="53">
        <f t="shared" si="5"/>
        <v>0</v>
      </c>
      <c r="I10" s="53">
        <f t="shared" si="5"/>
        <v>0</v>
      </c>
      <c r="J10" s="53">
        <f t="shared" si="5"/>
        <v>0</v>
      </c>
      <c r="K10" s="53">
        <f t="shared" si="5"/>
        <v>0</v>
      </c>
      <c r="L10" s="53">
        <f t="shared" si="5"/>
        <v>0</v>
      </c>
      <c r="M10" s="53">
        <f t="shared" si="5"/>
        <v>0</v>
      </c>
      <c r="N10" s="53">
        <f t="shared" si="5"/>
        <v>0</v>
      </c>
      <c r="O10" s="53">
        <f t="shared" si="5"/>
        <v>0</v>
      </c>
      <c r="P10" s="53">
        <f t="shared" si="5"/>
        <v>0</v>
      </c>
      <c r="Q10" s="26" t="s">
        <v>87</v>
      </c>
    </row>
    <row r="11" spans="1:17" ht="15.75" x14ac:dyDescent="0.3">
      <c r="A11" s="27" t="s">
        <v>13</v>
      </c>
      <c r="B11" s="58">
        <f>'Steady State Conditions'!B16</f>
        <v>1</v>
      </c>
      <c r="C11" s="53">
        <f t="shared" si="2"/>
        <v>1</v>
      </c>
      <c r="D11" s="53">
        <f t="shared" si="2"/>
        <v>1</v>
      </c>
      <c r="E11" s="53">
        <f t="shared" si="2"/>
        <v>1</v>
      </c>
      <c r="F11" s="53">
        <f t="shared" si="2"/>
        <v>1</v>
      </c>
      <c r="G11" s="53">
        <f t="shared" ref="G11:P11" si="6">F11</f>
        <v>1</v>
      </c>
      <c r="H11" s="53">
        <f t="shared" si="6"/>
        <v>1</v>
      </c>
      <c r="I11" s="53">
        <f t="shared" si="6"/>
        <v>1</v>
      </c>
      <c r="J11" s="53">
        <f t="shared" si="6"/>
        <v>1</v>
      </c>
      <c r="K11" s="53">
        <f t="shared" si="6"/>
        <v>1</v>
      </c>
      <c r="L11" s="53">
        <f t="shared" si="6"/>
        <v>1</v>
      </c>
      <c r="M11" s="53">
        <f t="shared" si="6"/>
        <v>1</v>
      </c>
      <c r="N11" s="53">
        <f t="shared" si="6"/>
        <v>1</v>
      </c>
      <c r="O11" s="53">
        <f t="shared" si="6"/>
        <v>1</v>
      </c>
      <c r="P11" s="53">
        <f t="shared" si="6"/>
        <v>1</v>
      </c>
      <c r="Q11" s="26" t="s">
        <v>4</v>
      </c>
    </row>
    <row r="12" spans="1:17" x14ac:dyDescent="0.2">
      <c r="A12" s="26" t="s">
        <v>157</v>
      </c>
      <c r="B12" s="58">
        <f>'Steady State Conditions'!B17</f>
        <v>1E-4</v>
      </c>
      <c r="C12" s="53">
        <f t="shared" si="2"/>
        <v>1E-4</v>
      </c>
      <c r="D12" s="53">
        <f t="shared" si="2"/>
        <v>1E-4</v>
      </c>
      <c r="E12" s="53">
        <f t="shared" si="2"/>
        <v>1E-4</v>
      </c>
      <c r="F12" s="53">
        <f t="shared" si="2"/>
        <v>1E-4</v>
      </c>
      <c r="G12" s="53">
        <f t="shared" ref="G12:P12" si="7">F12</f>
        <v>1E-4</v>
      </c>
      <c r="H12" s="53">
        <f t="shared" si="7"/>
        <v>1E-4</v>
      </c>
      <c r="I12" s="53">
        <f t="shared" si="7"/>
        <v>1E-4</v>
      </c>
      <c r="J12" s="53">
        <f t="shared" si="7"/>
        <v>1E-4</v>
      </c>
      <c r="K12" s="53">
        <f t="shared" si="7"/>
        <v>1E-4</v>
      </c>
      <c r="L12" s="53">
        <f t="shared" si="7"/>
        <v>1E-4</v>
      </c>
      <c r="M12" s="53">
        <f t="shared" si="7"/>
        <v>1E-4</v>
      </c>
      <c r="N12" s="53">
        <f t="shared" si="7"/>
        <v>1E-4</v>
      </c>
      <c r="O12" s="53">
        <f t="shared" si="7"/>
        <v>1E-4</v>
      </c>
      <c r="P12" s="53">
        <f t="shared" si="7"/>
        <v>1E-4</v>
      </c>
    </row>
    <row r="13" spans="1:17" ht="15.75" x14ac:dyDescent="0.3">
      <c r="A13" s="27" t="s">
        <v>31</v>
      </c>
      <c r="B13" s="58">
        <f>'Steady State Conditions'!B18</f>
        <v>0</v>
      </c>
      <c r="C13" s="53">
        <f t="shared" si="2"/>
        <v>0</v>
      </c>
      <c r="D13" s="53">
        <f t="shared" si="2"/>
        <v>0</v>
      </c>
      <c r="E13" s="53">
        <f t="shared" si="2"/>
        <v>0</v>
      </c>
      <c r="F13" s="53">
        <f t="shared" si="2"/>
        <v>0</v>
      </c>
      <c r="G13" s="53">
        <f t="shared" ref="G13:P13" si="8">F13</f>
        <v>0</v>
      </c>
      <c r="H13" s="53">
        <f t="shared" si="8"/>
        <v>0</v>
      </c>
      <c r="I13" s="53">
        <f t="shared" si="8"/>
        <v>0</v>
      </c>
      <c r="J13" s="53">
        <f t="shared" si="8"/>
        <v>0</v>
      </c>
      <c r="K13" s="53">
        <f t="shared" si="8"/>
        <v>0</v>
      </c>
      <c r="L13" s="53">
        <f t="shared" si="8"/>
        <v>0</v>
      </c>
      <c r="M13" s="53">
        <f t="shared" si="8"/>
        <v>0</v>
      </c>
      <c r="N13" s="53">
        <f t="shared" si="8"/>
        <v>0</v>
      </c>
      <c r="O13" s="53">
        <f t="shared" si="8"/>
        <v>0</v>
      </c>
      <c r="P13" s="53">
        <f t="shared" si="8"/>
        <v>0</v>
      </c>
      <c r="Q13" s="26" t="s">
        <v>32</v>
      </c>
    </row>
    <row r="14" spans="1:17" x14ac:dyDescent="0.2">
      <c r="A14" s="4" t="s">
        <v>65</v>
      </c>
      <c r="B14" s="58">
        <f>'Steady State Conditions'!B19</f>
        <v>100</v>
      </c>
      <c r="C14" s="53">
        <f t="shared" si="2"/>
        <v>100</v>
      </c>
      <c r="D14" s="53">
        <f t="shared" si="2"/>
        <v>100</v>
      </c>
      <c r="E14" s="53">
        <f t="shared" si="2"/>
        <v>100</v>
      </c>
      <c r="F14" s="53">
        <f t="shared" si="2"/>
        <v>100</v>
      </c>
      <c r="G14" s="53">
        <f t="shared" ref="G14:P14" si="9">F14</f>
        <v>100</v>
      </c>
      <c r="H14" s="53">
        <f t="shared" si="9"/>
        <v>100</v>
      </c>
      <c r="I14" s="53">
        <f t="shared" si="9"/>
        <v>100</v>
      </c>
      <c r="J14" s="53">
        <f t="shared" si="9"/>
        <v>100</v>
      </c>
      <c r="K14" s="53">
        <f t="shared" si="9"/>
        <v>100</v>
      </c>
      <c r="L14" s="53">
        <f t="shared" si="9"/>
        <v>100</v>
      </c>
      <c r="M14" s="53">
        <f t="shared" si="9"/>
        <v>100</v>
      </c>
      <c r="N14" s="53">
        <f t="shared" si="9"/>
        <v>100</v>
      </c>
      <c r="O14" s="53">
        <f t="shared" si="9"/>
        <v>100</v>
      </c>
      <c r="P14" s="53">
        <f t="shared" si="9"/>
        <v>100</v>
      </c>
      <c r="Q14" s="26" t="s">
        <v>1</v>
      </c>
    </row>
    <row r="15" spans="1:17" ht="15.75" x14ac:dyDescent="0.3">
      <c r="A15" s="4" t="s">
        <v>72</v>
      </c>
      <c r="B15" s="58">
        <f>'Steady State Conditions'!B20</f>
        <v>0</v>
      </c>
      <c r="C15" s="53">
        <f t="shared" si="2"/>
        <v>0</v>
      </c>
      <c r="D15" s="53">
        <f t="shared" si="2"/>
        <v>0</v>
      </c>
      <c r="E15" s="53">
        <f t="shared" si="2"/>
        <v>0</v>
      </c>
      <c r="F15" s="53">
        <f t="shared" si="2"/>
        <v>0</v>
      </c>
      <c r="G15" s="53">
        <f t="shared" ref="G15:P15" si="10">F15</f>
        <v>0</v>
      </c>
      <c r="H15" s="53">
        <f t="shared" si="10"/>
        <v>0</v>
      </c>
      <c r="I15" s="53">
        <f t="shared" si="10"/>
        <v>0</v>
      </c>
      <c r="J15" s="53">
        <f t="shared" si="10"/>
        <v>0</v>
      </c>
      <c r="K15" s="53">
        <f t="shared" si="10"/>
        <v>0</v>
      </c>
      <c r="L15" s="53">
        <f t="shared" si="10"/>
        <v>0</v>
      </c>
      <c r="M15" s="53">
        <f t="shared" si="10"/>
        <v>0</v>
      </c>
      <c r="N15" s="53">
        <f t="shared" si="10"/>
        <v>0</v>
      </c>
      <c r="O15" s="53">
        <f t="shared" si="10"/>
        <v>0</v>
      </c>
      <c r="P15" s="53">
        <f t="shared" si="10"/>
        <v>0</v>
      </c>
      <c r="Q15" s="26" t="s">
        <v>1</v>
      </c>
    </row>
    <row r="16" spans="1:17" x14ac:dyDescent="0.2">
      <c r="A16" s="26" t="s">
        <v>105</v>
      </c>
      <c r="B16" s="58">
        <f>'Steady State Conditions'!B23</f>
        <v>25</v>
      </c>
      <c r="C16" s="53">
        <f t="shared" si="2"/>
        <v>25</v>
      </c>
      <c r="D16" s="53">
        <f t="shared" si="2"/>
        <v>25</v>
      </c>
      <c r="E16" s="53">
        <f t="shared" si="2"/>
        <v>25</v>
      </c>
      <c r="F16" s="53">
        <f t="shared" si="2"/>
        <v>25</v>
      </c>
      <c r="G16" s="53">
        <f t="shared" ref="G16:P16" si="11">F16</f>
        <v>25</v>
      </c>
      <c r="H16" s="53">
        <f t="shared" si="11"/>
        <v>25</v>
      </c>
      <c r="I16" s="53">
        <f t="shared" si="11"/>
        <v>25</v>
      </c>
      <c r="J16" s="53">
        <f t="shared" si="11"/>
        <v>25</v>
      </c>
      <c r="K16" s="53">
        <f t="shared" si="11"/>
        <v>25</v>
      </c>
      <c r="L16" s="53">
        <f t="shared" si="11"/>
        <v>25</v>
      </c>
      <c r="M16" s="53">
        <f t="shared" si="11"/>
        <v>25</v>
      </c>
      <c r="N16" s="53">
        <f t="shared" si="11"/>
        <v>25</v>
      </c>
      <c r="O16" s="53">
        <f t="shared" si="11"/>
        <v>25</v>
      </c>
      <c r="P16" s="53">
        <f t="shared" si="11"/>
        <v>25</v>
      </c>
      <c r="Q16" s="26" t="s">
        <v>0</v>
      </c>
    </row>
    <row r="17" spans="1:17" x14ac:dyDescent="0.2">
      <c r="A17" s="26" t="s">
        <v>146</v>
      </c>
      <c r="B17" s="58">
        <f>'Steady State Conditions'!B22</f>
        <v>5</v>
      </c>
      <c r="C17" s="53">
        <f t="shared" ref="C17:C20" si="12">B17</f>
        <v>5</v>
      </c>
      <c r="D17" s="53">
        <f t="shared" ref="D17:D20" si="13">C17</f>
        <v>5</v>
      </c>
      <c r="E17" s="53">
        <f t="shared" ref="E17:E20" si="14">D17</f>
        <v>5</v>
      </c>
      <c r="F17" s="53">
        <f t="shared" ref="F17:F20" si="15">E17</f>
        <v>5</v>
      </c>
      <c r="G17" s="53">
        <f t="shared" ref="G17:G20" si="16">F17</f>
        <v>5</v>
      </c>
      <c r="H17" s="53">
        <f t="shared" ref="H17:H20" si="17">G17</f>
        <v>5</v>
      </c>
      <c r="I17" s="53">
        <f t="shared" ref="I17:I20" si="18">H17</f>
        <v>5</v>
      </c>
      <c r="J17" s="53">
        <f t="shared" ref="J17:J20" si="19">I17</f>
        <v>5</v>
      </c>
      <c r="K17" s="53">
        <f t="shared" ref="K17:K20" si="20">J17</f>
        <v>5</v>
      </c>
      <c r="L17" s="53">
        <f t="shared" ref="L17:L20" si="21">K17</f>
        <v>5</v>
      </c>
      <c r="M17" s="53">
        <f t="shared" ref="M17:M20" si="22">L17</f>
        <v>5</v>
      </c>
      <c r="N17" s="53">
        <f t="shared" ref="N17:N20" si="23">M17</f>
        <v>5</v>
      </c>
      <c r="O17" s="53">
        <f t="shared" ref="O17:O20" si="24">N17</f>
        <v>5</v>
      </c>
      <c r="P17" s="53">
        <f t="shared" ref="P17:P20" si="25">O17</f>
        <v>5</v>
      </c>
    </row>
    <row r="18" spans="1:17" x14ac:dyDescent="0.2">
      <c r="A18" s="26" t="s">
        <v>149</v>
      </c>
      <c r="B18" s="58" t="str">
        <f>'Steady State Conditions'!B24</f>
        <v>G</v>
      </c>
      <c r="C18" s="52" t="str">
        <f t="shared" si="12"/>
        <v>G</v>
      </c>
      <c r="D18" s="52" t="str">
        <f t="shared" si="13"/>
        <v>G</v>
      </c>
      <c r="E18" s="52" t="str">
        <f t="shared" si="14"/>
        <v>G</v>
      </c>
      <c r="F18" s="52" t="str">
        <f t="shared" si="15"/>
        <v>G</v>
      </c>
      <c r="G18" s="52" t="str">
        <f t="shared" si="16"/>
        <v>G</v>
      </c>
      <c r="H18" s="52" t="str">
        <f t="shared" si="17"/>
        <v>G</v>
      </c>
      <c r="I18" s="52" t="str">
        <f t="shared" si="18"/>
        <v>G</v>
      </c>
      <c r="J18" s="52" t="str">
        <f t="shared" si="19"/>
        <v>G</v>
      </c>
      <c r="K18" s="52" t="str">
        <f t="shared" si="20"/>
        <v>G</v>
      </c>
      <c r="L18" s="52" t="str">
        <f t="shared" si="21"/>
        <v>G</v>
      </c>
      <c r="M18" s="52" t="str">
        <f t="shared" si="22"/>
        <v>G</v>
      </c>
      <c r="N18" s="52" t="str">
        <f t="shared" si="23"/>
        <v>G</v>
      </c>
      <c r="O18" s="52" t="str">
        <f t="shared" si="24"/>
        <v>G</v>
      </c>
      <c r="P18" s="52" t="str">
        <f t="shared" si="25"/>
        <v>G</v>
      </c>
    </row>
    <row r="19" spans="1:17" x14ac:dyDescent="0.2">
      <c r="A19" s="26" t="s">
        <v>150</v>
      </c>
      <c r="B19" s="58">
        <f>'Steady State Conditions'!B25</f>
        <v>0.5</v>
      </c>
      <c r="C19" s="53">
        <f t="shared" si="12"/>
        <v>0.5</v>
      </c>
      <c r="D19" s="53">
        <f t="shared" si="13"/>
        <v>0.5</v>
      </c>
      <c r="E19" s="53">
        <f t="shared" si="14"/>
        <v>0.5</v>
      </c>
      <c r="F19" s="53">
        <f t="shared" si="15"/>
        <v>0.5</v>
      </c>
      <c r="G19" s="53">
        <f t="shared" si="16"/>
        <v>0.5</v>
      </c>
      <c r="H19" s="53">
        <f t="shared" si="17"/>
        <v>0.5</v>
      </c>
      <c r="I19" s="53">
        <f t="shared" si="18"/>
        <v>0.5</v>
      </c>
      <c r="J19" s="53">
        <f t="shared" si="19"/>
        <v>0.5</v>
      </c>
      <c r="K19" s="53">
        <f t="shared" si="20"/>
        <v>0.5</v>
      </c>
      <c r="L19" s="53">
        <f t="shared" si="21"/>
        <v>0.5</v>
      </c>
      <c r="M19" s="53">
        <f t="shared" si="22"/>
        <v>0.5</v>
      </c>
      <c r="N19" s="53">
        <f t="shared" si="23"/>
        <v>0.5</v>
      </c>
      <c r="O19" s="53">
        <f t="shared" si="24"/>
        <v>0.5</v>
      </c>
      <c r="P19" s="53">
        <f t="shared" si="25"/>
        <v>0.5</v>
      </c>
    </row>
    <row r="20" spans="1:17" ht="15.75" x14ac:dyDescent="0.3">
      <c r="A20" s="26" t="s">
        <v>151</v>
      </c>
      <c r="B20" s="58">
        <f>'Steady State Conditions'!B26</f>
        <v>2.6</v>
      </c>
      <c r="C20" s="53">
        <f t="shared" si="12"/>
        <v>2.6</v>
      </c>
      <c r="D20" s="53">
        <f t="shared" si="13"/>
        <v>2.6</v>
      </c>
      <c r="E20" s="53">
        <f t="shared" si="14"/>
        <v>2.6</v>
      </c>
      <c r="F20" s="53">
        <f t="shared" si="15"/>
        <v>2.6</v>
      </c>
      <c r="G20" s="53">
        <f t="shared" si="16"/>
        <v>2.6</v>
      </c>
      <c r="H20" s="53">
        <f t="shared" si="17"/>
        <v>2.6</v>
      </c>
      <c r="I20" s="53">
        <f t="shared" si="18"/>
        <v>2.6</v>
      </c>
      <c r="J20" s="53">
        <f t="shared" si="19"/>
        <v>2.6</v>
      </c>
      <c r="K20" s="53">
        <f t="shared" si="20"/>
        <v>2.6</v>
      </c>
      <c r="L20" s="53">
        <f t="shared" si="21"/>
        <v>2.6</v>
      </c>
      <c r="M20" s="53">
        <f t="shared" si="22"/>
        <v>2.6</v>
      </c>
      <c r="N20" s="53">
        <f t="shared" si="23"/>
        <v>2.6</v>
      </c>
      <c r="O20" s="53">
        <f t="shared" si="24"/>
        <v>2.6</v>
      </c>
      <c r="P20" s="53">
        <f t="shared" si="25"/>
        <v>2.6</v>
      </c>
    </row>
    <row r="21" spans="1:17" ht="14.25" x14ac:dyDescent="0.2">
      <c r="A21" s="26" t="s">
        <v>128</v>
      </c>
      <c r="B21" s="58">
        <f>'Steady State Conditions'!B27</f>
        <v>200.09041936230369</v>
      </c>
      <c r="C21" s="53">
        <f t="shared" si="2"/>
        <v>200.09041936230369</v>
      </c>
      <c r="D21" s="53">
        <f t="shared" si="2"/>
        <v>200.09041936230369</v>
      </c>
      <c r="E21" s="53">
        <f t="shared" si="2"/>
        <v>200.09041936230369</v>
      </c>
      <c r="F21" s="53">
        <f t="shared" si="2"/>
        <v>200.09041936230369</v>
      </c>
      <c r="G21" s="53">
        <f t="shared" ref="G21:P21" si="26">F21</f>
        <v>200.09041936230369</v>
      </c>
      <c r="H21" s="53">
        <f t="shared" si="26"/>
        <v>200.09041936230369</v>
      </c>
      <c r="I21" s="53">
        <f t="shared" si="26"/>
        <v>200.09041936230369</v>
      </c>
      <c r="J21" s="53">
        <f t="shared" si="26"/>
        <v>200.09041936230369</v>
      </c>
      <c r="K21" s="53">
        <f t="shared" si="26"/>
        <v>200.09041936230369</v>
      </c>
      <c r="L21" s="53">
        <f t="shared" si="26"/>
        <v>200.09041936230369</v>
      </c>
      <c r="M21" s="53">
        <f t="shared" si="26"/>
        <v>200.09041936230369</v>
      </c>
      <c r="N21" s="53">
        <f t="shared" si="26"/>
        <v>200.09041936230369</v>
      </c>
      <c r="O21" s="53">
        <f t="shared" si="26"/>
        <v>200.09041936230369</v>
      </c>
      <c r="P21" s="53">
        <f t="shared" si="26"/>
        <v>200.09041936230369</v>
      </c>
      <c r="Q21" s="26" t="s">
        <v>88</v>
      </c>
    </row>
    <row r="22" spans="1:17" ht="15.75" hidden="1" x14ac:dyDescent="0.3">
      <c r="A22" s="26" t="s">
        <v>106</v>
      </c>
      <c r="B22" s="58">
        <f>'Steady State Conditions'!B28</f>
        <v>0</v>
      </c>
      <c r="C22" s="53">
        <f t="shared" si="2"/>
        <v>0</v>
      </c>
      <c r="D22" s="53">
        <f t="shared" si="2"/>
        <v>0</v>
      </c>
      <c r="E22" s="53">
        <f t="shared" si="2"/>
        <v>0</v>
      </c>
      <c r="F22" s="53">
        <f t="shared" si="2"/>
        <v>0</v>
      </c>
      <c r="G22" s="53">
        <f t="shared" ref="G22:P22" si="27">F22</f>
        <v>0</v>
      </c>
      <c r="H22" s="53">
        <f t="shared" si="27"/>
        <v>0</v>
      </c>
      <c r="I22" s="53">
        <f t="shared" si="27"/>
        <v>0</v>
      </c>
      <c r="J22" s="53">
        <f t="shared" si="27"/>
        <v>0</v>
      </c>
      <c r="K22" s="53">
        <f t="shared" si="27"/>
        <v>0</v>
      </c>
      <c r="L22" s="53">
        <f t="shared" si="27"/>
        <v>0</v>
      </c>
      <c r="M22" s="53">
        <f t="shared" si="27"/>
        <v>0</v>
      </c>
      <c r="N22" s="53">
        <f t="shared" si="27"/>
        <v>0</v>
      </c>
      <c r="O22" s="53">
        <f t="shared" si="27"/>
        <v>0</v>
      </c>
      <c r="P22" s="53">
        <f t="shared" si="27"/>
        <v>0</v>
      </c>
      <c r="Q22" s="26" t="s">
        <v>88</v>
      </c>
    </row>
    <row r="23" spans="1:17" x14ac:dyDescent="0.2">
      <c r="A23" s="26" t="s">
        <v>107</v>
      </c>
      <c r="B23" s="58">
        <f>'Steady State Conditions'!B31</f>
        <v>2</v>
      </c>
      <c r="C23" s="53">
        <f t="shared" si="2"/>
        <v>2</v>
      </c>
      <c r="D23" s="53">
        <f t="shared" si="2"/>
        <v>2</v>
      </c>
      <c r="E23" s="53">
        <f t="shared" si="2"/>
        <v>2</v>
      </c>
      <c r="F23" s="53">
        <f t="shared" si="2"/>
        <v>2</v>
      </c>
      <c r="G23" s="53">
        <f t="shared" ref="G23:P23" si="28">F23</f>
        <v>2</v>
      </c>
      <c r="H23" s="53">
        <f t="shared" si="28"/>
        <v>2</v>
      </c>
      <c r="I23" s="53">
        <f t="shared" si="28"/>
        <v>2</v>
      </c>
      <c r="J23" s="53">
        <f t="shared" si="28"/>
        <v>2</v>
      </c>
      <c r="K23" s="53">
        <f t="shared" si="28"/>
        <v>2</v>
      </c>
      <c r="L23" s="53">
        <f t="shared" si="28"/>
        <v>2</v>
      </c>
      <c r="M23" s="53">
        <f t="shared" si="28"/>
        <v>2</v>
      </c>
      <c r="N23" s="53">
        <f t="shared" si="28"/>
        <v>2</v>
      </c>
      <c r="O23" s="53">
        <f t="shared" si="28"/>
        <v>2</v>
      </c>
      <c r="P23" s="53">
        <f t="shared" si="28"/>
        <v>2</v>
      </c>
      <c r="Q23" s="26" t="s">
        <v>0</v>
      </c>
    </row>
    <row r="24" spans="1:17" x14ac:dyDescent="0.2">
      <c r="A24" s="26" t="s">
        <v>148</v>
      </c>
      <c r="B24" s="58" t="str">
        <f>'Steady State Conditions'!B32</f>
        <v>G</v>
      </c>
      <c r="C24" s="52" t="str">
        <f t="shared" si="2"/>
        <v>G</v>
      </c>
      <c r="D24" s="52" t="str">
        <f t="shared" si="2"/>
        <v>G</v>
      </c>
      <c r="E24" s="52" t="str">
        <f t="shared" si="2"/>
        <v>G</v>
      </c>
      <c r="F24" s="52" t="str">
        <f t="shared" si="2"/>
        <v>G</v>
      </c>
      <c r="G24" s="52" t="str">
        <f t="shared" ref="G24:P24" si="29">F24</f>
        <v>G</v>
      </c>
      <c r="H24" s="52" t="str">
        <f t="shared" si="29"/>
        <v>G</v>
      </c>
      <c r="I24" s="52" t="str">
        <f t="shared" si="29"/>
        <v>G</v>
      </c>
      <c r="J24" s="52" t="str">
        <f t="shared" si="29"/>
        <v>G</v>
      </c>
      <c r="K24" s="52" t="str">
        <f t="shared" si="29"/>
        <v>G</v>
      </c>
      <c r="L24" s="52" t="str">
        <f t="shared" si="29"/>
        <v>G</v>
      </c>
      <c r="M24" s="52" t="str">
        <f t="shared" si="29"/>
        <v>G</v>
      </c>
      <c r="N24" s="52" t="str">
        <f t="shared" si="29"/>
        <v>G</v>
      </c>
      <c r="O24" s="52" t="str">
        <f t="shared" si="29"/>
        <v>G</v>
      </c>
      <c r="P24" s="52" t="str">
        <f t="shared" si="29"/>
        <v>G</v>
      </c>
    </row>
    <row r="25" spans="1:17" x14ac:dyDescent="0.2">
      <c r="A25" s="26" t="s">
        <v>147</v>
      </c>
      <c r="B25" s="58">
        <f>'Steady State Conditions'!B33</f>
        <v>0</v>
      </c>
      <c r="C25" s="53">
        <f t="shared" si="2"/>
        <v>0</v>
      </c>
      <c r="D25" s="53">
        <f t="shared" si="2"/>
        <v>0</v>
      </c>
      <c r="E25" s="53">
        <f t="shared" si="2"/>
        <v>0</v>
      </c>
      <c r="F25" s="53">
        <f t="shared" si="2"/>
        <v>0</v>
      </c>
      <c r="G25" s="53">
        <f t="shared" ref="G25:P25" si="30">F25</f>
        <v>0</v>
      </c>
      <c r="H25" s="53">
        <f t="shared" si="30"/>
        <v>0</v>
      </c>
      <c r="I25" s="53">
        <f t="shared" si="30"/>
        <v>0</v>
      </c>
      <c r="J25" s="53">
        <f t="shared" si="30"/>
        <v>0</v>
      </c>
      <c r="K25" s="53">
        <f t="shared" si="30"/>
        <v>0</v>
      </c>
      <c r="L25" s="53">
        <f t="shared" si="30"/>
        <v>0</v>
      </c>
      <c r="M25" s="53">
        <f t="shared" si="30"/>
        <v>0</v>
      </c>
      <c r="N25" s="53">
        <f t="shared" si="30"/>
        <v>0</v>
      </c>
      <c r="O25" s="53">
        <f t="shared" si="30"/>
        <v>0</v>
      </c>
      <c r="P25" s="53">
        <f t="shared" si="30"/>
        <v>0</v>
      </c>
      <c r="Q25" s="26" t="s">
        <v>0</v>
      </c>
    </row>
    <row r="26" spans="1:17" x14ac:dyDescent="0.2">
      <c r="A26" t="s">
        <v>73</v>
      </c>
      <c r="B26" s="58">
        <f>'Steady State Conditions'!B34</f>
        <v>0</v>
      </c>
      <c r="C26" s="53">
        <f t="shared" si="2"/>
        <v>0</v>
      </c>
      <c r="D26" s="53">
        <f t="shared" si="2"/>
        <v>0</v>
      </c>
      <c r="E26" s="53">
        <f t="shared" si="2"/>
        <v>0</v>
      </c>
      <c r="F26" s="53">
        <f t="shared" si="2"/>
        <v>0</v>
      </c>
      <c r="G26" s="53">
        <f t="shared" ref="G26:P26" si="31">F26</f>
        <v>0</v>
      </c>
      <c r="H26" s="53">
        <f t="shared" si="31"/>
        <v>0</v>
      </c>
      <c r="I26" s="53">
        <f t="shared" si="31"/>
        <v>0</v>
      </c>
      <c r="J26" s="53">
        <f t="shared" si="31"/>
        <v>0</v>
      </c>
      <c r="K26" s="53">
        <f t="shared" si="31"/>
        <v>0</v>
      </c>
      <c r="L26" s="53">
        <f t="shared" si="31"/>
        <v>0</v>
      </c>
      <c r="M26" s="53">
        <f t="shared" si="31"/>
        <v>0</v>
      </c>
      <c r="N26" s="53">
        <f t="shared" si="31"/>
        <v>0</v>
      </c>
      <c r="O26" s="53">
        <f t="shared" si="31"/>
        <v>0</v>
      </c>
      <c r="P26" s="53">
        <f t="shared" si="31"/>
        <v>0</v>
      </c>
      <c r="Q26" s="26" t="s">
        <v>0</v>
      </c>
    </row>
    <row r="27" spans="1:17" x14ac:dyDescent="0.2">
      <c r="A27" s="26" t="s">
        <v>152</v>
      </c>
      <c r="B27" s="58">
        <f>'Steady State Conditions'!B35</f>
        <v>0.6</v>
      </c>
      <c r="C27" s="53">
        <f t="shared" si="2"/>
        <v>0.6</v>
      </c>
      <c r="D27" s="53">
        <f t="shared" si="2"/>
        <v>0.6</v>
      </c>
      <c r="E27" s="53">
        <f t="shared" si="2"/>
        <v>0.6</v>
      </c>
      <c r="F27" s="53">
        <f t="shared" si="2"/>
        <v>0.6</v>
      </c>
      <c r="G27" s="53">
        <f t="shared" ref="G27:P27" si="32">F27</f>
        <v>0.6</v>
      </c>
      <c r="H27" s="53">
        <f t="shared" si="32"/>
        <v>0.6</v>
      </c>
      <c r="I27" s="53">
        <f t="shared" si="32"/>
        <v>0.6</v>
      </c>
      <c r="J27" s="53">
        <f t="shared" si="32"/>
        <v>0.6</v>
      </c>
      <c r="K27" s="53">
        <f t="shared" si="32"/>
        <v>0.6</v>
      </c>
      <c r="L27" s="53">
        <f t="shared" si="32"/>
        <v>0.6</v>
      </c>
      <c r="M27" s="53">
        <f t="shared" si="32"/>
        <v>0.6</v>
      </c>
      <c r="N27" s="53">
        <f t="shared" si="32"/>
        <v>0.6</v>
      </c>
      <c r="O27" s="53">
        <f t="shared" si="32"/>
        <v>0.6</v>
      </c>
      <c r="P27" s="53">
        <f t="shared" si="32"/>
        <v>0.6</v>
      </c>
    </row>
    <row r="28" spans="1:17" ht="15.75" x14ac:dyDescent="0.3">
      <c r="A28" s="26" t="s">
        <v>153</v>
      </c>
      <c r="B28" s="58">
        <f>'Steady State Conditions'!B36</f>
        <v>1</v>
      </c>
      <c r="C28" s="53">
        <f t="shared" si="2"/>
        <v>1</v>
      </c>
      <c r="D28" s="53">
        <f t="shared" si="2"/>
        <v>1</v>
      </c>
      <c r="E28" s="53">
        <f t="shared" si="2"/>
        <v>1</v>
      </c>
      <c r="F28" s="53">
        <f t="shared" si="2"/>
        <v>1</v>
      </c>
      <c r="G28" s="53">
        <f t="shared" ref="G28:P28" si="33">F28</f>
        <v>1</v>
      </c>
      <c r="H28" s="53">
        <f t="shared" si="33"/>
        <v>1</v>
      </c>
      <c r="I28" s="53">
        <f t="shared" si="33"/>
        <v>1</v>
      </c>
      <c r="J28" s="53">
        <f t="shared" si="33"/>
        <v>1</v>
      </c>
      <c r="K28" s="53">
        <f t="shared" si="33"/>
        <v>1</v>
      </c>
      <c r="L28" s="53">
        <f t="shared" si="33"/>
        <v>1</v>
      </c>
      <c r="M28" s="53">
        <f t="shared" si="33"/>
        <v>1</v>
      </c>
      <c r="N28" s="53">
        <f t="shared" si="33"/>
        <v>1</v>
      </c>
      <c r="O28" s="53">
        <f t="shared" si="33"/>
        <v>1</v>
      </c>
      <c r="P28" s="53">
        <f t="shared" si="33"/>
        <v>1</v>
      </c>
      <c r="Q28" s="26" t="s">
        <v>89</v>
      </c>
    </row>
    <row r="29" spans="1:17" x14ac:dyDescent="0.2">
      <c r="A29" s="26" t="s">
        <v>154</v>
      </c>
      <c r="B29" s="58">
        <f>(1-B27)*B28*10</f>
        <v>4</v>
      </c>
      <c r="C29" s="58">
        <f t="shared" ref="C29:P29" si="34">(1-C27)*C28*10</f>
        <v>4</v>
      </c>
      <c r="D29" s="58">
        <f t="shared" si="34"/>
        <v>4</v>
      </c>
      <c r="E29" s="58">
        <f t="shared" si="34"/>
        <v>4</v>
      </c>
      <c r="F29" s="58">
        <f t="shared" si="34"/>
        <v>4</v>
      </c>
      <c r="G29" s="58">
        <f t="shared" si="34"/>
        <v>4</v>
      </c>
      <c r="H29" s="58">
        <f t="shared" si="34"/>
        <v>4</v>
      </c>
      <c r="I29" s="58">
        <f t="shared" si="34"/>
        <v>4</v>
      </c>
      <c r="J29" s="58">
        <f t="shared" si="34"/>
        <v>4</v>
      </c>
      <c r="K29" s="58">
        <f t="shared" si="34"/>
        <v>4</v>
      </c>
      <c r="L29" s="58">
        <f t="shared" si="34"/>
        <v>4</v>
      </c>
      <c r="M29" s="58">
        <f t="shared" si="34"/>
        <v>4</v>
      </c>
      <c r="N29" s="58">
        <f t="shared" si="34"/>
        <v>4</v>
      </c>
      <c r="O29" s="58">
        <f t="shared" si="34"/>
        <v>4</v>
      </c>
      <c r="P29" s="58">
        <f t="shared" si="34"/>
        <v>4</v>
      </c>
      <c r="Q29" s="26" t="s">
        <v>155</v>
      </c>
    </row>
    <row r="30" spans="1:17" ht="15.75" hidden="1" x14ac:dyDescent="0.3">
      <c r="A30" s="26" t="s">
        <v>108</v>
      </c>
      <c r="B30" s="58">
        <f>'Steady State Conditions'!B39</f>
        <v>1</v>
      </c>
      <c r="C30" s="53">
        <f t="shared" si="2"/>
        <v>1</v>
      </c>
      <c r="D30" s="53">
        <f t="shared" si="2"/>
        <v>1</v>
      </c>
      <c r="E30" s="53">
        <f t="shared" si="2"/>
        <v>1</v>
      </c>
      <c r="F30" s="53">
        <f t="shared" si="2"/>
        <v>1</v>
      </c>
      <c r="G30" s="53">
        <f t="shared" ref="G30:P31" si="35">F30</f>
        <v>1</v>
      </c>
      <c r="H30" s="53">
        <f t="shared" si="35"/>
        <v>1</v>
      </c>
      <c r="I30" s="53">
        <f t="shared" si="35"/>
        <v>1</v>
      </c>
      <c r="J30" s="53">
        <f t="shared" si="35"/>
        <v>1</v>
      </c>
      <c r="K30" s="53">
        <f t="shared" si="35"/>
        <v>1</v>
      </c>
      <c r="L30" s="53">
        <f t="shared" si="35"/>
        <v>1</v>
      </c>
      <c r="M30" s="53">
        <f t="shared" si="35"/>
        <v>1</v>
      </c>
      <c r="N30" s="53">
        <f t="shared" si="35"/>
        <v>1</v>
      </c>
      <c r="O30" s="53">
        <f t="shared" si="35"/>
        <v>1</v>
      </c>
      <c r="P30" s="53">
        <f t="shared" si="35"/>
        <v>1</v>
      </c>
    </row>
    <row r="31" spans="1:17" x14ac:dyDescent="0.2">
      <c r="A31" s="26" t="s">
        <v>156</v>
      </c>
      <c r="B31" s="72">
        <f>'Steady State Conditions'!B38</f>
        <v>59093.539022921359</v>
      </c>
      <c r="C31" s="73">
        <f>B31</f>
        <v>59093.539022921359</v>
      </c>
      <c r="D31" s="73">
        <f t="shared" si="2"/>
        <v>59093.539022921359</v>
      </c>
      <c r="E31" s="73">
        <f t="shared" si="2"/>
        <v>59093.539022921359</v>
      </c>
      <c r="F31" s="73">
        <f t="shared" si="2"/>
        <v>59093.539022921359</v>
      </c>
      <c r="G31" s="73">
        <f t="shared" si="35"/>
        <v>59093.539022921359</v>
      </c>
      <c r="H31" s="73">
        <f t="shared" si="35"/>
        <v>59093.539022921359</v>
      </c>
      <c r="I31" s="73">
        <f t="shared" si="35"/>
        <v>59093.539022921359</v>
      </c>
      <c r="J31" s="73">
        <f t="shared" si="35"/>
        <v>59093.539022921359</v>
      </c>
      <c r="K31" s="73">
        <f t="shared" si="35"/>
        <v>59093.539022921359</v>
      </c>
      <c r="L31" s="73">
        <f t="shared" si="35"/>
        <v>59093.539022921359</v>
      </c>
      <c r="M31" s="73">
        <f t="shared" si="35"/>
        <v>59093.539022921359</v>
      </c>
      <c r="N31" s="73">
        <f t="shared" si="35"/>
        <v>59093.539022921359</v>
      </c>
      <c r="O31" s="73">
        <f t="shared" si="35"/>
        <v>59093.539022921359</v>
      </c>
      <c r="P31" s="73">
        <f t="shared" si="35"/>
        <v>59093.539022921359</v>
      </c>
      <c r="Q31" s="26" t="s">
        <v>140</v>
      </c>
    </row>
    <row r="32" spans="1:17" x14ac:dyDescent="0.2">
      <c r="A32" s="27" t="s">
        <v>14</v>
      </c>
      <c r="B32" s="58">
        <f>'Steady State Conditions'!B40</f>
        <v>15</v>
      </c>
      <c r="C32" s="53">
        <f t="shared" si="2"/>
        <v>15</v>
      </c>
      <c r="D32" s="53">
        <f t="shared" si="2"/>
        <v>15</v>
      </c>
      <c r="E32" s="53">
        <f t="shared" si="2"/>
        <v>15</v>
      </c>
      <c r="F32" s="53">
        <f t="shared" si="2"/>
        <v>15</v>
      </c>
      <c r="G32" s="53">
        <f t="shared" ref="G32:P32" si="36">F32</f>
        <v>15</v>
      </c>
      <c r="H32" s="53">
        <f t="shared" si="36"/>
        <v>15</v>
      </c>
      <c r="I32" s="53">
        <f t="shared" si="36"/>
        <v>15</v>
      </c>
      <c r="J32" s="53">
        <f t="shared" si="36"/>
        <v>15</v>
      </c>
      <c r="K32" s="53">
        <f t="shared" si="36"/>
        <v>15</v>
      </c>
      <c r="L32" s="53">
        <f t="shared" si="36"/>
        <v>15</v>
      </c>
      <c r="M32" s="53">
        <f t="shared" si="36"/>
        <v>15</v>
      </c>
      <c r="N32" s="53">
        <f t="shared" si="36"/>
        <v>15</v>
      </c>
      <c r="O32" s="53">
        <f t="shared" si="36"/>
        <v>15</v>
      </c>
      <c r="P32" s="53">
        <f t="shared" si="36"/>
        <v>15</v>
      </c>
      <c r="Q32" s="26" t="s">
        <v>0</v>
      </c>
    </row>
    <row r="33" spans="1:17" ht="15" customHeight="1" x14ac:dyDescent="0.3">
      <c r="A33" s="27" t="s">
        <v>9</v>
      </c>
      <c r="B33" s="58">
        <f>'Steady State Conditions'!B41</f>
        <v>0.05</v>
      </c>
      <c r="C33" s="53">
        <f t="shared" si="2"/>
        <v>0.05</v>
      </c>
      <c r="D33" s="53">
        <f t="shared" si="2"/>
        <v>0.05</v>
      </c>
      <c r="E33" s="53">
        <f t="shared" si="2"/>
        <v>0.05</v>
      </c>
      <c r="F33" s="53">
        <f t="shared" si="2"/>
        <v>0.05</v>
      </c>
      <c r="G33" s="53">
        <f t="shared" ref="G33:P33" si="37">F33</f>
        <v>0.05</v>
      </c>
      <c r="H33" s="53">
        <f t="shared" si="37"/>
        <v>0.05</v>
      </c>
      <c r="I33" s="53">
        <f t="shared" si="37"/>
        <v>0.05</v>
      </c>
      <c r="J33" s="53">
        <f t="shared" si="37"/>
        <v>0.05</v>
      </c>
      <c r="K33" s="53">
        <f t="shared" si="37"/>
        <v>0.05</v>
      </c>
      <c r="L33" s="53">
        <f t="shared" si="37"/>
        <v>0.05</v>
      </c>
      <c r="M33" s="53">
        <f t="shared" si="37"/>
        <v>0.05</v>
      </c>
      <c r="N33" s="53">
        <f t="shared" si="37"/>
        <v>0.05</v>
      </c>
      <c r="O33" s="53">
        <f t="shared" si="37"/>
        <v>0.05</v>
      </c>
      <c r="P33" s="53">
        <f t="shared" si="37"/>
        <v>0.05</v>
      </c>
    </row>
    <row r="34" spans="1:17" ht="15" customHeight="1" x14ac:dyDescent="0.2">
      <c r="A34" s="27"/>
      <c r="B34" s="58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1:17" ht="15" customHeight="1" x14ac:dyDescent="0.2">
      <c r="A35" s="2" t="s">
        <v>93</v>
      </c>
      <c r="B35" s="58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</row>
    <row r="36" spans="1:17" ht="15.75" x14ac:dyDescent="0.3">
      <c r="A36" s="27" t="s">
        <v>15</v>
      </c>
      <c r="B36" s="59">
        <f>0.903*B7+0.094</f>
        <v>4.7715399999999999</v>
      </c>
      <c r="C36" s="51">
        <f t="shared" ref="C36:P36" si="38">0.903*C7+0.094</f>
        <v>4.78057</v>
      </c>
      <c r="D36" s="51">
        <f t="shared" si="38"/>
        <v>4.7896000000000001</v>
      </c>
      <c r="E36" s="51">
        <f t="shared" si="38"/>
        <v>4.7986299999999993</v>
      </c>
      <c r="F36" s="51">
        <f t="shared" si="38"/>
        <v>4.8076599999999994</v>
      </c>
      <c r="G36" s="51">
        <f t="shared" si="38"/>
        <v>4.8166899999999995</v>
      </c>
      <c r="H36" s="51">
        <f t="shared" si="38"/>
        <v>4.8257199999999987</v>
      </c>
      <c r="I36" s="51">
        <f t="shared" si="38"/>
        <v>4.8347499999999988</v>
      </c>
      <c r="J36" s="51">
        <f t="shared" si="38"/>
        <v>4.8437799999999989</v>
      </c>
      <c r="K36" s="51">
        <f t="shared" si="38"/>
        <v>4.8528099999999981</v>
      </c>
      <c r="L36" s="51">
        <f t="shared" si="38"/>
        <v>4.8618399999999982</v>
      </c>
      <c r="M36" s="51">
        <f t="shared" si="38"/>
        <v>4.8708699999999983</v>
      </c>
      <c r="N36" s="51">
        <f t="shared" si="38"/>
        <v>4.8798999999999975</v>
      </c>
      <c r="O36" s="51">
        <f t="shared" si="38"/>
        <v>4.8889299999999976</v>
      </c>
      <c r="P36" s="51">
        <f t="shared" si="38"/>
        <v>4.8979599999999976</v>
      </c>
      <c r="Q36" s="26" t="s">
        <v>3</v>
      </c>
    </row>
    <row r="37" spans="1:17" ht="15.75" x14ac:dyDescent="0.3">
      <c r="A37" s="27" t="s">
        <v>29</v>
      </c>
      <c r="B37" s="59">
        <f>B36-0.37</f>
        <v>4.4015399999999998</v>
      </c>
      <c r="C37" s="51">
        <f t="shared" ref="C37:P37" si="39">C36-0.37</f>
        <v>4.4105699999999999</v>
      </c>
      <c r="D37" s="51">
        <f t="shared" si="39"/>
        <v>4.4196</v>
      </c>
      <c r="E37" s="51">
        <f t="shared" si="39"/>
        <v>4.4286299999999992</v>
      </c>
      <c r="F37" s="51">
        <f t="shared" si="39"/>
        <v>4.4376599999999993</v>
      </c>
      <c r="G37" s="51">
        <f t="shared" si="39"/>
        <v>4.4466899999999994</v>
      </c>
      <c r="H37" s="51">
        <f t="shared" si="39"/>
        <v>4.4557199999999986</v>
      </c>
      <c r="I37" s="51">
        <f t="shared" si="39"/>
        <v>4.4647499999999987</v>
      </c>
      <c r="J37" s="51">
        <f t="shared" si="39"/>
        <v>4.4737799999999988</v>
      </c>
      <c r="K37" s="51">
        <f t="shared" si="39"/>
        <v>4.482809999999998</v>
      </c>
      <c r="L37" s="51">
        <f t="shared" si="39"/>
        <v>4.4918399999999981</v>
      </c>
      <c r="M37" s="51">
        <f t="shared" si="39"/>
        <v>4.5008699999999982</v>
      </c>
      <c r="N37" s="51">
        <f t="shared" si="39"/>
        <v>4.5098999999999974</v>
      </c>
      <c r="O37" s="51">
        <f t="shared" si="39"/>
        <v>4.5189299999999974</v>
      </c>
      <c r="P37" s="51">
        <f t="shared" si="39"/>
        <v>4.5279599999999975</v>
      </c>
      <c r="Q37" s="26" t="s">
        <v>3</v>
      </c>
    </row>
    <row r="38" spans="1:17" ht="15.75" x14ac:dyDescent="0.3">
      <c r="A38" s="27" t="s">
        <v>26</v>
      </c>
      <c r="B38" s="59">
        <f>SQRT(0.02*0.01)/100^(2/3)/10^(1/2)*3600</f>
        <v>0.74728138720047343</v>
      </c>
      <c r="C38" s="51">
        <f t="shared" ref="C38:P38" si="40">SQRT(0.02*0.01)/100^(2/3)/10^(1/2)*3600</f>
        <v>0.74728138720047343</v>
      </c>
      <c r="D38" s="51">
        <f t="shared" si="40"/>
        <v>0.74728138720047343</v>
      </c>
      <c r="E38" s="51">
        <f t="shared" si="40"/>
        <v>0.74728138720047343</v>
      </c>
      <c r="F38" s="51">
        <f t="shared" si="40"/>
        <v>0.74728138720047343</v>
      </c>
      <c r="G38" s="51">
        <f t="shared" si="40"/>
        <v>0.74728138720047343</v>
      </c>
      <c r="H38" s="51">
        <f t="shared" si="40"/>
        <v>0.74728138720047343</v>
      </c>
      <c r="I38" s="51">
        <f t="shared" si="40"/>
        <v>0.74728138720047343</v>
      </c>
      <c r="J38" s="51">
        <f t="shared" si="40"/>
        <v>0.74728138720047343</v>
      </c>
      <c r="K38" s="51">
        <f t="shared" si="40"/>
        <v>0.74728138720047343</v>
      </c>
      <c r="L38" s="51">
        <f t="shared" si="40"/>
        <v>0.74728138720047343</v>
      </c>
      <c r="M38" s="51">
        <f t="shared" si="40"/>
        <v>0.74728138720047343</v>
      </c>
      <c r="N38" s="51">
        <f t="shared" si="40"/>
        <v>0.74728138720047343</v>
      </c>
      <c r="O38" s="51">
        <f t="shared" si="40"/>
        <v>0.74728138720047343</v>
      </c>
      <c r="P38" s="51">
        <f t="shared" si="40"/>
        <v>0.74728138720047343</v>
      </c>
      <c r="Q38" s="26" t="s">
        <v>2</v>
      </c>
    </row>
    <row r="39" spans="1:17" x14ac:dyDescent="0.2">
      <c r="A39" s="26" t="s">
        <v>144</v>
      </c>
      <c r="B39" s="59">
        <f>IF(0.05*(B23-B25-B16)&lt;1,1,0.05*(B23-B25-B16))</f>
        <v>1</v>
      </c>
      <c r="C39" s="59">
        <f t="shared" ref="C39:P39" si="41">IF(0.05*(C23-C25-C16)&lt;1,1,0.05*(C23-C25-C16))</f>
        <v>1</v>
      </c>
      <c r="D39" s="59">
        <f t="shared" si="41"/>
        <v>1</v>
      </c>
      <c r="E39" s="59">
        <f t="shared" si="41"/>
        <v>1</v>
      </c>
      <c r="F39" s="59">
        <f t="shared" si="41"/>
        <v>1</v>
      </c>
      <c r="G39" s="59">
        <f t="shared" si="41"/>
        <v>1</v>
      </c>
      <c r="H39" s="59">
        <f t="shared" si="41"/>
        <v>1</v>
      </c>
      <c r="I39" s="59">
        <f t="shared" si="41"/>
        <v>1</v>
      </c>
      <c r="J39" s="59">
        <f t="shared" si="41"/>
        <v>1</v>
      </c>
      <c r="K39" s="59">
        <f t="shared" si="41"/>
        <v>1</v>
      </c>
      <c r="L39" s="59">
        <f t="shared" si="41"/>
        <v>1</v>
      </c>
      <c r="M39" s="59">
        <f t="shared" si="41"/>
        <v>1</v>
      </c>
      <c r="N39" s="59">
        <f t="shared" si="41"/>
        <v>1</v>
      </c>
      <c r="O39" s="59">
        <f t="shared" si="41"/>
        <v>1</v>
      </c>
      <c r="P39" s="59">
        <f t="shared" si="41"/>
        <v>1</v>
      </c>
      <c r="Q39" s="26" t="s">
        <v>0</v>
      </c>
    </row>
    <row r="40" spans="1:17" x14ac:dyDescent="0.2">
      <c r="A40" s="26" t="s">
        <v>145</v>
      </c>
      <c r="B40" s="59">
        <f>IF(0.05*B16&lt;1,1,0.05*B16)</f>
        <v>1.25</v>
      </c>
      <c r="C40" s="59">
        <f t="shared" ref="C40:P40" si="42">IF(0.05*C16&lt;1,1,0.05*C16)</f>
        <v>1.25</v>
      </c>
      <c r="D40" s="59">
        <f t="shared" si="42"/>
        <v>1.25</v>
      </c>
      <c r="E40" s="59">
        <f t="shared" si="42"/>
        <v>1.25</v>
      </c>
      <c r="F40" s="59">
        <f t="shared" si="42"/>
        <v>1.25</v>
      </c>
      <c r="G40" s="59">
        <f t="shared" si="42"/>
        <v>1.25</v>
      </c>
      <c r="H40" s="59">
        <f t="shared" si="42"/>
        <v>1.25</v>
      </c>
      <c r="I40" s="59">
        <f t="shared" si="42"/>
        <v>1.25</v>
      </c>
      <c r="J40" s="59">
        <f t="shared" si="42"/>
        <v>1.25</v>
      </c>
      <c r="K40" s="59">
        <f t="shared" si="42"/>
        <v>1.25</v>
      </c>
      <c r="L40" s="59">
        <f t="shared" si="42"/>
        <v>1.25</v>
      </c>
      <c r="M40" s="59">
        <f t="shared" si="42"/>
        <v>1.25</v>
      </c>
      <c r="N40" s="59">
        <f t="shared" si="42"/>
        <v>1.25</v>
      </c>
      <c r="O40" s="59">
        <f t="shared" si="42"/>
        <v>1.25</v>
      </c>
      <c r="P40" s="59">
        <f t="shared" si="42"/>
        <v>1.25</v>
      </c>
      <c r="Q40" s="26" t="s">
        <v>0</v>
      </c>
    </row>
    <row r="41" spans="1:17" ht="15.75" x14ac:dyDescent="0.3">
      <c r="A41" s="26" t="s">
        <v>113</v>
      </c>
      <c r="B41" s="56">
        <f>IF(B24="G",B8*86400*365*B27^(4/3)+B39*ABS(B14),B8*B27/(1-LN(B27^2))*86400*365+B39*ABS(B14))</f>
        <v>195.75457311864145</v>
      </c>
      <c r="C41" s="56">
        <f t="shared" ref="C41:P41" si="43">IF(C24="G",C8*86400*365*C27^(4/3)+C39*ABS(C14),C8*C27/(1-LN(C27^2))*86400*365+C39*ABS(C14))</f>
        <v>195.75457311864145</v>
      </c>
      <c r="D41" s="56">
        <f t="shared" si="43"/>
        <v>195.75457311864145</v>
      </c>
      <c r="E41" s="56">
        <f t="shared" si="43"/>
        <v>195.75457311864145</v>
      </c>
      <c r="F41" s="56">
        <f t="shared" si="43"/>
        <v>195.75457311864145</v>
      </c>
      <c r="G41" s="56">
        <f t="shared" si="43"/>
        <v>195.75457311864145</v>
      </c>
      <c r="H41" s="56">
        <f t="shared" si="43"/>
        <v>195.75457311864145</v>
      </c>
      <c r="I41" s="56">
        <f t="shared" si="43"/>
        <v>195.75457311864145</v>
      </c>
      <c r="J41" s="56">
        <f t="shared" si="43"/>
        <v>195.75457311864145</v>
      </c>
      <c r="K41" s="56">
        <f t="shared" si="43"/>
        <v>195.75457311864145</v>
      </c>
      <c r="L41" s="56">
        <f t="shared" si="43"/>
        <v>195.75457311864145</v>
      </c>
      <c r="M41" s="56">
        <f t="shared" si="43"/>
        <v>195.75457311864145</v>
      </c>
      <c r="N41" s="56">
        <f t="shared" si="43"/>
        <v>195.75457311864145</v>
      </c>
      <c r="O41" s="56">
        <f t="shared" si="43"/>
        <v>195.75457311864145</v>
      </c>
      <c r="P41" s="56">
        <f t="shared" si="43"/>
        <v>195.75457311864145</v>
      </c>
      <c r="Q41" s="26" t="s">
        <v>88</v>
      </c>
    </row>
    <row r="42" spans="1:17" ht="15.75" x14ac:dyDescent="0.3">
      <c r="A42" s="26" t="s">
        <v>112</v>
      </c>
      <c r="B42" s="56">
        <f>IF(B18="G",B8*86400*365*B19^(4/3)+B40*ABS(B14),B8*B28/(1-LN(B28^2))*86400*365+B40*ABS(B14))</f>
        <v>200.09041936230369</v>
      </c>
      <c r="C42" s="56">
        <f t="shared" ref="C42:P42" si="44">IF(C18="G",C8*86400*365*C19^(4/3)+C40*ABS(C14),C8*C28/(1-LN(C28^2))*86400*365+C40*ABS(C14))</f>
        <v>200.09041936230369</v>
      </c>
      <c r="D42" s="56">
        <f t="shared" si="44"/>
        <v>200.09041936230369</v>
      </c>
      <c r="E42" s="56">
        <f t="shared" si="44"/>
        <v>200.09041936230369</v>
      </c>
      <c r="F42" s="56">
        <f t="shared" si="44"/>
        <v>200.09041936230369</v>
      </c>
      <c r="G42" s="56">
        <f t="shared" si="44"/>
        <v>200.09041936230369</v>
      </c>
      <c r="H42" s="56">
        <f t="shared" si="44"/>
        <v>200.09041936230369</v>
      </c>
      <c r="I42" s="56">
        <f t="shared" si="44"/>
        <v>200.09041936230369</v>
      </c>
      <c r="J42" s="56">
        <f t="shared" si="44"/>
        <v>200.09041936230369</v>
      </c>
      <c r="K42" s="56">
        <f t="shared" si="44"/>
        <v>200.09041936230369</v>
      </c>
      <c r="L42" s="56">
        <f t="shared" si="44"/>
        <v>200.09041936230369</v>
      </c>
      <c r="M42" s="56">
        <f t="shared" si="44"/>
        <v>200.09041936230369</v>
      </c>
      <c r="N42" s="56">
        <f t="shared" si="44"/>
        <v>200.09041936230369</v>
      </c>
      <c r="O42" s="56">
        <f t="shared" si="44"/>
        <v>200.09041936230369</v>
      </c>
      <c r="P42" s="56">
        <f t="shared" si="44"/>
        <v>200.09041936230369</v>
      </c>
      <c r="Q42" s="26" t="s">
        <v>88</v>
      </c>
    </row>
    <row r="43" spans="1:17" x14ac:dyDescent="0.2">
      <c r="A43" s="27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</row>
    <row r="44" spans="1:17" x14ac:dyDescent="0.2">
      <c r="A44" s="2" t="s">
        <v>92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7" x14ac:dyDescent="0.2">
      <c r="A45" s="4" t="s">
        <v>10</v>
      </c>
      <c r="B45" s="36">
        <f t="shared" ref="B45:P45" si="45">B11*IF(B32&lt;B16,(B50*EXP(-B56/2)-B49*EXP(-B58))/2/SINH(B58)*EXP((B56/2+B58)*(B16-B32)/B16)+(B49*EXP(B58)-B50*EXP(-B56/2))/2/SINH(B58)*EXP((B56/2-B58)*(B16-B32)/B16),(B49*EXP(-B53/2)-EXP(-B55))/2/SINH(B55)*EXP((B53/2+B55)*(B60-B32)/(B61))+(EXP(B55)-B49*EXP(-B53/2))/2/SINH(B55)*EXP((B53/2-B)*(B60-B32)/(B61)))</f>
        <v>0.99945675602602979</v>
      </c>
      <c r="C45" s="36">
        <f t="shared" si="45"/>
        <v>0.99945675602602979</v>
      </c>
      <c r="D45" s="36">
        <f t="shared" si="45"/>
        <v>0.99945675602602979</v>
      </c>
      <c r="E45" s="36">
        <f t="shared" si="45"/>
        <v>0.99945675602602979</v>
      </c>
      <c r="F45" s="36">
        <f t="shared" si="45"/>
        <v>0.99945675602602979</v>
      </c>
      <c r="G45" s="36">
        <f t="shared" si="45"/>
        <v>0.99945675602602979</v>
      </c>
      <c r="H45" s="36">
        <f t="shared" si="45"/>
        <v>0.99945675602602979</v>
      </c>
      <c r="I45" s="36">
        <f t="shared" si="45"/>
        <v>0.99945675602602979</v>
      </c>
      <c r="J45" s="36">
        <f t="shared" si="45"/>
        <v>0.99945675602602979</v>
      </c>
      <c r="K45" s="36">
        <f t="shared" si="45"/>
        <v>0.99945675602602979</v>
      </c>
      <c r="L45" s="36">
        <f t="shared" si="45"/>
        <v>0.99945675602602979</v>
      </c>
      <c r="M45" s="36">
        <f t="shared" si="45"/>
        <v>0.99945675602602979</v>
      </c>
      <c r="N45" s="36">
        <f t="shared" si="45"/>
        <v>0.99945675602602979</v>
      </c>
      <c r="O45" s="36">
        <f t="shared" si="45"/>
        <v>0.99945675602602979</v>
      </c>
      <c r="P45" s="36">
        <f t="shared" si="45"/>
        <v>0.99945675602602979</v>
      </c>
      <c r="Q45" s="67" t="s">
        <v>4</v>
      </c>
    </row>
    <row r="46" spans="1:17" x14ac:dyDescent="0.2">
      <c r="A46" s="4" t="s">
        <v>11</v>
      </c>
      <c r="B46" s="42">
        <f t="shared" ref="B46:P46" si="46">B45*10^B36*B33</f>
        <v>2953.0718406973292</v>
      </c>
      <c r="C46" s="42">
        <f t="shared" si="46"/>
        <v>3015.1159100282066</v>
      </c>
      <c r="D46" s="42">
        <f t="shared" si="46"/>
        <v>3078.463525885134</v>
      </c>
      <c r="E46" s="42">
        <f t="shared" si="46"/>
        <v>3143.1420757938486</v>
      </c>
      <c r="F46" s="42">
        <f t="shared" si="46"/>
        <v>3209.17952269229</v>
      </c>
      <c r="G46" s="42">
        <f t="shared" si="46"/>
        <v>3276.6044170199934</v>
      </c>
      <c r="H46" s="42">
        <f t="shared" si="46"/>
        <v>3345.4459090615164</v>
      </c>
      <c r="I46" s="42">
        <f t="shared" si="46"/>
        <v>3415.7337615492102</v>
      </c>
      <c r="J46" s="42">
        <f t="shared" si="46"/>
        <v>3487.4983625307136</v>
      </c>
      <c r="K46" s="42">
        <f t="shared" si="46"/>
        <v>3560.7707385068579</v>
      </c>
      <c r="L46" s="42">
        <f t="shared" si="46"/>
        <v>3635.5825678455876</v>
      </c>
      <c r="M46" s="42">
        <f t="shared" si="46"/>
        <v>3711.9661944776631</v>
      </c>
      <c r="N46" s="42">
        <f t="shared" si="46"/>
        <v>3789.9546418801565</v>
      </c>
      <c r="O46" s="42">
        <f t="shared" si="46"/>
        <v>3869.5816273537453</v>
      </c>
      <c r="P46" s="42">
        <f t="shared" si="46"/>
        <v>3950.8815765999207</v>
      </c>
      <c r="Q46" s="68" t="s">
        <v>5</v>
      </c>
    </row>
    <row r="47" spans="1:17" x14ac:dyDescent="0.2">
      <c r="A47" s="26" t="s">
        <v>109</v>
      </c>
      <c r="B47" s="24">
        <f t="shared" ref="B47:P47" si="47">B12*10^B36*B51*B11</f>
        <v>5.4435280239986472</v>
      </c>
      <c r="C47" s="24">
        <f t="shared" si="47"/>
        <v>5.557896603005446</v>
      </c>
      <c r="D47" s="24">
        <f t="shared" si="47"/>
        <v>5.6746680670173948</v>
      </c>
      <c r="E47" s="24">
        <f t="shared" si="47"/>
        <v>5.7938929006728266</v>
      </c>
      <c r="F47" s="24">
        <f t="shared" si="47"/>
        <v>5.9156226492928621</v>
      </c>
      <c r="G47" s="24">
        <f t="shared" si="47"/>
        <v>6.0399099411663073</v>
      </c>
      <c r="H47" s="24">
        <f t="shared" si="47"/>
        <v>6.166808510302852</v>
      </c>
      <c r="I47" s="24">
        <f t="shared" si="47"/>
        <v>6.2963732196643045</v>
      </c>
      <c r="J47" s="24">
        <f t="shared" si="47"/>
        <v>6.4286600848838269</v>
      </c>
      <c r="K47" s="24">
        <f t="shared" si="47"/>
        <v>6.5637262984836022</v>
      </c>
      <c r="L47" s="24">
        <f t="shared" si="47"/>
        <v>6.7016302546013167</v>
      </c>
      <c r="M47" s="24">
        <f t="shared" si="47"/>
        <v>6.8424315742360484</v>
      </c>
      <c r="N47" s="24">
        <f t="shared" si="47"/>
        <v>6.9861911310246727</v>
      </c>
      <c r="O47" s="24">
        <f t="shared" si="47"/>
        <v>7.1329710775598238</v>
      </c>
      <c r="P47" s="24">
        <f t="shared" si="47"/>
        <v>7.2828348722607075</v>
      </c>
      <c r="Q47" s="68" t="s">
        <v>5</v>
      </c>
    </row>
    <row r="48" spans="1:17" ht="14.25" x14ac:dyDescent="0.2">
      <c r="A48" s="4" t="s">
        <v>12</v>
      </c>
      <c r="B48" s="18">
        <f t="shared" ref="B48:P48" si="48">(B38*24*365+B64)*B50*B11*10</f>
        <v>1000.0030162514123</v>
      </c>
      <c r="C48" s="18">
        <f t="shared" si="48"/>
        <v>1000.0030162514123</v>
      </c>
      <c r="D48" s="18">
        <f t="shared" si="48"/>
        <v>1000.0030162514123</v>
      </c>
      <c r="E48" s="18">
        <f t="shared" si="48"/>
        <v>1000.0030162514123</v>
      </c>
      <c r="F48" s="18">
        <f t="shared" si="48"/>
        <v>1000.0030162514123</v>
      </c>
      <c r="G48" s="18">
        <f t="shared" si="48"/>
        <v>1000.0030162514123</v>
      </c>
      <c r="H48" s="18">
        <f t="shared" si="48"/>
        <v>1000.0030162514123</v>
      </c>
      <c r="I48" s="18">
        <f t="shared" si="48"/>
        <v>1000.0030162514123</v>
      </c>
      <c r="J48" s="18">
        <f t="shared" si="48"/>
        <v>1000.0030162514123</v>
      </c>
      <c r="K48" s="18">
        <f t="shared" si="48"/>
        <v>1000.0030162514123</v>
      </c>
      <c r="L48" s="18">
        <f t="shared" si="48"/>
        <v>1000.0030162514123</v>
      </c>
      <c r="M48" s="18">
        <f t="shared" si="48"/>
        <v>1000.0030162514123</v>
      </c>
      <c r="N48" s="18">
        <f t="shared" si="48"/>
        <v>1000.0030162514123</v>
      </c>
      <c r="O48" s="18">
        <f t="shared" si="48"/>
        <v>1000.0030162514123</v>
      </c>
      <c r="P48" s="18">
        <f t="shared" si="48"/>
        <v>1000.0030162514123</v>
      </c>
      <c r="Q48" s="68" t="s">
        <v>90</v>
      </c>
    </row>
    <row r="49" spans="1:17" x14ac:dyDescent="0.2">
      <c r="A49" s="26" t="s">
        <v>110</v>
      </c>
      <c r="B49" s="41">
        <f>B56/B53*EXP(B53/2)*B55*SINH(B58)/(B56/B53*B55*COSH(B55)*SINH(B58)+B58*SINH(B55)*COSH(B58)-B58^2*SINH(B55)/((B59+B56/2)*SINH(B58)+B58*COSH(B58)))</f>
        <v>0.99999999808204687</v>
      </c>
      <c r="C49" s="41">
        <f t="shared" ref="C49:P49" si="49">C56/C53*EXP(C53/2)*C55*SINH(C58)/(C56/C53*C55*COSH(C55)*SINH(C58)+C58*SINH(C55)*COSH(C58)-C58^2*SINH(C55)/((C59+C56/2)*SINH(C58)+C58*COSH(C58)))</f>
        <v>0.99999999808204687</v>
      </c>
      <c r="D49" s="41">
        <f t="shared" si="49"/>
        <v>0.99999999808204687</v>
      </c>
      <c r="E49" s="41">
        <f t="shared" si="49"/>
        <v>0.99999999808204687</v>
      </c>
      <c r="F49" s="41">
        <f t="shared" si="49"/>
        <v>0.99999999808204687</v>
      </c>
      <c r="G49" s="41">
        <f t="shared" si="49"/>
        <v>0.99999999808204687</v>
      </c>
      <c r="H49" s="41">
        <f t="shared" si="49"/>
        <v>0.99999999808204687</v>
      </c>
      <c r="I49" s="41">
        <f t="shared" si="49"/>
        <v>0.99999999808204687</v>
      </c>
      <c r="J49" s="41">
        <f t="shared" si="49"/>
        <v>0.99999999808204687</v>
      </c>
      <c r="K49" s="41">
        <f t="shared" si="49"/>
        <v>0.99999999808204687</v>
      </c>
      <c r="L49" s="41">
        <f t="shared" si="49"/>
        <v>0.99999999808204687</v>
      </c>
      <c r="M49" s="41">
        <f t="shared" si="49"/>
        <v>0.99999999808204687</v>
      </c>
      <c r="N49" s="41">
        <f t="shared" si="49"/>
        <v>0.99999999808204687</v>
      </c>
      <c r="O49" s="41">
        <f t="shared" si="49"/>
        <v>0.99999999808204687</v>
      </c>
      <c r="P49" s="41">
        <f t="shared" si="49"/>
        <v>0.99999999808204687</v>
      </c>
    </row>
    <row r="50" spans="1:17" ht="15.75" x14ac:dyDescent="0.3">
      <c r="A50" s="4" t="s">
        <v>76</v>
      </c>
      <c r="B50" s="41">
        <f>EXP((B53+B56)/2)/((B53/2+B59*B53/B56)*SINH(B55)*COSH(B58)/B55+(B56/2+B59)*COSH(B55)*SINH(B58)/B58+B53*B58*SINH(B58)*SINH(B55)/B56/B55+COSH(B55)*COSH(B58))</f>
        <v>1.5046271259260129E-2</v>
      </c>
      <c r="C50" s="41">
        <f t="shared" ref="C50:P50" si="50">EXP((C53+C56)/2)/((C53/2+C59*C53/C56)*SINH(C55)*COSH(C58)/C55+(C56/2+C59)*COSH(C55)*SINH(C58)/C58+C53*C58*SINH(C58)*SINH(C55)/C56/C55+COSH(C55)*COSH(C58))</f>
        <v>1.5046271259260129E-2</v>
      </c>
      <c r="D50" s="41">
        <f t="shared" si="50"/>
        <v>1.5046271259260129E-2</v>
      </c>
      <c r="E50" s="41">
        <f t="shared" si="50"/>
        <v>1.5046271259260129E-2</v>
      </c>
      <c r="F50" s="41">
        <f t="shared" si="50"/>
        <v>1.5046271259260129E-2</v>
      </c>
      <c r="G50" s="41">
        <f t="shared" si="50"/>
        <v>1.5046271259260129E-2</v>
      </c>
      <c r="H50" s="41">
        <f t="shared" si="50"/>
        <v>1.5046271259260129E-2</v>
      </c>
      <c r="I50" s="41">
        <f t="shared" si="50"/>
        <v>1.5046271259260129E-2</v>
      </c>
      <c r="J50" s="41">
        <f t="shared" si="50"/>
        <v>1.5046271259260129E-2</v>
      </c>
      <c r="K50" s="41">
        <f t="shared" si="50"/>
        <v>1.5046271259260129E-2</v>
      </c>
      <c r="L50" s="41">
        <f t="shared" si="50"/>
        <v>1.5046271259260129E-2</v>
      </c>
      <c r="M50" s="41">
        <f t="shared" si="50"/>
        <v>1.5046271259260129E-2</v>
      </c>
      <c r="N50" s="41">
        <f t="shared" si="50"/>
        <v>1.5046271259260129E-2</v>
      </c>
      <c r="O50" s="41">
        <f t="shared" si="50"/>
        <v>1.5046271259260129E-2</v>
      </c>
      <c r="P50" s="41">
        <f t="shared" si="50"/>
        <v>1.5046271259260129E-2</v>
      </c>
    </row>
    <row r="51" spans="1:17" x14ac:dyDescent="0.2">
      <c r="A51" s="26" t="s">
        <v>111</v>
      </c>
      <c r="B51" s="41">
        <f t="shared" ref="B51:P51" si="51">(B50*EXP(-B56/2)-B49*EXP(-B58))/2/SINH(B58)*(EXP(B56/2+B58)-1)/(B56/2+B58)+(B49*EXP(B58)-B50*EXP(-B56/2))/2/SINH(B58)*(EXP(B56/2-B58)-1)/(B56/2-B58)</f>
        <v>0.92117143667553858</v>
      </c>
      <c r="C51" s="41">
        <f t="shared" si="51"/>
        <v>0.92117143667553858</v>
      </c>
      <c r="D51" s="41">
        <f t="shared" si="51"/>
        <v>0.92117143667553858</v>
      </c>
      <c r="E51" s="41">
        <f t="shared" si="51"/>
        <v>0.92117143667553858</v>
      </c>
      <c r="F51" s="41">
        <f t="shared" si="51"/>
        <v>0.92117143667553858</v>
      </c>
      <c r="G51" s="41">
        <f t="shared" si="51"/>
        <v>0.92117143667553858</v>
      </c>
      <c r="H51" s="41">
        <f t="shared" si="51"/>
        <v>0.92117143667553858</v>
      </c>
      <c r="I51" s="41">
        <f t="shared" si="51"/>
        <v>0.92117143667553858</v>
      </c>
      <c r="J51" s="41">
        <f t="shared" si="51"/>
        <v>0.92117143667553858</v>
      </c>
      <c r="K51" s="41">
        <f t="shared" si="51"/>
        <v>0.92117143667553858</v>
      </c>
      <c r="L51" s="41">
        <f t="shared" si="51"/>
        <v>0.92117143667553858</v>
      </c>
      <c r="M51" s="41">
        <f t="shared" si="51"/>
        <v>0.92117143667553858</v>
      </c>
      <c r="N51" s="41">
        <f t="shared" si="51"/>
        <v>0.92117143667553858</v>
      </c>
      <c r="O51" s="41">
        <f t="shared" si="51"/>
        <v>0.92117143667553858</v>
      </c>
      <c r="P51" s="41">
        <f t="shared" si="51"/>
        <v>0.92117143667553858</v>
      </c>
    </row>
    <row r="52" spans="1:17" ht="15.75" x14ac:dyDescent="0.3">
      <c r="A52" s="4" t="s">
        <v>78</v>
      </c>
      <c r="B52" s="43">
        <f>MAX(1/(1/B65+1/B66),0)</f>
        <v>7.5468418656866083E-6</v>
      </c>
      <c r="C52" s="43">
        <f t="shared" ref="C52:P52" si="52">MAX(1/(1/C65+1/C66),0)</f>
        <v>7.5468418656866083E-6</v>
      </c>
      <c r="D52" s="43">
        <f t="shared" si="52"/>
        <v>7.5468418656866083E-6</v>
      </c>
      <c r="E52" s="43">
        <f t="shared" si="52"/>
        <v>7.5468418656866083E-6</v>
      </c>
      <c r="F52" s="43">
        <f t="shared" si="52"/>
        <v>7.5468418656866083E-6</v>
      </c>
      <c r="G52" s="43">
        <f t="shared" si="52"/>
        <v>7.5468418656866083E-6</v>
      </c>
      <c r="H52" s="43">
        <f t="shared" si="52"/>
        <v>7.5468418656866083E-6</v>
      </c>
      <c r="I52" s="43">
        <f t="shared" si="52"/>
        <v>7.5468418656866083E-6</v>
      </c>
      <c r="J52" s="43">
        <f t="shared" si="52"/>
        <v>7.5468418656866083E-6</v>
      </c>
      <c r="K52" s="43">
        <f t="shared" si="52"/>
        <v>7.5468418656866083E-6</v>
      </c>
      <c r="L52" s="43">
        <f t="shared" si="52"/>
        <v>7.5468418656866083E-6</v>
      </c>
      <c r="M52" s="43">
        <f t="shared" si="52"/>
        <v>7.5468418656866083E-6</v>
      </c>
      <c r="N52" s="43">
        <f t="shared" si="52"/>
        <v>7.5468418656866083E-6</v>
      </c>
      <c r="O52" s="43">
        <f t="shared" si="52"/>
        <v>7.5468418656866083E-6</v>
      </c>
      <c r="P52" s="43">
        <f t="shared" si="52"/>
        <v>7.5468418656866083E-6</v>
      </c>
      <c r="Q52" s="68" t="s">
        <v>22</v>
      </c>
    </row>
    <row r="53" spans="1:17" ht="15.75" x14ac:dyDescent="0.3">
      <c r="A53" s="4" t="s">
        <v>44</v>
      </c>
      <c r="B53" s="20">
        <f t="shared" ref="B53:P53" si="53">B64*B61/B41</f>
        <v>5.108437489191773E-4</v>
      </c>
      <c r="C53" s="20">
        <f t="shared" si="53"/>
        <v>5.108437489191773E-4</v>
      </c>
      <c r="D53" s="20">
        <f t="shared" si="53"/>
        <v>5.108437489191773E-4</v>
      </c>
      <c r="E53" s="20">
        <f t="shared" si="53"/>
        <v>5.108437489191773E-4</v>
      </c>
      <c r="F53" s="20">
        <f t="shared" si="53"/>
        <v>5.108437489191773E-4</v>
      </c>
      <c r="G53" s="20">
        <f t="shared" si="53"/>
        <v>5.108437489191773E-4</v>
      </c>
      <c r="H53" s="20">
        <f t="shared" si="53"/>
        <v>5.108437489191773E-4</v>
      </c>
      <c r="I53" s="20">
        <f t="shared" si="53"/>
        <v>5.108437489191773E-4</v>
      </c>
      <c r="J53" s="20">
        <f t="shared" si="53"/>
        <v>5.108437489191773E-4</v>
      </c>
      <c r="K53" s="20">
        <f t="shared" si="53"/>
        <v>5.108437489191773E-4</v>
      </c>
      <c r="L53" s="20">
        <f t="shared" si="53"/>
        <v>5.108437489191773E-4</v>
      </c>
      <c r="M53" s="20">
        <f t="shared" si="53"/>
        <v>5.108437489191773E-4</v>
      </c>
      <c r="N53" s="20">
        <f t="shared" si="53"/>
        <v>5.108437489191773E-4</v>
      </c>
      <c r="O53" s="20">
        <f t="shared" si="53"/>
        <v>5.108437489191773E-4</v>
      </c>
      <c r="P53" s="20">
        <f t="shared" si="53"/>
        <v>5.108437489191773E-4</v>
      </c>
    </row>
    <row r="54" spans="1:17" ht="15.75" x14ac:dyDescent="0.3">
      <c r="A54" s="4" t="s">
        <v>45</v>
      </c>
      <c r="B54" s="20">
        <f t="shared" ref="B54:P54" si="54">B27*B9*B61^2/B41</f>
        <v>0</v>
      </c>
      <c r="C54" s="20">
        <f t="shared" si="54"/>
        <v>0</v>
      </c>
      <c r="D54" s="20">
        <f t="shared" si="54"/>
        <v>0</v>
      </c>
      <c r="E54" s="20">
        <f t="shared" si="54"/>
        <v>0</v>
      </c>
      <c r="F54" s="20">
        <f t="shared" si="54"/>
        <v>0</v>
      </c>
      <c r="G54" s="20">
        <f t="shared" si="54"/>
        <v>0</v>
      </c>
      <c r="H54" s="20">
        <f t="shared" si="54"/>
        <v>0</v>
      </c>
      <c r="I54" s="20">
        <f t="shared" si="54"/>
        <v>0</v>
      </c>
      <c r="J54" s="20">
        <f t="shared" si="54"/>
        <v>0</v>
      </c>
      <c r="K54" s="20">
        <f t="shared" si="54"/>
        <v>0</v>
      </c>
      <c r="L54" s="20">
        <f t="shared" si="54"/>
        <v>0</v>
      </c>
      <c r="M54" s="20">
        <f t="shared" si="54"/>
        <v>0</v>
      </c>
      <c r="N54" s="20">
        <f t="shared" si="54"/>
        <v>0</v>
      </c>
      <c r="O54" s="20">
        <f t="shared" si="54"/>
        <v>0</v>
      </c>
      <c r="P54" s="20">
        <f t="shared" si="54"/>
        <v>0</v>
      </c>
    </row>
    <row r="55" spans="1:17" ht="15.75" x14ac:dyDescent="0.3">
      <c r="A55" s="15" t="s">
        <v>47</v>
      </c>
      <c r="B55" s="20">
        <f>SQRT(B53^2/4+B54)</f>
        <v>2.5542187445958865E-4</v>
      </c>
      <c r="C55" s="20">
        <f t="shared" ref="C55:P55" si="55">SQRT(C53^2/4+C54)</f>
        <v>2.5542187445958865E-4</v>
      </c>
      <c r="D55" s="20">
        <f t="shared" si="55"/>
        <v>2.5542187445958865E-4</v>
      </c>
      <c r="E55" s="20">
        <f t="shared" si="55"/>
        <v>2.5542187445958865E-4</v>
      </c>
      <c r="F55" s="20">
        <f t="shared" si="55"/>
        <v>2.5542187445958865E-4</v>
      </c>
      <c r="G55" s="20">
        <f t="shared" si="55"/>
        <v>2.5542187445958865E-4</v>
      </c>
      <c r="H55" s="20">
        <f t="shared" si="55"/>
        <v>2.5542187445958865E-4</v>
      </c>
      <c r="I55" s="20">
        <f t="shared" si="55"/>
        <v>2.5542187445958865E-4</v>
      </c>
      <c r="J55" s="20">
        <f t="shared" si="55"/>
        <v>2.5542187445958865E-4</v>
      </c>
      <c r="K55" s="20">
        <f t="shared" si="55"/>
        <v>2.5542187445958865E-4</v>
      </c>
      <c r="L55" s="20">
        <f t="shared" si="55"/>
        <v>2.5542187445958865E-4</v>
      </c>
      <c r="M55" s="20">
        <f t="shared" si="55"/>
        <v>2.5542187445958865E-4</v>
      </c>
      <c r="N55" s="20">
        <f t="shared" si="55"/>
        <v>2.5542187445958865E-4</v>
      </c>
      <c r="O55" s="20">
        <f t="shared" si="55"/>
        <v>2.5542187445958865E-4</v>
      </c>
      <c r="P55" s="20">
        <f t="shared" si="55"/>
        <v>2.5542187445958865E-4</v>
      </c>
    </row>
    <row r="56" spans="1:17" ht="15.75" x14ac:dyDescent="0.3">
      <c r="A56" s="26" t="s">
        <v>114</v>
      </c>
      <c r="B56" s="20">
        <f t="shared" ref="B56:P56" si="56">B64*B16/B42</f>
        <v>12.49435134359557</v>
      </c>
      <c r="C56" s="20">
        <f t="shared" si="56"/>
        <v>12.49435134359557</v>
      </c>
      <c r="D56" s="20">
        <f t="shared" si="56"/>
        <v>12.49435134359557</v>
      </c>
      <c r="E56" s="20">
        <f t="shared" si="56"/>
        <v>12.49435134359557</v>
      </c>
      <c r="F56" s="20">
        <f t="shared" si="56"/>
        <v>12.49435134359557</v>
      </c>
      <c r="G56" s="20">
        <f t="shared" si="56"/>
        <v>12.49435134359557</v>
      </c>
      <c r="H56" s="20">
        <f t="shared" si="56"/>
        <v>12.49435134359557</v>
      </c>
      <c r="I56" s="20">
        <f t="shared" si="56"/>
        <v>12.49435134359557</v>
      </c>
      <c r="J56" s="20">
        <f t="shared" si="56"/>
        <v>12.49435134359557</v>
      </c>
      <c r="K56" s="20">
        <f t="shared" si="56"/>
        <v>12.49435134359557</v>
      </c>
      <c r="L56" s="20">
        <f t="shared" si="56"/>
        <v>12.49435134359557</v>
      </c>
      <c r="M56" s="20">
        <f t="shared" si="56"/>
        <v>12.49435134359557</v>
      </c>
      <c r="N56" s="20">
        <f t="shared" si="56"/>
        <v>12.49435134359557</v>
      </c>
      <c r="O56" s="20">
        <f t="shared" si="56"/>
        <v>12.49435134359557</v>
      </c>
      <c r="P56" s="20">
        <f t="shared" si="56"/>
        <v>12.49435134359557</v>
      </c>
    </row>
    <row r="57" spans="1:17" ht="15.75" x14ac:dyDescent="0.3">
      <c r="A57" s="26" t="s">
        <v>115</v>
      </c>
      <c r="B57" s="20">
        <f t="shared" ref="B57:P57" si="57">IF(B10&gt;0,B27*B10*B16^2/B42,0.00001)</f>
        <v>1.0000000000000001E-5</v>
      </c>
      <c r="C57" s="20">
        <f t="shared" si="57"/>
        <v>1.0000000000000001E-5</v>
      </c>
      <c r="D57" s="20">
        <f t="shared" si="57"/>
        <v>1.0000000000000001E-5</v>
      </c>
      <c r="E57" s="20">
        <f t="shared" si="57"/>
        <v>1.0000000000000001E-5</v>
      </c>
      <c r="F57" s="20">
        <f t="shared" si="57"/>
        <v>1.0000000000000001E-5</v>
      </c>
      <c r="G57" s="20">
        <f t="shared" si="57"/>
        <v>1.0000000000000001E-5</v>
      </c>
      <c r="H57" s="20">
        <f t="shared" si="57"/>
        <v>1.0000000000000001E-5</v>
      </c>
      <c r="I57" s="20">
        <f t="shared" si="57"/>
        <v>1.0000000000000001E-5</v>
      </c>
      <c r="J57" s="20">
        <f t="shared" si="57"/>
        <v>1.0000000000000001E-5</v>
      </c>
      <c r="K57" s="20">
        <f t="shared" si="57"/>
        <v>1.0000000000000001E-5</v>
      </c>
      <c r="L57" s="20">
        <f t="shared" si="57"/>
        <v>1.0000000000000001E-5</v>
      </c>
      <c r="M57" s="20">
        <f t="shared" si="57"/>
        <v>1.0000000000000001E-5</v>
      </c>
      <c r="N57" s="20">
        <f t="shared" si="57"/>
        <v>1.0000000000000001E-5</v>
      </c>
      <c r="O57" s="20">
        <f t="shared" si="57"/>
        <v>1.0000000000000001E-5</v>
      </c>
      <c r="P57" s="20">
        <f t="shared" si="57"/>
        <v>1.0000000000000001E-5</v>
      </c>
    </row>
    <row r="58" spans="1:17" ht="15.75" x14ac:dyDescent="0.3">
      <c r="A58" s="22" t="s">
        <v>46</v>
      </c>
      <c r="B58" s="21">
        <f>SQRT(B56^2/4+B57)</f>
        <v>6.2471764721594107</v>
      </c>
      <c r="C58" s="21">
        <f t="shared" ref="C58:P58" si="58">SQRT(C56^2/4+C57)</f>
        <v>6.2471764721594107</v>
      </c>
      <c r="D58" s="21">
        <f t="shared" si="58"/>
        <v>6.2471764721594107</v>
      </c>
      <c r="E58" s="21">
        <f t="shared" si="58"/>
        <v>6.2471764721594107</v>
      </c>
      <c r="F58" s="21">
        <f t="shared" si="58"/>
        <v>6.2471764721594107</v>
      </c>
      <c r="G58" s="21">
        <f t="shared" si="58"/>
        <v>6.2471764721594107</v>
      </c>
      <c r="H58" s="21">
        <f t="shared" si="58"/>
        <v>6.2471764721594107</v>
      </c>
      <c r="I58" s="21">
        <f t="shared" si="58"/>
        <v>6.2471764721594107</v>
      </c>
      <c r="J58" s="21">
        <f t="shared" si="58"/>
        <v>6.2471764721594107</v>
      </c>
      <c r="K58" s="21">
        <f t="shared" si="58"/>
        <v>6.2471764721594107</v>
      </c>
      <c r="L58" s="21">
        <f t="shared" si="58"/>
        <v>6.2471764721594107</v>
      </c>
      <c r="M58" s="21">
        <f t="shared" si="58"/>
        <v>6.2471764721594107</v>
      </c>
      <c r="N58" s="21">
        <f t="shared" si="58"/>
        <v>6.2471764721594107</v>
      </c>
      <c r="O58" s="21">
        <f t="shared" si="58"/>
        <v>6.2471764721594107</v>
      </c>
      <c r="P58" s="21">
        <f t="shared" si="58"/>
        <v>6.2471764721594107</v>
      </c>
    </row>
    <row r="59" spans="1:17" x14ac:dyDescent="0.2">
      <c r="A59" s="4" t="s">
        <v>48</v>
      </c>
      <c r="B59" s="32">
        <f t="shared" ref="B59:P59" si="59">B38*24*365*B16/B42</f>
        <v>817.90334748898829</v>
      </c>
      <c r="C59" s="32">
        <f t="shared" si="59"/>
        <v>817.90334748898829</v>
      </c>
      <c r="D59" s="32">
        <f t="shared" si="59"/>
        <v>817.90334748898829</v>
      </c>
      <c r="E59" s="32">
        <f t="shared" si="59"/>
        <v>817.90334748898829</v>
      </c>
      <c r="F59" s="32">
        <f t="shared" si="59"/>
        <v>817.90334748898829</v>
      </c>
      <c r="G59" s="32">
        <f t="shared" si="59"/>
        <v>817.90334748898829</v>
      </c>
      <c r="H59" s="32">
        <f t="shared" si="59"/>
        <v>817.90334748898829</v>
      </c>
      <c r="I59" s="32">
        <f t="shared" si="59"/>
        <v>817.90334748898829</v>
      </c>
      <c r="J59" s="32">
        <f t="shared" si="59"/>
        <v>817.90334748898829</v>
      </c>
      <c r="K59" s="32">
        <f t="shared" si="59"/>
        <v>817.90334748898829</v>
      </c>
      <c r="L59" s="32">
        <f t="shared" si="59"/>
        <v>817.90334748898829</v>
      </c>
      <c r="M59" s="32">
        <f t="shared" si="59"/>
        <v>817.90334748898829</v>
      </c>
      <c r="N59" s="32">
        <f t="shared" si="59"/>
        <v>817.90334748898829</v>
      </c>
      <c r="O59" s="32">
        <f t="shared" si="59"/>
        <v>817.90334748898829</v>
      </c>
      <c r="P59" s="32">
        <f t="shared" si="59"/>
        <v>817.90334748898829</v>
      </c>
    </row>
    <row r="60" spans="1:17" ht="15.75" x14ac:dyDescent="0.3">
      <c r="A60" s="4" t="s">
        <v>70</v>
      </c>
      <c r="B60" s="49">
        <f t="shared" ref="B60:P60" si="60">B23-B25-B26/B62</f>
        <v>2</v>
      </c>
      <c r="C60" s="49">
        <f t="shared" si="60"/>
        <v>2</v>
      </c>
      <c r="D60" s="49">
        <f t="shared" si="60"/>
        <v>2</v>
      </c>
      <c r="E60" s="49">
        <f t="shared" si="60"/>
        <v>2</v>
      </c>
      <c r="F60" s="49">
        <f t="shared" si="60"/>
        <v>2</v>
      </c>
      <c r="G60" s="49">
        <f t="shared" si="60"/>
        <v>2</v>
      </c>
      <c r="H60" s="49">
        <f t="shared" si="60"/>
        <v>2</v>
      </c>
      <c r="I60" s="49">
        <f t="shared" si="60"/>
        <v>2</v>
      </c>
      <c r="J60" s="49">
        <f t="shared" si="60"/>
        <v>2</v>
      </c>
      <c r="K60" s="49">
        <f t="shared" si="60"/>
        <v>2</v>
      </c>
      <c r="L60" s="49">
        <f t="shared" si="60"/>
        <v>2</v>
      </c>
      <c r="M60" s="49">
        <f t="shared" si="60"/>
        <v>2</v>
      </c>
      <c r="N60" s="49">
        <f t="shared" si="60"/>
        <v>2</v>
      </c>
      <c r="O60" s="49">
        <f t="shared" si="60"/>
        <v>2</v>
      </c>
      <c r="P60" s="49">
        <f t="shared" si="60"/>
        <v>2</v>
      </c>
      <c r="Q60" s="26" t="s">
        <v>0</v>
      </c>
    </row>
    <row r="61" spans="1:17" ht="15.75" x14ac:dyDescent="0.3">
      <c r="A61" s="27" t="s">
        <v>6</v>
      </c>
      <c r="B61" s="18">
        <f t="shared" ref="B61:P61" si="61">IF(B60-B16&gt;0,B60-B16,0.001)</f>
        <v>1E-3</v>
      </c>
      <c r="C61" s="18">
        <f t="shared" si="61"/>
        <v>1E-3</v>
      </c>
      <c r="D61" s="18">
        <f t="shared" si="61"/>
        <v>1E-3</v>
      </c>
      <c r="E61" s="18">
        <f t="shared" si="61"/>
        <v>1E-3</v>
      </c>
      <c r="F61" s="18">
        <f t="shared" si="61"/>
        <v>1E-3</v>
      </c>
      <c r="G61" s="18">
        <f t="shared" si="61"/>
        <v>1E-3</v>
      </c>
      <c r="H61" s="18">
        <f t="shared" si="61"/>
        <v>1E-3</v>
      </c>
      <c r="I61" s="18">
        <f t="shared" si="61"/>
        <v>1E-3</v>
      </c>
      <c r="J61" s="18">
        <f t="shared" si="61"/>
        <v>1E-3</v>
      </c>
      <c r="K61" s="18">
        <f t="shared" si="61"/>
        <v>1E-3</v>
      </c>
      <c r="L61" s="18">
        <f t="shared" si="61"/>
        <v>1E-3</v>
      </c>
      <c r="M61" s="18">
        <f t="shared" si="61"/>
        <v>1E-3</v>
      </c>
      <c r="N61" s="18">
        <f t="shared" si="61"/>
        <v>1E-3</v>
      </c>
      <c r="O61" s="18">
        <f t="shared" si="61"/>
        <v>1E-3</v>
      </c>
      <c r="P61" s="18">
        <f t="shared" si="61"/>
        <v>1E-3</v>
      </c>
      <c r="Q61" s="26" t="s">
        <v>0</v>
      </c>
    </row>
    <row r="62" spans="1:17" ht="15.75" x14ac:dyDescent="0.3">
      <c r="A62" s="27" t="s">
        <v>28</v>
      </c>
      <c r="B62" s="18">
        <f>(B27+B27*B13*10^(B37-6)+(1-B27)*B28*B31)/(1+B13*10^(B37-6))</f>
        <v>23638.015609168542</v>
      </c>
      <c r="C62" s="18">
        <f t="shared" ref="C62:P62" si="62">(C27+C27*C13*10^(C37-6)+(1-C27)*C28*C31)/(1+C13*10^(C37-6))</f>
        <v>23638.015609168542</v>
      </c>
      <c r="D62" s="18">
        <f t="shared" si="62"/>
        <v>23638.015609168542</v>
      </c>
      <c r="E62" s="18">
        <f t="shared" si="62"/>
        <v>23638.015609168542</v>
      </c>
      <c r="F62" s="18">
        <f t="shared" si="62"/>
        <v>23638.015609168542</v>
      </c>
      <c r="G62" s="18">
        <f t="shared" si="62"/>
        <v>23638.015609168542</v>
      </c>
      <c r="H62" s="18">
        <f t="shared" si="62"/>
        <v>23638.015609168542</v>
      </c>
      <c r="I62" s="18">
        <f t="shared" si="62"/>
        <v>23638.015609168542</v>
      </c>
      <c r="J62" s="18">
        <f t="shared" si="62"/>
        <v>23638.015609168542</v>
      </c>
      <c r="K62" s="18">
        <f t="shared" si="62"/>
        <v>23638.015609168542</v>
      </c>
      <c r="L62" s="18">
        <f t="shared" si="62"/>
        <v>23638.015609168542</v>
      </c>
      <c r="M62" s="18">
        <f t="shared" si="62"/>
        <v>23638.015609168542</v>
      </c>
      <c r="N62" s="18">
        <f t="shared" si="62"/>
        <v>23638.015609168542</v>
      </c>
      <c r="O62" s="18">
        <f t="shared" si="62"/>
        <v>23638.015609168542</v>
      </c>
      <c r="P62" s="18">
        <f t="shared" si="62"/>
        <v>23638.015609168542</v>
      </c>
    </row>
    <row r="63" spans="1:17" ht="15.75" x14ac:dyDescent="0.3">
      <c r="A63" s="26" t="s">
        <v>116</v>
      </c>
      <c r="B63" s="18">
        <f t="shared" ref="B63:P63" si="63">(B27+B27*B13*10^(B37-6)+(1-B27)*B28*B12*10^B36)/(1+B13*10^(B37-6))</f>
        <v>2.9637415609168545</v>
      </c>
      <c r="C63" s="18">
        <f t="shared" si="63"/>
        <v>3.0134037950910053</v>
      </c>
      <c r="D63" s="18">
        <f t="shared" si="63"/>
        <v>3.0641094333089556</v>
      </c>
      <c r="E63" s="18">
        <f t="shared" si="63"/>
        <v>3.1158803975002507</v>
      </c>
      <c r="F63" s="18">
        <f t="shared" si="63"/>
        <v>3.1687390701744063</v>
      </c>
      <c r="G63" s="18">
        <f t="shared" si="63"/>
        <v>3.2227083040976776</v>
      </c>
      <c r="H63" s="18">
        <f t="shared" si="63"/>
        <v>3.2778114321731704</v>
      </c>
      <c r="I63" s="18">
        <f t="shared" si="63"/>
        <v>3.3340722775285343</v>
      </c>
      <c r="J63" s="18">
        <f t="shared" si="63"/>
        <v>3.3915151638155603</v>
      </c>
      <c r="K63" s="18">
        <f t="shared" si="63"/>
        <v>3.4501649257262081</v>
      </c>
      <c r="L63" s="18">
        <f t="shared" si="63"/>
        <v>3.510046919729584</v>
      </c>
      <c r="M63" s="18">
        <f t="shared" si="63"/>
        <v>3.5711870350344519</v>
      </c>
      <c r="N63" s="18">
        <f t="shared" si="63"/>
        <v>3.6336117047821133</v>
      </c>
      <c r="O63" s="18">
        <f t="shared" si="63"/>
        <v>3.6973479174744535</v>
      </c>
      <c r="P63" s="18">
        <f t="shared" si="63"/>
        <v>3.7624232286420396</v>
      </c>
    </row>
    <row r="64" spans="1:17" x14ac:dyDescent="0.2">
      <c r="A64" s="4" t="s">
        <v>53</v>
      </c>
      <c r="B64" s="20">
        <f t="shared" ref="B64:P64" si="64">MAX(B14-((1-B27)*B28*B30*10^B36*B15),-B62*B61/(B62*B61^2/16/B41))</f>
        <v>100</v>
      </c>
      <c r="C64" s="20">
        <f t="shared" si="64"/>
        <v>100</v>
      </c>
      <c r="D64" s="20">
        <f t="shared" si="64"/>
        <v>100</v>
      </c>
      <c r="E64" s="20">
        <f t="shared" si="64"/>
        <v>100</v>
      </c>
      <c r="F64" s="20">
        <f t="shared" si="64"/>
        <v>100</v>
      </c>
      <c r="G64" s="20">
        <f t="shared" si="64"/>
        <v>100</v>
      </c>
      <c r="H64" s="20">
        <f t="shared" si="64"/>
        <v>100</v>
      </c>
      <c r="I64" s="20">
        <f t="shared" si="64"/>
        <v>100</v>
      </c>
      <c r="J64" s="20">
        <f t="shared" si="64"/>
        <v>100</v>
      </c>
      <c r="K64" s="20">
        <f t="shared" si="64"/>
        <v>100</v>
      </c>
      <c r="L64" s="20">
        <f t="shared" si="64"/>
        <v>100</v>
      </c>
      <c r="M64" s="20">
        <f t="shared" si="64"/>
        <v>100</v>
      </c>
      <c r="N64" s="20">
        <f t="shared" si="64"/>
        <v>100</v>
      </c>
      <c r="O64" s="20">
        <f t="shared" si="64"/>
        <v>100</v>
      </c>
      <c r="P64" s="20">
        <f t="shared" si="64"/>
        <v>100</v>
      </c>
      <c r="Q64" s="26" t="s">
        <v>1</v>
      </c>
    </row>
    <row r="65" spans="1:17" ht="15.75" x14ac:dyDescent="0.3">
      <c r="A65" s="27" t="s">
        <v>50</v>
      </c>
      <c r="B65" s="32">
        <f>B62*B61/B64</f>
        <v>0.23638015609168544</v>
      </c>
      <c r="C65" s="32">
        <f t="shared" ref="C65:P65" si="65">C62*C61/C64</f>
        <v>0.23638015609168544</v>
      </c>
      <c r="D65" s="32">
        <f t="shared" si="65"/>
        <v>0.23638015609168544</v>
      </c>
      <c r="E65" s="32">
        <f t="shared" si="65"/>
        <v>0.23638015609168544</v>
      </c>
      <c r="F65" s="32">
        <f t="shared" si="65"/>
        <v>0.23638015609168544</v>
      </c>
      <c r="G65" s="32">
        <f t="shared" si="65"/>
        <v>0.23638015609168544</v>
      </c>
      <c r="H65" s="32">
        <f t="shared" si="65"/>
        <v>0.23638015609168544</v>
      </c>
      <c r="I65" s="32">
        <f t="shared" si="65"/>
        <v>0.23638015609168544</v>
      </c>
      <c r="J65" s="32">
        <f t="shared" si="65"/>
        <v>0.23638015609168544</v>
      </c>
      <c r="K65" s="32">
        <f t="shared" si="65"/>
        <v>0.23638015609168544</v>
      </c>
      <c r="L65" s="32">
        <f t="shared" si="65"/>
        <v>0.23638015609168544</v>
      </c>
      <c r="M65" s="32">
        <f t="shared" si="65"/>
        <v>0.23638015609168544</v>
      </c>
      <c r="N65" s="32">
        <f t="shared" si="65"/>
        <v>0.23638015609168544</v>
      </c>
      <c r="O65" s="32">
        <f t="shared" si="65"/>
        <v>0.23638015609168544</v>
      </c>
      <c r="P65" s="32">
        <f t="shared" si="65"/>
        <v>0.23638015609168544</v>
      </c>
      <c r="Q65" s="26" t="s">
        <v>22</v>
      </c>
    </row>
    <row r="66" spans="1:17" ht="15.75" x14ac:dyDescent="0.3">
      <c r="A66" s="27" t="s">
        <v>51</v>
      </c>
      <c r="B66" s="32">
        <f t="shared" ref="B66:P66" si="66">B62*B61^2/16/B41</f>
        <v>7.5470828192485548E-6</v>
      </c>
      <c r="C66" s="32">
        <f t="shared" si="66"/>
        <v>7.5470828192485548E-6</v>
      </c>
      <c r="D66" s="32">
        <f t="shared" si="66"/>
        <v>7.5470828192485548E-6</v>
      </c>
      <c r="E66" s="32">
        <f t="shared" si="66"/>
        <v>7.5470828192485548E-6</v>
      </c>
      <c r="F66" s="32">
        <f t="shared" si="66"/>
        <v>7.5470828192485548E-6</v>
      </c>
      <c r="G66" s="32">
        <f t="shared" si="66"/>
        <v>7.5470828192485548E-6</v>
      </c>
      <c r="H66" s="32">
        <f t="shared" si="66"/>
        <v>7.5470828192485548E-6</v>
      </c>
      <c r="I66" s="32">
        <f t="shared" si="66"/>
        <v>7.5470828192485548E-6</v>
      </c>
      <c r="J66" s="32">
        <f t="shared" si="66"/>
        <v>7.5470828192485548E-6</v>
      </c>
      <c r="K66" s="32">
        <f t="shared" si="66"/>
        <v>7.5470828192485548E-6</v>
      </c>
      <c r="L66" s="32">
        <f t="shared" si="66"/>
        <v>7.5470828192485548E-6</v>
      </c>
      <c r="M66" s="32">
        <f t="shared" si="66"/>
        <v>7.5470828192485548E-6</v>
      </c>
      <c r="N66" s="32">
        <f t="shared" si="66"/>
        <v>7.5470828192485548E-6</v>
      </c>
      <c r="O66" s="32">
        <f t="shared" si="66"/>
        <v>7.5470828192485548E-6</v>
      </c>
      <c r="P66" s="32">
        <f t="shared" si="66"/>
        <v>7.5470828192485548E-6</v>
      </c>
      <c r="Q66" s="26" t="s">
        <v>22</v>
      </c>
    </row>
    <row r="67" spans="1:17" ht="15.75" x14ac:dyDescent="0.3">
      <c r="A67" s="27" t="s">
        <v>52</v>
      </c>
      <c r="B67" s="57" t="str">
        <f t="shared" ref="B67:P67" si="67">IF(B9&gt;0,B62/B9,"infinity")</f>
        <v>infinity</v>
      </c>
      <c r="C67" s="57" t="str">
        <f t="shared" si="67"/>
        <v>infinity</v>
      </c>
      <c r="D67" s="57" t="str">
        <f t="shared" si="67"/>
        <v>infinity</v>
      </c>
      <c r="E67" s="57" t="str">
        <f t="shared" si="67"/>
        <v>infinity</v>
      </c>
      <c r="F67" s="57" t="str">
        <f t="shared" si="67"/>
        <v>infinity</v>
      </c>
      <c r="G67" s="57" t="str">
        <f t="shared" si="67"/>
        <v>infinity</v>
      </c>
      <c r="H67" s="57" t="str">
        <f t="shared" si="67"/>
        <v>infinity</v>
      </c>
      <c r="I67" s="57" t="str">
        <f t="shared" si="67"/>
        <v>infinity</v>
      </c>
      <c r="J67" s="57" t="str">
        <f t="shared" si="67"/>
        <v>infinity</v>
      </c>
      <c r="K67" s="57" t="str">
        <f t="shared" si="67"/>
        <v>infinity</v>
      </c>
      <c r="L67" s="57" t="str">
        <f t="shared" si="67"/>
        <v>infinity</v>
      </c>
      <c r="M67" s="57" t="str">
        <f t="shared" si="67"/>
        <v>infinity</v>
      </c>
      <c r="N67" s="57" t="str">
        <f t="shared" si="67"/>
        <v>infinity</v>
      </c>
      <c r="O67" s="57" t="str">
        <f t="shared" si="67"/>
        <v>infinity</v>
      </c>
      <c r="P67" s="57" t="str">
        <f t="shared" si="67"/>
        <v>infinity</v>
      </c>
      <c r="Q67" s="26" t="s">
        <v>22</v>
      </c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48</vt:i4>
      </vt:variant>
    </vt:vector>
  </HeadingPairs>
  <TitlesOfParts>
    <vt:vector size="51" baseType="lpstr">
      <vt:lpstr>Steady State Conditions</vt:lpstr>
      <vt:lpstr>Transient Conditions</vt:lpstr>
      <vt:lpstr>Sensitivity Analysis</vt:lpstr>
      <vt:lpstr>_Dam1</vt:lpstr>
      <vt:lpstr>_Dam2</vt:lpstr>
      <vt:lpstr>_lam1</vt:lpstr>
      <vt:lpstr>_lam2</vt:lpstr>
      <vt:lpstr>_Pe1</vt:lpstr>
      <vt:lpstr>_Pe2</vt:lpstr>
      <vt:lpstr>_Rf1</vt:lpstr>
      <vt:lpstr>_Rf2</vt:lpstr>
      <vt:lpstr>alpha</vt:lpstr>
      <vt:lpstr>B</vt:lpstr>
      <vt:lpstr>C0</vt:lpstr>
      <vt:lpstr>Calctime</vt:lpstr>
      <vt:lpstr>Cbio</vt:lpstr>
      <vt:lpstr>Cbioavg</vt:lpstr>
      <vt:lpstr>Cbl</vt:lpstr>
      <vt:lpstr>Cz</vt:lpstr>
      <vt:lpstr>Da</vt:lpstr>
      <vt:lpstr>Dbio</vt:lpstr>
      <vt:lpstr>Dbiop</vt:lpstr>
      <vt:lpstr>Dbiopw</vt:lpstr>
      <vt:lpstr>Deff</vt:lpstr>
      <vt:lpstr>Dw</vt:lpstr>
      <vt:lpstr>e</vt:lpstr>
      <vt:lpstr>focbio</vt:lpstr>
      <vt:lpstr>foceff</vt:lpstr>
      <vt:lpstr>focz</vt:lpstr>
      <vt:lpstr>G</vt:lpstr>
      <vt:lpstr>hbio</vt:lpstr>
      <vt:lpstr>hcap</vt:lpstr>
      <vt:lpstr>heff</vt:lpstr>
      <vt:lpstr>kbl</vt:lpstr>
      <vt:lpstr>logKDOC</vt:lpstr>
      <vt:lpstr>logKoc</vt:lpstr>
      <vt:lpstr>logKow</vt:lpstr>
      <vt:lpstr>Pe</vt:lpstr>
      <vt:lpstr>rhoDOC</vt:lpstr>
      <vt:lpstr>rhop</vt:lpstr>
      <vt:lpstr>Sh</vt:lpstr>
      <vt:lpstr>tadv</vt:lpstr>
      <vt:lpstr>tdecay</vt:lpstr>
      <vt:lpstr>tdiff</vt:lpstr>
      <vt:lpstr>tss</vt:lpstr>
      <vt:lpstr>'Transient Conditions'!u</vt:lpstr>
      <vt:lpstr>Ueff</vt:lpstr>
      <vt:lpstr>Vdar</vt:lpstr>
      <vt:lpstr>Vdep</vt:lpstr>
      <vt:lpstr>Wz</vt:lpstr>
      <vt:lpstr>z</vt:lpstr>
    </vt:vector>
  </TitlesOfParts>
  <Company>The University of Texas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 Lampert</dc:creator>
  <cp:lastModifiedBy>dreible</cp:lastModifiedBy>
  <dcterms:created xsi:type="dcterms:W3CDTF">2006-03-27T22:09:15Z</dcterms:created>
  <dcterms:modified xsi:type="dcterms:W3CDTF">2012-06-08T03:04:03Z</dcterms:modified>
</cp:coreProperties>
</file>