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embeddings/oleObject1.bin" ContentType="application/vnd.openxmlformats-officedocument.oleObject"/>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410" yWindow="60" windowWidth="5190" windowHeight="8445" tabRatio="1000"/>
  </bookViews>
  <sheets>
    <sheet name="Steady State Conditions" sheetId="28" r:id="rId1"/>
    <sheet name="Transient Conditions" sheetId="32" r:id="rId2"/>
    <sheet name="Sensitivity Analysis" sheetId="29" r:id="rId3"/>
  </sheets>
  <definedNames>
    <definedName name="_Dam1">'Steady State Conditions'!$B$56</definedName>
    <definedName name="_Dam2">'Steady State Conditions'!$B$59</definedName>
    <definedName name="_lam1">'Steady State Conditions'!$B$12</definedName>
    <definedName name="_lam2">'Steady State Conditions'!$B$13</definedName>
    <definedName name="_Pe1">'Steady State Conditions'!$B$55</definedName>
    <definedName name="_Pe2">'Steady State Conditions'!$B$58</definedName>
    <definedName name="_Rf1">'Steady State Conditions'!$B$66</definedName>
    <definedName name="_Rf2">'Steady State Conditions'!$B$67</definedName>
    <definedName name="alpha">'Steady State Conditions'!$B$40</definedName>
    <definedName name="B">'Steady State Conditions'!$B$57</definedName>
    <definedName name="C0">'Steady State Conditions'!$B$16</definedName>
    <definedName name="Calctime">'Transient Conditions'!$B$9</definedName>
    <definedName name="Cbio">'Steady State Conditions'!$B$49</definedName>
    <definedName name="Cbioavg">'Steady State Conditions'!$B$51</definedName>
    <definedName name="Cbl">'Steady State Conditions'!$B$50</definedName>
    <definedName name="Cz">'Steady State Conditions'!$B$45</definedName>
    <definedName name="D" localSheetId="1">'Transient Conditions'!#REF!</definedName>
    <definedName name="D">#REF!</definedName>
    <definedName name="Da">'Transient Conditions'!$B$11</definedName>
    <definedName name="Dbio">'Steady State Conditions'!$B$42</definedName>
    <definedName name="Dbiop">'Steady State Conditions'!$B$23</definedName>
    <definedName name="Dbiopw">'Steady State Conditions'!$B$22</definedName>
    <definedName name="Deff">'Steady State Conditions'!$B$41</definedName>
    <definedName name="Dw">'Steady State Conditions'!$B$11</definedName>
    <definedName name="e">'Steady State Conditions'!$B$30</definedName>
    <definedName name="focbio">'Steady State Conditions'!$B$17</definedName>
    <definedName name="foceff">'Steady State Conditions'!$B$32</definedName>
    <definedName name="focz">'Steady State Conditions'!$B$34</definedName>
    <definedName name="G">'Steady State Conditions'!$B$60</definedName>
    <definedName name="h" localSheetId="1">'Transient Conditions'!#REF!</definedName>
    <definedName name="h">#REF!</definedName>
    <definedName name="hbio">'Steady State Conditions'!$B$21</definedName>
    <definedName name="hcap">'Steady State Conditions'!$B$64</definedName>
    <definedName name="heff">'Steady State Conditions'!$B$65</definedName>
    <definedName name="kbl">'Steady State Conditions'!$B$39</definedName>
    <definedName name="lambda" localSheetId="1">'Transient Conditions'!#REF!</definedName>
    <definedName name="lambda">#REF!</definedName>
    <definedName name="logKDOC">'Steady State Conditions'!$B$38</definedName>
    <definedName name="logKoc">'Steady State Conditions'!$B$37</definedName>
    <definedName name="logKow">'Steady State Conditions'!$B$10</definedName>
    <definedName name="Pe">'Transient Conditions'!$B$10</definedName>
    <definedName name="Rf" localSheetId="1">'Transient Conditions'!#REF!</definedName>
    <definedName name="Rf">#REF!</definedName>
    <definedName name="rhoDOC">'Steady State Conditions'!$B$18</definedName>
    <definedName name="rhop">'Steady State Conditions'!$B$31</definedName>
    <definedName name="Sh">'Steady State Conditions'!$B$61</definedName>
    <definedName name="tadv">'Steady State Conditions'!$B$69</definedName>
    <definedName name="tdecay">'Steady State Conditions'!$B$71</definedName>
    <definedName name="tdiff">'Steady State Conditions'!$B$70</definedName>
    <definedName name="tss">'Steady State Conditions'!$B$52</definedName>
    <definedName name="u" localSheetId="1">'Transient Conditions'!$B$12</definedName>
    <definedName name="u">#REF!</definedName>
    <definedName name="Ueff">'Steady State Conditions'!$B$68</definedName>
    <definedName name="v" localSheetId="1">'Transient Conditions'!#REF!</definedName>
    <definedName name="v">#REF!</definedName>
    <definedName name="Vdar">'Steady State Conditions'!$B$19</definedName>
    <definedName name="Vdep">'Steady State Conditions'!$B$20</definedName>
    <definedName name="Wz">'Steady State Conditions'!$B$46</definedName>
    <definedName name="z">'Steady State Conditions'!$B$33</definedName>
  </definedNames>
  <calcPr calcId="145621"/>
</workbook>
</file>

<file path=xl/calcChain.xml><?xml version="1.0" encoding="utf-8"?>
<calcChain xmlns="http://schemas.openxmlformats.org/spreadsheetml/2006/main">
  <c r="B39" i="28" l="1"/>
  <c r="B40" i="28" l="1"/>
  <c r="B7" i="29" l="1"/>
  <c r="C7" i="29"/>
  <c r="C32" i="29"/>
  <c r="D32" i="29"/>
  <c r="E32" i="29"/>
  <c r="F32" i="29"/>
  <c r="G32" i="29"/>
  <c r="H32" i="29"/>
  <c r="I32" i="29"/>
  <c r="J32" i="29"/>
  <c r="K32" i="29"/>
  <c r="L32" i="29"/>
  <c r="M32" i="29"/>
  <c r="N32" i="29"/>
  <c r="O32" i="29"/>
  <c r="P32" i="29"/>
  <c r="B19" i="29"/>
  <c r="C19" i="29" s="1"/>
  <c r="B23" i="29"/>
  <c r="C23" i="29" s="1"/>
  <c r="B13" i="29"/>
  <c r="C13" i="29"/>
  <c r="B24" i="29"/>
  <c r="C24" i="29" s="1"/>
  <c r="B25" i="29"/>
  <c r="C25" i="29"/>
  <c r="D25" i="29" s="1"/>
  <c r="B21" i="29"/>
  <c r="C21" i="29"/>
  <c r="B22" i="29"/>
  <c r="C22" i="29" s="1"/>
  <c r="D22" i="29" s="1"/>
  <c r="E22" i="29" s="1"/>
  <c r="B16" i="29"/>
  <c r="C16" i="29"/>
  <c r="B20" i="29"/>
  <c r="C20" i="29"/>
  <c r="D20" i="29" s="1"/>
  <c r="E20" i="29" s="1"/>
  <c r="B8" i="29"/>
  <c r="C8" i="29" s="1"/>
  <c r="D8" i="29" s="1"/>
  <c r="B14" i="29"/>
  <c r="C14" i="29" s="1"/>
  <c r="D14" i="29" s="1"/>
  <c r="E14" i="29" s="1"/>
  <c r="B15" i="29"/>
  <c r="C15" i="29" s="1"/>
  <c r="D15" i="29" s="1"/>
  <c r="E15" i="29" s="1"/>
  <c r="F15" i="29" s="1"/>
  <c r="G15" i="29" s="1"/>
  <c r="H15" i="29" s="1"/>
  <c r="I15" i="29" s="1"/>
  <c r="J15" i="29" s="1"/>
  <c r="K15" i="29" s="1"/>
  <c r="L15" i="29" s="1"/>
  <c r="M15" i="29" s="1"/>
  <c r="N15" i="29" s="1"/>
  <c r="O15" i="29" s="1"/>
  <c r="P15" i="29" s="1"/>
  <c r="B17" i="29"/>
  <c r="C17" i="29" s="1"/>
  <c r="B18" i="29"/>
  <c r="C18" i="29"/>
  <c r="B12" i="29"/>
  <c r="C12" i="29" s="1"/>
  <c r="B9" i="29"/>
  <c r="C9" i="29" s="1"/>
  <c r="B10" i="29"/>
  <c r="C10" i="29" s="1"/>
  <c r="B11" i="29"/>
  <c r="C11" i="29"/>
  <c r="B26" i="29"/>
  <c r="C26" i="29" s="1"/>
  <c r="D26" i="29" s="1"/>
  <c r="B37" i="28"/>
  <c r="B38" i="28" s="1"/>
  <c r="B66" i="28" s="1"/>
  <c r="B64" i="28" s="1"/>
  <c r="B41" i="28" s="1"/>
  <c r="B65" i="28"/>
  <c r="D13" i="29"/>
  <c r="D24" i="29"/>
  <c r="E24" i="29" s="1"/>
  <c r="F24" i="29" s="1"/>
  <c r="G24" i="29" s="1"/>
  <c r="H24" i="29" s="1"/>
  <c r="I24" i="29" s="1"/>
  <c r="D21" i="29"/>
  <c r="E21" i="29" s="1"/>
  <c r="F21" i="29" s="1"/>
  <c r="G21" i="29" s="1"/>
  <c r="H21" i="29" s="1"/>
  <c r="I21" i="29" s="1"/>
  <c r="J21" i="29" s="1"/>
  <c r="K21" i="29" s="1"/>
  <c r="L21" i="29" s="1"/>
  <c r="M21" i="29" s="1"/>
  <c r="N21" i="29" s="1"/>
  <c r="O21" i="29" s="1"/>
  <c r="P21" i="29" s="1"/>
  <c r="D16" i="29"/>
  <c r="D17" i="29"/>
  <c r="E17" i="29" s="1"/>
  <c r="D18" i="29"/>
  <c r="D12" i="29"/>
  <c r="D9" i="29"/>
  <c r="E9" i="29" s="1"/>
  <c r="E13" i="29"/>
  <c r="F13" i="29" s="1"/>
  <c r="G13" i="29" s="1"/>
  <c r="H13" i="29" s="1"/>
  <c r="I13" i="29" s="1"/>
  <c r="J13" i="29" s="1"/>
  <c r="K13" i="29" s="1"/>
  <c r="L13" i="29" s="1"/>
  <c r="E25" i="29"/>
  <c r="E8" i="29"/>
  <c r="E18" i="29"/>
  <c r="F18" i="29" s="1"/>
  <c r="G18" i="29" s="1"/>
  <c r="H18" i="29" s="1"/>
  <c r="I18" i="29" s="1"/>
  <c r="J18" i="29" s="1"/>
  <c r="K18" i="29" s="1"/>
  <c r="L18" i="29" s="1"/>
  <c r="E26" i="29"/>
  <c r="F26" i="29" s="1"/>
  <c r="G26" i="29" s="1"/>
  <c r="H26" i="29" s="1"/>
  <c r="I26" i="29" s="1"/>
  <c r="J26" i="29" s="1"/>
  <c r="K26" i="29" s="1"/>
  <c r="L26" i="29" s="1"/>
  <c r="M26" i="29" s="1"/>
  <c r="N26" i="29" s="1"/>
  <c r="O26" i="29" s="1"/>
  <c r="P26" i="29" s="1"/>
  <c r="F25" i="29"/>
  <c r="G25" i="29" s="1"/>
  <c r="H25" i="29" s="1"/>
  <c r="F22" i="29"/>
  <c r="G22" i="29" s="1"/>
  <c r="H22" i="29" s="1"/>
  <c r="I22" i="29" s="1"/>
  <c r="J22" i="29" s="1"/>
  <c r="K22" i="29" s="1"/>
  <c r="F8" i="29"/>
  <c r="G8" i="29" s="1"/>
  <c r="H8" i="29" s="1"/>
  <c r="I8" i="29" s="1"/>
  <c r="J8" i="29" s="1"/>
  <c r="F17" i="29"/>
  <c r="F9" i="29"/>
  <c r="G9" i="29" s="1"/>
  <c r="H9" i="29" s="1"/>
  <c r="I9" i="29" s="1"/>
  <c r="J9" i="29" s="1"/>
  <c r="K9" i="29" s="1"/>
  <c r="I25" i="29"/>
  <c r="J25" i="29" s="1"/>
  <c r="J24" i="29"/>
  <c r="K24" i="29" s="1"/>
  <c r="L24" i="29" s="1"/>
  <c r="M24" i="29" s="1"/>
  <c r="N24" i="29" s="1"/>
  <c r="O24" i="29" s="1"/>
  <c r="P24" i="29" s="1"/>
  <c r="K25" i="29"/>
  <c r="L25" i="29" s="1"/>
  <c r="K8" i="29"/>
  <c r="L8" i="29" s="1"/>
  <c r="M8" i="29" s="1"/>
  <c r="N8" i="29" s="1"/>
  <c r="O8" i="29" s="1"/>
  <c r="P8" i="29" s="1"/>
  <c r="L22" i="29"/>
  <c r="M22" i="29" s="1"/>
  <c r="L9" i="29"/>
  <c r="M9" i="29" s="1"/>
  <c r="M13" i="29"/>
  <c r="N13" i="29" s="1"/>
  <c r="O13" i="29" s="1"/>
  <c r="P13" i="29" s="1"/>
  <c r="M25" i="29"/>
  <c r="N25" i="29" s="1"/>
  <c r="M18" i="29"/>
  <c r="N18" i="29" s="1"/>
  <c r="O18" i="29" s="1"/>
  <c r="P18" i="29" s="1"/>
  <c r="N22" i="29"/>
  <c r="O22" i="29" s="1"/>
  <c r="N9" i="29"/>
  <c r="O9" i="29" s="1"/>
  <c r="O25" i="29"/>
  <c r="P25" i="29" s="1"/>
  <c r="P22" i="29"/>
  <c r="B27" i="29"/>
  <c r="C27" i="29"/>
  <c r="D27" i="29" s="1"/>
  <c r="E27" i="29" s="1"/>
  <c r="F27" i="29"/>
  <c r="G27" i="29" s="1"/>
  <c r="H27" i="29" s="1"/>
  <c r="I27" i="29" s="1"/>
  <c r="J27" i="29" s="1"/>
  <c r="K27" i="29"/>
  <c r="L27" i="29" s="1"/>
  <c r="M27" i="29" s="1"/>
  <c r="N27" i="29" s="1"/>
  <c r="O27" i="29" s="1"/>
  <c r="P27" i="29" s="1"/>
  <c r="C60" i="29"/>
  <c r="D60" i="29"/>
  <c r="E60" i="29"/>
  <c r="F60" i="29"/>
  <c r="G60" i="29"/>
  <c r="H60" i="29"/>
  <c r="I60" i="29"/>
  <c r="J60" i="29"/>
  <c r="K60" i="29"/>
  <c r="L60" i="29"/>
  <c r="M60" i="29"/>
  <c r="N60" i="29"/>
  <c r="B6" i="29"/>
  <c r="C6" i="29" s="1"/>
  <c r="D6" i="29" s="1"/>
  <c r="E6" i="29" s="1"/>
  <c r="F6" i="29" s="1"/>
  <c r="G6" i="29" s="1"/>
  <c r="H6" i="29" s="1"/>
  <c r="I6" i="29" s="1"/>
  <c r="J6" i="29" s="1"/>
  <c r="K6" i="29" s="1"/>
  <c r="L6" i="29" s="1"/>
  <c r="M6" i="29" s="1"/>
  <c r="N6" i="29" s="1"/>
  <c r="O6" i="29" s="1"/>
  <c r="P6" i="29" s="1"/>
  <c r="B30" i="29"/>
  <c r="B31" i="29"/>
  <c r="B56" i="29" s="1"/>
  <c r="B55" i="29"/>
  <c r="B33" i="29"/>
  <c r="B32" i="29"/>
  <c r="B50" i="29"/>
  <c r="B59" i="28"/>
  <c r="B60" i="29"/>
  <c r="B67" i="28"/>
  <c r="A19" i="32"/>
  <c r="P16" i="28"/>
  <c r="Q16" i="28"/>
  <c r="R16" i="28"/>
  <c r="A20" i="32"/>
  <c r="A21" i="32" s="1"/>
  <c r="S16" i="28"/>
  <c r="T16" i="28" s="1"/>
  <c r="B71" i="28"/>
  <c r="P17" i="28"/>
  <c r="R17" i="28"/>
  <c r="A45" i="32"/>
  <c r="O17" i="28"/>
  <c r="A67" i="32"/>
  <c r="Q17" i="28"/>
  <c r="A66" i="32"/>
  <c r="A46" i="32"/>
  <c r="A47" i="32"/>
  <c r="S17" i="28"/>
  <c r="A65" i="32"/>
  <c r="B34" i="29" l="1"/>
  <c r="B35" i="29" s="1"/>
  <c r="B52" i="29" s="1"/>
  <c r="B44" i="32"/>
  <c r="B68" i="28"/>
  <c r="B11" i="32"/>
  <c r="B42" i="28"/>
  <c r="B61" i="28" s="1"/>
  <c r="B70" i="28"/>
  <c r="B56" i="28"/>
  <c r="P9" i="29"/>
  <c r="P60" i="29" s="1"/>
  <c r="O60" i="29"/>
  <c r="A22" i="32"/>
  <c r="A48" i="32"/>
  <c r="B53" i="29"/>
  <c r="B54" i="29" s="1"/>
  <c r="U16" i="28"/>
  <c r="T17" i="28"/>
  <c r="G17" i="29"/>
  <c r="E16" i="29"/>
  <c r="D11" i="29"/>
  <c r="D19" i="29"/>
  <c r="C33" i="29"/>
  <c r="C34" i="29" s="1"/>
  <c r="F14" i="29"/>
  <c r="E12" i="29"/>
  <c r="C50" i="29"/>
  <c r="D10" i="29"/>
  <c r="F20" i="29"/>
  <c r="D23" i="29"/>
  <c r="C30" i="29"/>
  <c r="D7" i="29"/>
  <c r="B47" i="29" l="1"/>
  <c r="B59" i="29"/>
  <c r="C31" i="29"/>
  <c r="E23" i="29"/>
  <c r="G20" i="29"/>
  <c r="F12" i="29"/>
  <c r="E11" i="29"/>
  <c r="D30" i="29"/>
  <c r="E7" i="29"/>
  <c r="B55" i="28"/>
  <c r="B58" i="28"/>
  <c r="B10" i="32"/>
  <c r="B69" i="28"/>
  <c r="B52" i="28" s="1"/>
  <c r="D9" i="32" s="1"/>
  <c r="B9" i="32" s="1"/>
  <c r="C17" i="32" s="1"/>
  <c r="C35" i="29"/>
  <c r="C52" i="29" s="1"/>
  <c r="D50" i="29"/>
  <c r="E10" i="29"/>
  <c r="G14" i="29"/>
  <c r="V16" i="28"/>
  <c r="U17" i="28"/>
  <c r="A49" i="32"/>
  <c r="A23" i="32"/>
  <c r="E19" i="29"/>
  <c r="D33" i="29"/>
  <c r="D34" i="29" s="1"/>
  <c r="D35" i="29" s="1"/>
  <c r="D52" i="29" s="1"/>
  <c r="F16" i="29"/>
  <c r="H17" i="29"/>
  <c r="B57" i="29"/>
  <c r="E30" i="29" l="1"/>
  <c r="F7" i="29"/>
  <c r="F11" i="29"/>
  <c r="F23" i="29"/>
  <c r="E34" i="29"/>
  <c r="E35" i="29" s="1"/>
  <c r="E52" i="29" s="1"/>
  <c r="I17" i="29"/>
  <c r="F19" i="29"/>
  <c r="E33" i="29"/>
  <c r="V17" i="28"/>
  <c r="W16" i="28"/>
  <c r="B12" i="32"/>
  <c r="C39" i="32" s="1"/>
  <c r="C66" i="32" s="1"/>
  <c r="D31" i="29"/>
  <c r="B46" i="29"/>
  <c r="B49" i="29"/>
  <c r="B58" i="29"/>
  <c r="B45" i="29" s="1"/>
  <c r="E50" i="29"/>
  <c r="F10" i="29"/>
  <c r="A50" i="32"/>
  <c r="A24" i="32"/>
  <c r="B60" i="28"/>
  <c r="G12" i="29"/>
  <c r="G16" i="29"/>
  <c r="H14" i="29"/>
  <c r="C44" i="32"/>
  <c r="D17" i="32"/>
  <c r="B57" i="28"/>
  <c r="H20" i="29"/>
  <c r="C56" i="29"/>
  <c r="C55" i="29"/>
  <c r="D21" i="32" l="1"/>
  <c r="D48" i="32" s="1"/>
  <c r="C18" i="32"/>
  <c r="C45" i="32" s="1"/>
  <c r="B50" i="28"/>
  <c r="C21" i="32"/>
  <c r="C48" i="32" s="1"/>
  <c r="C23" i="32"/>
  <c r="C50" i="32" s="1"/>
  <c r="B38" i="32"/>
  <c r="B65" i="32" s="1"/>
  <c r="B21" i="32"/>
  <c r="B48" i="32" s="1"/>
  <c r="C20" i="32"/>
  <c r="C47" i="32" s="1"/>
  <c r="C38" i="32"/>
  <c r="C65" i="32" s="1"/>
  <c r="C22" i="32"/>
  <c r="C49" i="32" s="1"/>
  <c r="D23" i="32"/>
  <c r="D50" i="32" s="1"/>
  <c r="C40" i="32"/>
  <c r="C67" i="32" s="1"/>
  <c r="B20" i="32"/>
  <c r="B47" i="32" s="1"/>
  <c r="B22" i="32"/>
  <c r="B49" i="32" s="1"/>
  <c r="B49" i="28"/>
  <c r="B45" i="28" s="1"/>
  <c r="B46" i="28" s="1"/>
  <c r="C19" i="32"/>
  <c r="C46" i="32" s="1"/>
  <c r="B39" i="32"/>
  <c r="B66" i="32" s="1"/>
  <c r="B18" i="32"/>
  <c r="B45" i="32" s="1"/>
  <c r="C53" i="29"/>
  <c r="C54" i="29" s="1"/>
  <c r="C47" i="29" s="1"/>
  <c r="A25" i="32"/>
  <c r="A51" i="32"/>
  <c r="X16" i="28"/>
  <c r="W17" i="28"/>
  <c r="G19" i="29"/>
  <c r="F33" i="29"/>
  <c r="F30" i="29"/>
  <c r="G7" i="29"/>
  <c r="I14" i="29"/>
  <c r="H12" i="29"/>
  <c r="D55" i="29"/>
  <c r="D56" i="29"/>
  <c r="D44" i="32"/>
  <c r="E17" i="32"/>
  <c r="E24" i="32" s="1"/>
  <c r="E51" i="32" s="1"/>
  <c r="F50" i="29"/>
  <c r="G10" i="29"/>
  <c r="H16" i="29"/>
  <c r="B48" i="29"/>
  <c r="D22" i="32"/>
  <c r="D49" i="32" s="1"/>
  <c r="B23" i="32"/>
  <c r="B50" i="32" s="1"/>
  <c r="B40" i="32"/>
  <c r="B67" i="32" s="1"/>
  <c r="D39" i="32"/>
  <c r="D66" i="32" s="1"/>
  <c r="B19" i="32"/>
  <c r="B46" i="32" s="1"/>
  <c r="G11" i="29"/>
  <c r="D18" i="32"/>
  <c r="D45" i="32" s="1"/>
  <c r="D38" i="32"/>
  <c r="D65" i="32" s="1"/>
  <c r="J17" i="29"/>
  <c r="E31" i="29"/>
  <c r="C24" i="32"/>
  <c r="C51" i="32" s="1"/>
  <c r="I20" i="29"/>
  <c r="B51" i="29"/>
  <c r="B42" i="29"/>
  <c r="B38" i="29" s="1"/>
  <c r="B39" i="29" s="1"/>
  <c r="D19" i="32"/>
  <c r="D46" i="32" s="1"/>
  <c r="D20" i="32"/>
  <c r="D47" i="32" s="1"/>
  <c r="D24" i="32"/>
  <c r="D51" i="32" s="1"/>
  <c r="B24" i="32"/>
  <c r="B51" i="32" s="1"/>
  <c r="D40" i="32"/>
  <c r="D67" i="32" s="1"/>
  <c r="D25" i="32"/>
  <c r="D52" i="32" s="1"/>
  <c r="G23" i="29"/>
  <c r="F34" i="29"/>
  <c r="F35" i="29" s="1"/>
  <c r="F52" i="29" s="1"/>
  <c r="R18" i="28" l="1"/>
  <c r="R19" i="28" s="1"/>
  <c r="B43" i="29"/>
  <c r="B44" i="29" s="1"/>
  <c r="B40" i="29" s="1"/>
  <c r="B48" i="28"/>
  <c r="B51" i="28"/>
  <c r="B47" i="28" s="1"/>
  <c r="W18" i="28"/>
  <c r="W19" i="28" s="1"/>
  <c r="S18" i="28"/>
  <c r="S19" i="28" s="1"/>
  <c r="T18" i="28"/>
  <c r="T19" i="28" s="1"/>
  <c r="Q18" i="28"/>
  <c r="Q19" i="28" s="1"/>
  <c r="U18" i="28"/>
  <c r="U19" i="28" s="1"/>
  <c r="O18" i="28"/>
  <c r="O19" i="28" s="1"/>
  <c r="P18" i="28"/>
  <c r="P19" i="28" s="1"/>
  <c r="V18" i="28"/>
  <c r="V19" i="28" s="1"/>
  <c r="J20" i="29"/>
  <c r="E55" i="29"/>
  <c r="E56" i="29"/>
  <c r="H10" i="29"/>
  <c r="G50" i="29"/>
  <c r="J14" i="29"/>
  <c r="X17" i="28"/>
  <c r="X18" i="28" s="1"/>
  <c r="X19" i="28" s="1"/>
  <c r="Y16" i="28"/>
  <c r="D53" i="29"/>
  <c r="D54" i="29" s="1"/>
  <c r="D47" i="29" s="1"/>
  <c r="D57" i="29"/>
  <c r="K17" i="29"/>
  <c r="I16" i="29"/>
  <c r="E44" i="32"/>
  <c r="F17" i="32"/>
  <c r="F25" i="32" s="1"/>
  <c r="F52" i="32" s="1"/>
  <c r="E22" i="32"/>
  <c r="E49" i="32" s="1"/>
  <c r="E38" i="32"/>
  <c r="E65" i="32" s="1"/>
  <c r="E20" i="32"/>
  <c r="E47" i="32" s="1"/>
  <c r="E21" i="32"/>
  <c r="E48" i="32" s="1"/>
  <c r="E39" i="32"/>
  <c r="E66" i="32" s="1"/>
  <c r="E18" i="32"/>
  <c r="E45" i="32" s="1"/>
  <c r="E23" i="32"/>
  <c r="E50" i="32" s="1"/>
  <c r="E19" i="32"/>
  <c r="E46" i="32" s="1"/>
  <c r="E40" i="32"/>
  <c r="E67" i="32" s="1"/>
  <c r="G30" i="29"/>
  <c r="H7" i="29"/>
  <c r="H19" i="29"/>
  <c r="G33" i="29"/>
  <c r="A26" i="32"/>
  <c r="A52" i="32"/>
  <c r="C25" i="32"/>
  <c r="C52" i="32" s="1"/>
  <c r="B25" i="32"/>
  <c r="B52" i="32" s="1"/>
  <c r="E25" i="32"/>
  <c r="E52" i="32" s="1"/>
  <c r="C59" i="29"/>
  <c r="H23" i="29"/>
  <c r="G34" i="29"/>
  <c r="H11" i="29"/>
  <c r="I12" i="29"/>
  <c r="F31" i="29"/>
  <c r="C57" i="29"/>
  <c r="B41" i="29" l="1"/>
  <c r="G31" i="29"/>
  <c r="C49" i="29"/>
  <c r="C46" i="29"/>
  <c r="C58" i="29"/>
  <c r="C45" i="29" s="1"/>
  <c r="J12" i="29"/>
  <c r="E53" i="29"/>
  <c r="E54" i="29" s="1"/>
  <c r="E47" i="29" s="1"/>
  <c r="E57" i="29"/>
  <c r="D46" i="29"/>
  <c r="D49" i="29"/>
  <c r="K14" i="29"/>
  <c r="I11" i="29"/>
  <c r="G35" i="29"/>
  <c r="G52" i="29" s="1"/>
  <c r="I19" i="29"/>
  <c r="H33" i="29"/>
  <c r="G17" i="32"/>
  <c r="F44" i="32"/>
  <c r="F39" i="32"/>
  <c r="F66" i="32" s="1"/>
  <c r="F40" i="32"/>
  <c r="F67" i="32" s="1"/>
  <c r="F20" i="32"/>
  <c r="F47" i="32" s="1"/>
  <c r="F18" i="32"/>
  <c r="F45" i="32" s="1"/>
  <c r="F22" i="32"/>
  <c r="F49" i="32" s="1"/>
  <c r="F23" i="32"/>
  <c r="F50" i="32" s="1"/>
  <c r="F21" i="32"/>
  <c r="F48" i="32" s="1"/>
  <c r="F38" i="32"/>
  <c r="F65" i="32" s="1"/>
  <c r="F19" i="32"/>
  <c r="F46" i="32" s="1"/>
  <c r="F24" i="32"/>
  <c r="F51" i="32" s="1"/>
  <c r="L17" i="29"/>
  <c r="D58" i="29"/>
  <c r="Z16" i="28"/>
  <c r="Y17" i="28"/>
  <c r="Y18" i="28" s="1"/>
  <c r="Y19" i="28" s="1"/>
  <c r="I23" i="29"/>
  <c r="H34" i="29"/>
  <c r="J16" i="29"/>
  <c r="F56" i="29"/>
  <c r="F55" i="29"/>
  <c r="A53" i="32"/>
  <c r="A27" i="32"/>
  <c r="D26" i="32"/>
  <c r="D53" i="32" s="1"/>
  <c r="C26" i="32"/>
  <c r="C53" i="32" s="1"/>
  <c r="F26" i="32"/>
  <c r="F53" i="32" s="1"/>
  <c r="B26" i="32"/>
  <c r="B53" i="32" s="1"/>
  <c r="E26" i="32"/>
  <c r="E53" i="32" s="1"/>
  <c r="H30" i="29"/>
  <c r="I7" i="29"/>
  <c r="D59" i="29"/>
  <c r="H50" i="29"/>
  <c r="I10" i="29"/>
  <c r="K20" i="29"/>
  <c r="K16" i="29" l="1"/>
  <c r="F59" i="29"/>
  <c r="F53" i="29"/>
  <c r="F54" i="29" s="1"/>
  <c r="F47" i="29" s="1"/>
  <c r="F57" i="29"/>
  <c r="F58" i="29" s="1"/>
  <c r="AA16" i="28"/>
  <c r="Z17" i="28"/>
  <c r="Z18" i="28" s="1"/>
  <c r="Z19" i="28" s="1"/>
  <c r="K12" i="29"/>
  <c r="C51" i="29"/>
  <c r="I30" i="29"/>
  <c r="J7" i="29"/>
  <c r="J23" i="29"/>
  <c r="I34" i="29"/>
  <c r="I35" i="29" s="1"/>
  <c r="I52" i="29" s="1"/>
  <c r="D45" i="29"/>
  <c r="J11" i="29"/>
  <c r="D51" i="29"/>
  <c r="E59" i="29"/>
  <c r="H17" i="32"/>
  <c r="G44" i="32"/>
  <c r="G23" i="32"/>
  <c r="G50" i="32" s="1"/>
  <c r="G19" i="32"/>
  <c r="G46" i="32" s="1"/>
  <c r="G40" i="32"/>
  <c r="G67" i="32" s="1"/>
  <c r="G22" i="32"/>
  <c r="G49" i="32" s="1"/>
  <c r="G20" i="32"/>
  <c r="G47" i="32" s="1"/>
  <c r="G39" i="32"/>
  <c r="G66" i="32" s="1"/>
  <c r="G38" i="32"/>
  <c r="G65" i="32" s="1"/>
  <c r="G21" i="32"/>
  <c r="G48" i="32" s="1"/>
  <c r="G18" i="32"/>
  <c r="G45" i="32" s="1"/>
  <c r="G24" i="32"/>
  <c r="G51" i="32" s="1"/>
  <c r="G25" i="32"/>
  <c r="G52" i="32" s="1"/>
  <c r="E49" i="29"/>
  <c r="E46" i="29"/>
  <c r="C48" i="29"/>
  <c r="C43" i="29" s="1"/>
  <c r="L20" i="29"/>
  <c r="I50" i="29"/>
  <c r="J10" i="29"/>
  <c r="H31" i="29"/>
  <c r="G26" i="32"/>
  <c r="G53" i="32" s="1"/>
  <c r="A54" i="32"/>
  <c r="A28" i="32"/>
  <c r="G27" i="32"/>
  <c r="G54" i="32" s="1"/>
  <c r="B27" i="32"/>
  <c r="B54" i="32" s="1"/>
  <c r="E27" i="32"/>
  <c r="E54" i="32" s="1"/>
  <c r="C27" i="32"/>
  <c r="C54" i="32" s="1"/>
  <c r="F27" i="32"/>
  <c r="F54" i="32" s="1"/>
  <c r="D27" i="32"/>
  <c r="D54" i="32" s="1"/>
  <c r="H35" i="29"/>
  <c r="H52" i="29" s="1"/>
  <c r="M17" i="29"/>
  <c r="J19" i="29"/>
  <c r="I33" i="29"/>
  <c r="L14" i="29"/>
  <c r="D48" i="29"/>
  <c r="D43" i="29" s="1"/>
  <c r="E58" i="29"/>
  <c r="E45" i="29" s="1"/>
  <c r="G56" i="29"/>
  <c r="G55" i="29"/>
  <c r="F45" i="29" l="1"/>
  <c r="D41" i="29"/>
  <c r="C41" i="29"/>
  <c r="M20" i="29"/>
  <c r="C42" i="29"/>
  <c r="C38" i="29" s="1"/>
  <c r="C39" i="29" s="1"/>
  <c r="AB16" i="28"/>
  <c r="AA17" i="28"/>
  <c r="AA18" i="28" s="1"/>
  <c r="AA19" i="28" s="1"/>
  <c r="N17" i="29"/>
  <c r="A55" i="32"/>
  <c r="A29" i="32"/>
  <c r="C28" i="32"/>
  <c r="C55" i="32" s="1"/>
  <c r="B28" i="32"/>
  <c r="B55" i="32" s="1"/>
  <c r="E28" i="32"/>
  <c r="E55" i="32" s="1"/>
  <c r="G28" i="32"/>
  <c r="G55" i="32" s="1"/>
  <c r="F28" i="32"/>
  <c r="F55" i="32" s="1"/>
  <c r="H28" i="32"/>
  <c r="H55" i="32" s="1"/>
  <c r="D28" i="32"/>
  <c r="D55" i="32" s="1"/>
  <c r="H55" i="29"/>
  <c r="H56" i="29"/>
  <c r="E48" i="29"/>
  <c r="D42" i="29"/>
  <c r="D38" i="29" s="1"/>
  <c r="D39" i="29" s="1"/>
  <c r="J30" i="29"/>
  <c r="K7" i="29"/>
  <c r="F46" i="29"/>
  <c r="F49" i="29"/>
  <c r="I17" i="32"/>
  <c r="H44" i="32"/>
  <c r="H39" i="32"/>
  <c r="H66" i="32" s="1"/>
  <c r="H22" i="32"/>
  <c r="H49" i="32" s="1"/>
  <c r="H21" i="32"/>
  <c r="H48" i="32" s="1"/>
  <c r="H18" i="32"/>
  <c r="H45" i="32" s="1"/>
  <c r="H38" i="32"/>
  <c r="H65" i="32" s="1"/>
  <c r="H23" i="32"/>
  <c r="H50" i="32" s="1"/>
  <c r="H40" i="32"/>
  <c r="H67" i="32" s="1"/>
  <c r="H19" i="32"/>
  <c r="H46" i="32" s="1"/>
  <c r="H20" i="32"/>
  <c r="H47" i="32" s="1"/>
  <c r="H24" i="32"/>
  <c r="H51" i="32" s="1"/>
  <c r="H25" i="32"/>
  <c r="H52" i="32" s="1"/>
  <c r="H26" i="32"/>
  <c r="H53" i="32" s="1"/>
  <c r="K11" i="29"/>
  <c r="K23" i="29"/>
  <c r="G53" i="29"/>
  <c r="G54" i="29" s="1"/>
  <c r="G47" i="29" s="1"/>
  <c r="H27" i="32"/>
  <c r="H54" i="32" s="1"/>
  <c r="M14" i="29"/>
  <c r="K19" i="29"/>
  <c r="J33" i="29"/>
  <c r="J34" i="29" s="1"/>
  <c r="J35" i="29" s="1"/>
  <c r="J52" i="29" s="1"/>
  <c r="J50" i="29"/>
  <c r="K10" i="29"/>
  <c r="E51" i="29"/>
  <c r="E42" i="29"/>
  <c r="E38" i="29" s="1"/>
  <c r="E39" i="29" s="1"/>
  <c r="I31" i="29"/>
  <c r="L12" i="29"/>
  <c r="L16" i="29"/>
  <c r="E43" i="29" l="1"/>
  <c r="E41" i="29" s="1"/>
  <c r="E44" i="29"/>
  <c r="E40" i="29" s="1"/>
  <c r="M12" i="29"/>
  <c r="O17" i="29"/>
  <c r="K50" i="29"/>
  <c r="L10" i="29"/>
  <c r="L19" i="29"/>
  <c r="K33" i="29"/>
  <c r="K34" i="29" s="1"/>
  <c r="K35" i="29" s="1"/>
  <c r="K52" i="29" s="1"/>
  <c r="L11" i="29"/>
  <c r="M16" i="29"/>
  <c r="I55" i="29"/>
  <c r="I56" i="29"/>
  <c r="G57" i="29"/>
  <c r="L23" i="29"/>
  <c r="F48" i="29"/>
  <c r="AC16" i="28"/>
  <c r="AB17" i="28"/>
  <c r="AB18" i="28" s="1"/>
  <c r="AB19" i="28" s="1"/>
  <c r="N14" i="29"/>
  <c r="C44" i="29"/>
  <c r="C40" i="29" s="1"/>
  <c r="G59" i="29"/>
  <c r="J31" i="29"/>
  <c r="N20" i="29"/>
  <c r="I44" i="32"/>
  <c r="J17" i="32"/>
  <c r="J29" i="32" s="1"/>
  <c r="J56" i="32" s="1"/>
  <c r="I20" i="32"/>
  <c r="I47" i="32" s="1"/>
  <c r="I38" i="32"/>
  <c r="I65" i="32" s="1"/>
  <c r="I18" i="32"/>
  <c r="I45" i="32" s="1"/>
  <c r="I22" i="32"/>
  <c r="I49" i="32" s="1"/>
  <c r="I39" i="32"/>
  <c r="I66" i="32" s="1"/>
  <c r="I19" i="32"/>
  <c r="I46" i="32" s="1"/>
  <c r="I21" i="32"/>
  <c r="I48" i="32" s="1"/>
  <c r="I23" i="32"/>
  <c r="I50" i="32" s="1"/>
  <c r="I40" i="32"/>
  <c r="I67" i="32" s="1"/>
  <c r="I24" i="32"/>
  <c r="I51" i="32" s="1"/>
  <c r="I25" i="32"/>
  <c r="I52" i="32" s="1"/>
  <c r="I26" i="32"/>
  <c r="I53" i="32" s="1"/>
  <c r="I27" i="32"/>
  <c r="I54" i="32" s="1"/>
  <c r="K30" i="29"/>
  <c r="L7" i="29"/>
  <c r="F51" i="29"/>
  <c r="H53" i="29"/>
  <c r="H54" i="29" s="1"/>
  <c r="H47" i="29" s="1"/>
  <c r="I28" i="32"/>
  <c r="I55" i="32" s="1"/>
  <c r="A30" i="32"/>
  <c r="A56" i="32"/>
  <c r="D29" i="32"/>
  <c r="D56" i="32" s="1"/>
  <c r="I29" i="32"/>
  <c r="I56" i="32" s="1"/>
  <c r="B29" i="32"/>
  <c r="B56" i="32" s="1"/>
  <c r="C29" i="32"/>
  <c r="C56" i="32" s="1"/>
  <c r="E29" i="32"/>
  <c r="E56" i="32" s="1"/>
  <c r="G29" i="32"/>
  <c r="G56" i="32" s="1"/>
  <c r="F29" i="32"/>
  <c r="F56" i="32" s="1"/>
  <c r="H29" i="32"/>
  <c r="H56" i="32" s="1"/>
  <c r="D44" i="29"/>
  <c r="D40" i="29" s="1"/>
  <c r="F42" i="29" l="1"/>
  <c r="F38" i="29" s="1"/>
  <c r="F39" i="29" s="1"/>
  <c r="F43" i="29"/>
  <c r="F41" i="29" s="1"/>
  <c r="H57" i="29"/>
  <c r="AD16" i="28"/>
  <c r="AC17" i="28"/>
  <c r="AC18" i="28" s="1"/>
  <c r="AC19" i="28" s="1"/>
  <c r="I53" i="29"/>
  <c r="I54" i="29" s="1"/>
  <c r="I47" i="29" s="1"/>
  <c r="L50" i="29"/>
  <c r="M10" i="29"/>
  <c r="M23" i="29"/>
  <c r="N12" i="29"/>
  <c r="A57" i="32"/>
  <c r="A31" i="32"/>
  <c r="I30" i="32"/>
  <c r="I57" i="32" s="1"/>
  <c r="E30" i="32"/>
  <c r="E57" i="32" s="1"/>
  <c r="B30" i="32"/>
  <c r="B57" i="32" s="1"/>
  <c r="H30" i="32"/>
  <c r="H57" i="32" s="1"/>
  <c r="G30" i="32"/>
  <c r="G57" i="32" s="1"/>
  <c r="J30" i="32"/>
  <c r="J57" i="32" s="1"/>
  <c r="F30" i="32"/>
  <c r="F57" i="32" s="1"/>
  <c r="C30" i="32"/>
  <c r="C57" i="32" s="1"/>
  <c r="D30" i="32"/>
  <c r="D57" i="32" s="1"/>
  <c r="H59" i="29"/>
  <c r="L30" i="29"/>
  <c r="M7" i="29"/>
  <c r="J55" i="29"/>
  <c r="J56" i="29"/>
  <c r="O14" i="29"/>
  <c r="G49" i="29"/>
  <c r="G46" i="29"/>
  <c r="G58" i="29"/>
  <c r="G45" i="29" s="1"/>
  <c r="N16" i="29"/>
  <c r="P17" i="29"/>
  <c r="K17" i="32"/>
  <c r="J44" i="32"/>
  <c r="J40" i="32"/>
  <c r="J67" i="32" s="1"/>
  <c r="J18" i="32"/>
  <c r="J45" i="32" s="1"/>
  <c r="J23" i="32"/>
  <c r="J50" i="32" s="1"/>
  <c r="J38" i="32"/>
  <c r="J65" i="32" s="1"/>
  <c r="J39" i="32"/>
  <c r="J66" i="32" s="1"/>
  <c r="J19" i="32"/>
  <c r="J46" i="32" s="1"/>
  <c r="J21" i="32"/>
  <c r="J48" i="32" s="1"/>
  <c r="J20" i="32"/>
  <c r="J47" i="32" s="1"/>
  <c r="J22" i="32"/>
  <c r="J49" i="32" s="1"/>
  <c r="J24" i="32"/>
  <c r="J51" i="32" s="1"/>
  <c r="J25" i="32"/>
  <c r="J52" i="32" s="1"/>
  <c r="J26" i="32"/>
  <c r="J53" i="32" s="1"/>
  <c r="J27" i="32"/>
  <c r="J54" i="32" s="1"/>
  <c r="J28" i="32"/>
  <c r="J55" i="32" s="1"/>
  <c r="K31" i="29"/>
  <c r="O20" i="29"/>
  <c r="M11" i="29"/>
  <c r="M19" i="29"/>
  <c r="L33" i="29"/>
  <c r="L34" i="29" s="1"/>
  <c r="F44" i="29" l="1"/>
  <c r="F40" i="29" s="1"/>
  <c r="N11" i="29"/>
  <c r="G48" i="29"/>
  <c r="L31" i="29"/>
  <c r="H46" i="29"/>
  <c r="H49" i="29"/>
  <c r="N19" i="29"/>
  <c r="M33" i="29"/>
  <c r="M34" i="29" s="1"/>
  <c r="M35" i="29" s="1"/>
  <c r="M52" i="29" s="1"/>
  <c r="K44" i="32"/>
  <c r="L17" i="32"/>
  <c r="L31" i="32" s="1"/>
  <c r="L58" i="32" s="1"/>
  <c r="K39" i="32"/>
  <c r="K66" i="32" s="1"/>
  <c r="K21" i="32"/>
  <c r="K48" i="32" s="1"/>
  <c r="K20" i="32"/>
  <c r="K47" i="32" s="1"/>
  <c r="K40" i="32"/>
  <c r="K67" i="32" s="1"/>
  <c r="K19" i="32"/>
  <c r="K46" i="32" s="1"/>
  <c r="K23" i="32"/>
  <c r="K50" i="32" s="1"/>
  <c r="K22" i="32"/>
  <c r="K49" i="32" s="1"/>
  <c r="K18" i="32"/>
  <c r="K45" i="32" s="1"/>
  <c r="K38" i="32"/>
  <c r="K65" i="32" s="1"/>
  <c r="K24" i="32"/>
  <c r="K51" i="32" s="1"/>
  <c r="K25" i="32"/>
  <c r="K52" i="32" s="1"/>
  <c r="K26" i="32"/>
  <c r="K53" i="32" s="1"/>
  <c r="K27" i="32"/>
  <c r="K54" i="32" s="1"/>
  <c r="K28" i="32"/>
  <c r="K55" i="32" s="1"/>
  <c r="K29" i="32"/>
  <c r="K56" i="32" s="1"/>
  <c r="O16" i="29"/>
  <c r="G51" i="29"/>
  <c r="P20" i="29"/>
  <c r="P14" i="29"/>
  <c r="M30" i="29"/>
  <c r="N7" i="29"/>
  <c r="K30" i="32"/>
  <c r="K57" i="32" s="1"/>
  <c r="L35" i="29"/>
  <c r="L52" i="29" s="1"/>
  <c r="I57" i="29"/>
  <c r="AE16" i="28"/>
  <c r="AD17" i="28"/>
  <c r="AD18" i="28" s="1"/>
  <c r="AD19" i="28" s="1"/>
  <c r="O12" i="29"/>
  <c r="K56" i="29"/>
  <c r="K55" i="29"/>
  <c r="A32" i="32"/>
  <c r="A58" i="32"/>
  <c r="G31" i="32"/>
  <c r="G58" i="32" s="1"/>
  <c r="H31" i="32"/>
  <c r="H58" i="32" s="1"/>
  <c r="F31" i="32"/>
  <c r="F58" i="32" s="1"/>
  <c r="E31" i="32"/>
  <c r="E58" i="32" s="1"/>
  <c r="I31" i="32"/>
  <c r="I58" i="32" s="1"/>
  <c r="B31" i="32"/>
  <c r="B58" i="32" s="1"/>
  <c r="J31" i="32"/>
  <c r="J58" i="32" s="1"/>
  <c r="K31" i="32"/>
  <c r="K58" i="32" s="1"/>
  <c r="D31" i="32"/>
  <c r="D58" i="32" s="1"/>
  <c r="C31" i="32"/>
  <c r="C58" i="32" s="1"/>
  <c r="I59" i="29"/>
  <c r="M50" i="29"/>
  <c r="N10" i="29"/>
  <c r="H58" i="29"/>
  <c r="H45" i="29" s="1"/>
  <c r="J53" i="29"/>
  <c r="J54" i="29" s="1"/>
  <c r="J47" i="29" s="1"/>
  <c r="J57" i="29"/>
  <c r="J58" i="29" s="1"/>
  <c r="N23" i="29"/>
  <c r="G43" i="29" l="1"/>
  <c r="G41" i="29"/>
  <c r="N30" i="29"/>
  <c r="O7" i="29"/>
  <c r="H48" i="29"/>
  <c r="O23" i="29"/>
  <c r="J46" i="29"/>
  <c r="J49" i="29"/>
  <c r="I46" i="29"/>
  <c r="I49" i="29"/>
  <c r="I58" i="29"/>
  <c r="I45" i="29" s="1"/>
  <c r="M31" i="29"/>
  <c r="P16" i="29"/>
  <c r="L44" i="32"/>
  <c r="L40" i="32"/>
  <c r="L67" i="32" s="1"/>
  <c r="L21" i="32"/>
  <c r="L48" i="32" s="1"/>
  <c r="L19" i="32"/>
  <c r="L46" i="32" s="1"/>
  <c r="L22" i="32"/>
  <c r="L49" i="32" s="1"/>
  <c r="L20" i="32"/>
  <c r="L47" i="32" s="1"/>
  <c r="L38" i="32"/>
  <c r="L65" i="32" s="1"/>
  <c r="L18" i="32"/>
  <c r="L45" i="32" s="1"/>
  <c r="L39" i="32"/>
  <c r="L66" i="32" s="1"/>
  <c r="L23" i="32"/>
  <c r="L50" i="32" s="1"/>
  <c r="L24" i="32"/>
  <c r="L51" i="32" s="1"/>
  <c r="L25" i="32"/>
  <c r="L52" i="32" s="1"/>
  <c r="L26" i="32"/>
  <c r="L53" i="32" s="1"/>
  <c r="L27" i="32"/>
  <c r="L54" i="32" s="1"/>
  <c r="L28" i="32"/>
  <c r="L55" i="32" s="1"/>
  <c r="L29" i="32"/>
  <c r="L56" i="32" s="1"/>
  <c r="L30" i="32"/>
  <c r="L57" i="32" s="1"/>
  <c r="O19" i="29"/>
  <c r="N33" i="29"/>
  <c r="N34" i="29" s="1"/>
  <c r="N35" i="29" s="1"/>
  <c r="N52" i="29" s="1"/>
  <c r="A59" i="32"/>
  <c r="A33" i="32"/>
  <c r="I32" i="32"/>
  <c r="I59" i="32" s="1"/>
  <c r="G32" i="32"/>
  <c r="G59" i="32" s="1"/>
  <c r="E32" i="32"/>
  <c r="E59" i="32" s="1"/>
  <c r="D32" i="32"/>
  <c r="D59" i="32" s="1"/>
  <c r="F32" i="32"/>
  <c r="F59" i="32" s="1"/>
  <c r="L32" i="32"/>
  <c r="L59" i="32" s="1"/>
  <c r="B32" i="32"/>
  <c r="B59" i="32" s="1"/>
  <c r="K32" i="32"/>
  <c r="K59" i="32" s="1"/>
  <c r="H32" i="32"/>
  <c r="H59" i="32" s="1"/>
  <c r="J32" i="32"/>
  <c r="J59" i="32" s="1"/>
  <c r="C32" i="32"/>
  <c r="C59" i="32" s="1"/>
  <c r="P12" i="29"/>
  <c r="L56" i="29"/>
  <c r="L55" i="29"/>
  <c r="O11" i="29"/>
  <c r="AF16" i="28"/>
  <c r="AE17" i="28"/>
  <c r="AE18" i="28" s="1"/>
  <c r="AE19" i="28" s="1"/>
  <c r="N50" i="29"/>
  <c r="O10" i="29"/>
  <c r="J59" i="29"/>
  <c r="J45" i="29" s="1"/>
  <c r="K59" i="29"/>
  <c r="K53" i="29"/>
  <c r="K54" i="29" s="1"/>
  <c r="K47" i="29" s="1"/>
  <c r="K57" i="29"/>
  <c r="G42" i="29"/>
  <c r="G38" i="29" s="1"/>
  <c r="G39" i="29" s="1"/>
  <c r="H51" i="29"/>
  <c r="H43" i="29" l="1"/>
  <c r="H42" i="29"/>
  <c r="H38" i="29" s="1"/>
  <c r="H39" i="29" s="1"/>
  <c r="AF17" i="28"/>
  <c r="AF18" i="28" s="1"/>
  <c r="AF19" i="28" s="1"/>
  <c r="AG16" i="28"/>
  <c r="L53" i="29"/>
  <c r="L54" i="29" s="1"/>
  <c r="L47" i="29" s="1"/>
  <c r="O50" i="29"/>
  <c r="P10" i="29"/>
  <c r="P50" i="29" s="1"/>
  <c r="K58" i="29"/>
  <c r="K45" i="29" s="1"/>
  <c r="P11" i="29"/>
  <c r="P23" i="29"/>
  <c r="O30" i="29"/>
  <c r="P7" i="29"/>
  <c r="P30" i="29" s="1"/>
  <c r="P31" i="29" s="1"/>
  <c r="P19" i="29"/>
  <c r="O33" i="29"/>
  <c r="O34" i="29" s="1"/>
  <c r="O35" i="29" s="1"/>
  <c r="O52" i="29" s="1"/>
  <c r="J51" i="29"/>
  <c r="I51" i="29"/>
  <c r="J48" i="29"/>
  <c r="A34" i="32"/>
  <c r="A60" i="32"/>
  <c r="B33" i="32"/>
  <c r="B60" i="32" s="1"/>
  <c r="E33" i="32"/>
  <c r="E60" i="32" s="1"/>
  <c r="F33" i="32"/>
  <c r="F60" i="32" s="1"/>
  <c r="G33" i="32"/>
  <c r="G60" i="32" s="1"/>
  <c r="H33" i="32"/>
  <c r="H60" i="32" s="1"/>
  <c r="J33" i="32"/>
  <c r="J60" i="32" s="1"/>
  <c r="L33" i="32"/>
  <c r="L60" i="32" s="1"/>
  <c r="I33" i="32"/>
  <c r="I60" i="32" s="1"/>
  <c r="D33" i="32"/>
  <c r="D60" i="32" s="1"/>
  <c r="K33" i="32"/>
  <c r="K60" i="32" s="1"/>
  <c r="C33" i="32"/>
  <c r="C60" i="32" s="1"/>
  <c r="N31" i="29"/>
  <c r="K46" i="29"/>
  <c r="K49" i="29"/>
  <c r="M56" i="29"/>
  <c r="M55" i="29"/>
  <c r="I48" i="29"/>
  <c r="I42" i="29" s="1"/>
  <c r="I38" i="29" s="1"/>
  <c r="I39" i="29" s="1"/>
  <c r="G44" i="29"/>
  <c r="G40" i="29" s="1"/>
  <c r="H44" i="29" l="1"/>
  <c r="H40" i="29" s="1"/>
  <c r="H41" i="29"/>
  <c r="J42" i="29"/>
  <c r="J38" i="29" s="1"/>
  <c r="J39" i="29" s="1"/>
  <c r="M59" i="29"/>
  <c r="M53" i="29"/>
  <c r="M54" i="29" s="1"/>
  <c r="M47" i="29" s="1"/>
  <c r="M57" i="29"/>
  <c r="M58" i="29" s="1"/>
  <c r="M45" i="29" s="1"/>
  <c r="K48" i="29"/>
  <c r="J43" i="29"/>
  <c r="P33" i="29"/>
  <c r="P53" i="29"/>
  <c r="P54" i="29" s="1"/>
  <c r="P57" i="29" s="1"/>
  <c r="P55" i="29"/>
  <c r="P56" i="29"/>
  <c r="P34" i="29"/>
  <c r="P47" i="29" s="1"/>
  <c r="L57" i="29"/>
  <c r="L58" i="29" s="1"/>
  <c r="L45" i="29" s="1"/>
  <c r="AH16" i="28"/>
  <c r="AG17" i="28"/>
  <c r="AG18" i="28" s="1"/>
  <c r="AG19" i="28" s="1"/>
  <c r="I43" i="29"/>
  <c r="N56" i="29"/>
  <c r="N55" i="29"/>
  <c r="O31" i="29"/>
  <c r="L59" i="29"/>
  <c r="K51" i="29"/>
  <c r="A35" i="32"/>
  <c r="A61" i="32"/>
  <c r="E34" i="32"/>
  <c r="E61" i="32" s="1"/>
  <c r="K34" i="32"/>
  <c r="K61" i="32" s="1"/>
  <c r="L34" i="32"/>
  <c r="L61" i="32" s="1"/>
  <c r="C34" i="32"/>
  <c r="C61" i="32" s="1"/>
  <c r="G34" i="32"/>
  <c r="G61" i="32" s="1"/>
  <c r="I34" i="32"/>
  <c r="I61" i="32" s="1"/>
  <c r="F34" i="32"/>
  <c r="F61" i="32" s="1"/>
  <c r="J34" i="32"/>
  <c r="J61" i="32" s="1"/>
  <c r="H34" i="32"/>
  <c r="H61" i="32" s="1"/>
  <c r="B34" i="32"/>
  <c r="B61" i="32" s="1"/>
  <c r="D34" i="32"/>
  <c r="D61" i="32" s="1"/>
  <c r="K43" i="29" l="1"/>
  <c r="K42" i="29"/>
  <c r="K38" i="29" s="1"/>
  <c r="K39" i="29" s="1"/>
  <c r="P46" i="29"/>
  <c r="I44" i="29"/>
  <c r="I40" i="29" s="1"/>
  <c r="I41" i="29"/>
  <c r="P59" i="29"/>
  <c r="P58" i="29"/>
  <c r="P45" i="29" s="1"/>
  <c r="J44" i="29"/>
  <c r="J40" i="29" s="1"/>
  <c r="J41" i="29"/>
  <c r="K41" i="29"/>
  <c r="N53" i="29"/>
  <c r="N54" i="29" s="1"/>
  <c r="N47" i="29" s="1"/>
  <c r="AI16" i="28"/>
  <c r="AH17" i="28"/>
  <c r="AH18" i="28" s="1"/>
  <c r="AH19" i="28" s="1"/>
  <c r="P35" i="29"/>
  <c r="P52" i="29" s="1"/>
  <c r="O56" i="29"/>
  <c r="O55" i="29"/>
  <c r="A62" i="32"/>
  <c r="A36" i="32"/>
  <c r="F35" i="32"/>
  <c r="F62" i="32" s="1"/>
  <c r="E35" i="32"/>
  <c r="E62" i="32" s="1"/>
  <c r="J35" i="32"/>
  <c r="J62" i="32" s="1"/>
  <c r="D35" i="32"/>
  <c r="D62" i="32" s="1"/>
  <c r="H35" i="32"/>
  <c r="H62" i="32" s="1"/>
  <c r="C35" i="32"/>
  <c r="C62" i="32" s="1"/>
  <c r="I35" i="32"/>
  <c r="I62" i="32" s="1"/>
  <c r="B35" i="32"/>
  <c r="B62" i="32" s="1"/>
  <c r="G35" i="32"/>
  <c r="G62" i="32" s="1"/>
  <c r="K35" i="32"/>
  <c r="K62" i="32" s="1"/>
  <c r="L35" i="32"/>
  <c r="L62" i="32" s="1"/>
  <c r="L46" i="29"/>
  <c r="L49" i="29"/>
  <c r="M49" i="29"/>
  <c r="M46" i="29"/>
  <c r="K44" i="29" l="1"/>
  <c r="K40" i="29" s="1"/>
  <c r="AI17" i="28"/>
  <c r="AI18" i="28" s="1"/>
  <c r="AI19" i="28" s="1"/>
  <c r="AJ16" i="28"/>
  <c r="N57" i="29"/>
  <c r="P49" i="29"/>
  <c r="L51" i="29"/>
  <c r="L43" i="29" s="1"/>
  <c r="A63" i="32"/>
  <c r="A37" i="32"/>
  <c r="G36" i="32"/>
  <c r="G63" i="32" s="1"/>
  <c r="H36" i="32"/>
  <c r="H63" i="32" s="1"/>
  <c r="F36" i="32"/>
  <c r="F63" i="32" s="1"/>
  <c r="L36" i="32"/>
  <c r="L63" i="32" s="1"/>
  <c r="D36" i="32"/>
  <c r="D63" i="32" s="1"/>
  <c r="I36" i="32"/>
  <c r="I63" i="32" s="1"/>
  <c r="K36" i="32"/>
  <c r="K63" i="32" s="1"/>
  <c r="E36" i="32"/>
  <c r="E63" i="32" s="1"/>
  <c r="J36" i="32"/>
  <c r="J63" i="32" s="1"/>
  <c r="B36" i="32"/>
  <c r="B63" i="32" s="1"/>
  <c r="C36" i="32"/>
  <c r="C63" i="32" s="1"/>
  <c r="O59" i="29"/>
  <c r="O53" i="29"/>
  <c r="O54" i="29" s="1"/>
  <c r="O47" i="29" s="1"/>
  <c r="O57" i="29"/>
  <c r="M48" i="29"/>
  <c r="L48" i="29"/>
  <c r="M51" i="29"/>
  <c r="N59" i="29"/>
  <c r="P48" i="29"/>
  <c r="M42" i="29" l="1"/>
  <c r="M38" i="29" s="1"/>
  <c r="M39" i="29" s="1"/>
  <c r="M43" i="29"/>
  <c r="M44" i="29" s="1"/>
  <c r="M40" i="29" s="1"/>
  <c r="L42" i="29"/>
  <c r="L38" i="29" s="1"/>
  <c r="L39" i="29" s="1"/>
  <c r="A64" i="32"/>
  <c r="B37" i="32"/>
  <c r="B64" i="32" s="1"/>
  <c r="C37" i="32"/>
  <c r="C64" i="32" s="1"/>
  <c r="D37" i="32"/>
  <c r="D64" i="32" s="1"/>
  <c r="E37" i="32"/>
  <c r="E64" i="32" s="1"/>
  <c r="I37" i="32"/>
  <c r="I64" i="32" s="1"/>
  <c r="J37" i="32"/>
  <c r="J64" i="32" s="1"/>
  <c r="F37" i="32"/>
  <c r="F64" i="32" s="1"/>
  <c r="G37" i="32"/>
  <c r="G64" i="32" s="1"/>
  <c r="H37" i="32"/>
  <c r="H64" i="32" s="1"/>
  <c r="K37" i="32"/>
  <c r="K64" i="32" s="1"/>
  <c r="L37" i="32"/>
  <c r="L64" i="32" s="1"/>
  <c r="O49" i="29"/>
  <c r="O46" i="29"/>
  <c r="N46" i="29"/>
  <c r="N49" i="29"/>
  <c r="N58" i="29"/>
  <c r="N45" i="29" s="1"/>
  <c r="P51" i="29"/>
  <c r="P43" i="29" s="1"/>
  <c r="AJ17" i="28"/>
  <c r="AJ18" i="28" s="1"/>
  <c r="AJ19" i="28" s="1"/>
  <c r="AK16" i="28"/>
  <c r="L41" i="29"/>
  <c r="O58" i="29"/>
  <c r="O45" i="29" s="1"/>
  <c r="L44" i="29" l="1"/>
  <c r="L40" i="29" s="1"/>
  <c r="M41" i="29"/>
  <c r="P42" i="29"/>
  <c r="P38" i="29" s="1"/>
  <c r="P39" i="29" s="1"/>
  <c r="P41" i="29"/>
  <c r="O51" i="29"/>
  <c r="N51" i="29"/>
  <c r="O48" i="29"/>
  <c r="AL16" i="28"/>
  <c r="AK17" i="28"/>
  <c r="AK18" i="28" s="1"/>
  <c r="AK19" i="28" s="1"/>
  <c r="N48" i="29"/>
  <c r="O43" i="29" l="1"/>
  <c r="O42" i="29"/>
  <c r="O38" i="29" s="1"/>
  <c r="O39" i="29" s="1"/>
  <c r="N42" i="29"/>
  <c r="N38" i="29" s="1"/>
  <c r="N39" i="29" s="1"/>
  <c r="P44" i="29"/>
  <c r="P40" i="29" s="1"/>
  <c r="N43" i="29"/>
  <c r="O41" i="29"/>
  <c r="AM16" i="28"/>
  <c r="AL17" i="28"/>
  <c r="AL18" i="28" s="1"/>
  <c r="AL19" i="28" s="1"/>
  <c r="O44" i="29" l="1"/>
  <c r="O40" i="29" s="1"/>
  <c r="AN16" i="28"/>
  <c r="AM17" i="28"/>
  <c r="AM18" i="28" s="1"/>
  <c r="AM19" i="28" s="1"/>
  <c r="N44" i="29"/>
  <c r="N40" i="29" s="1"/>
  <c r="N41" i="29"/>
  <c r="AO16" i="28" l="1"/>
  <c r="AN17" i="28"/>
  <c r="AN18" i="28" s="1"/>
  <c r="AN19" i="28" s="1"/>
  <c r="AP16" i="28" l="1"/>
  <c r="AO17" i="28"/>
  <c r="AO18" i="28" s="1"/>
  <c r="AO19" i="28" s="1"/>
  <c r="AQ16" i="28" l="1"/>
  <c r="AP17" i="28"/>
  <c r="AP18" i="28" s="1"/>
  <c r="AP19" i="28" s="1"/>
  <c r="AQ17" i="28" l="1"/>
  <c r="AQ18" i="28" s="1"/>
  <c r="AQ19" i="28" s="1"/>
  <c r="AR16" i="28"/>
  <c r="AR17" i="28" l="1"/>
  <c r="AR18" i="28" s="1"/>
  <c r="AR19" i="28" s="1"/>
  <c r="AS16" i="28"/>
  <c r="AT16" i="28" l="1"/>
  <c r="AS17" i="28"/>
  <c r="AS18" i="28" s="1"/>
  <c r="AS19" i="28" s="1"/>
  <c r="AU16" i="28" l="1"/>
  <c r="AT17" i="28"/>
  <c r="AT18" i="28" s="1"/>
  <c r="AT19" i="28" s="1"/>
  <c r="AU17" i="28" l="1"/>
  <c r="AU18" i="28" s="1"/>
  <c r="AU19" i="28" s="1"/>
  <c r="AV16" i="28"/>
  <c r="AW16" i="28" l="1"/>
  <c r="AV17" i="28"/>
  <c r="AV18" i="28" s="1"/>
  <c r="AV19" i="28" s="1"/>
  <c r="AX16" i="28" l="1"/>
  <c r="AW17" i="28"/>
  <c r="AW18" i="28" s="1"/>
  <c r="AW19" i="28" s="1"/>
  <c r="AY16" i="28" l="1"/>
  <c r="AX17" i="28"/>
  <c r="AX18" i="28" s="1"/>
  <c r="AX19" i="28" s="1"/>
  <c r="AZ16" i="28" l="1"/>
  <c r="AY17" i="28"/>
  <c r="AY18" i="28" s="1"/>
  <c r="AY19" i="28" s="1"/>
  <c r="AZ17" i="28" l="1"/>
  <c r="AZ18" i="28" s="1"/>
  <c r="AZ19" i="28" s="1"/>
  <c r="BA16" i="28"/>
  <c r="BB16" i="28" l="1"/>
  <c r="BA17" i="28"/>
  <c r="BA18" i="28" s="1"/>
  <c r="BA19" i="28" s="1"/>
  <c r="BC16" i="28" l="1"/>
  <c r="BB17" i="28"/>
  <c r="BB18" i="28" s="1"/>
  <c r="BB19" i="28" s="1"/>
  <c r="BD16" i="28" l="1"/>
  <c r="BC17" i="28"/>
  <c r="BC18" i="28" s="1"/>
  <c r="BC19" i="28" s="1"/>
  <c r="BE16" i="28" l="1"/>
  <c r="BD17" i="28"/>
  <c r="BD18" i="28" s="1"/>
  <c r="BD19" i="28" s="1"/>
  <c r="BF16" i="28" l="1"/>
  <c r="BE17" i="28"/>
  <c r="BE18" i="28" s="1"/>
  <c r="BE19" i="28" s="1"/>
  <c r="BG16" i="28" l="1"/>
  <c r="BF17" i="28"/>
  <c r="BF18" i="28" s="1"/>
  <c r="BF19" i="28" s="1"/>
  <c r="BH16" i="28" l="1"/>
  <c r="BG17" i="28"/>
  <c r="BG18" i="28" s="1"/>
  <c r="BG19" i="28" s="1"/>
  <c r="BH17" i="28" l="1"/>
  <c r="BH18" i="28" s="1"/>
  <c r="BH19" i="28" s="1"/>
  <c r="BI16" i="28"/>
  <c r="BJ16" i="28" l="1"/>
  <c r="BI17" i="28"/>
  <c r="BI18" i="28" s="1"/>
  <c r="BI19" i="28" s="1"/>
  <c r="BK16" i="28" l="1"/>
  <c r="BJ17" i="28"/>
  <c r="BJ18" i="28" s="1"/>
  <c r="BJ19" i="28" s="1"/>
  <c r="BL16" i="28" l="1"/>
  <c r="BK17" i="28"/>
  <c r="BK18" i="28" s="1"/>
  <c r="BK19" i="28" s="1"/>
  <c r="BL17" i="28" l="1"/>
  <c r="BL18" i="28" s="1"/>
  <c r="BL19" i="28" s="1"/>
  <c r="BM16" i="28"/>
  <c r="BN16" i="28" l="1"/>
  <c r="BM17" i="28"/>
  <c r="BM18" i="28" s="1"/>
  <c r="BM19" i="28" s="1"/>
  <c r="BO16" i="28" l="1"/>
  <c r="BN17" i="28"/>
  <c r="BN18" i="28" s="1"/>
  <c r="BN19" i="28" s="1"/>
  <c r="BO17" i="28" l="1"/>
  <c r="BO18" i="28" s="1"/>
  <c r="BO19" i="28" s="1"/>
  <c r="BP16" i="28"/>
  <c r="BP17" i="28" l="1"/>
  <c r="BP18" i="28" s="1"/>
  <c r="BP19" i="28" s="1"/>
  <c r="BQ16" i="28"/>
  <c r="BR16" i="28" l="1"/>
  <c r="BQ17" i="28"/>
  <c r="BQ18" i="28" s="1"/>
  <c r="BQ19" i="28" s="1"/>
  <c r="BR17" i="28" l="1"/>
  <c r="BR18" i="28" s="1"/>
  <c r="BR19" i="28" s="1"/>
  <c r="BS16" i="28"/>
  <c r="BT16" i="28" l="1"/>
  <c r="BS17" i="28"/>
  <c r="BS18" i="28" s="1"/>
  <c r="BS19" i="28" s="1"/>
  <c r="BU16" i="28" l="1"/>
  <c r="BT17" i="28"/>
  <c r="BT18" i="28" s="1"/>
  <c r="BT19" i="28" s="1"/>
  <c r="BV16" i="28" l="1"/>
  <c r="BU17" i="28"/>
  <c r="BU18" i="28" s="1"/>
  <c r="BU19" i="28" s="1"/>
  <c r="BV17" i="28" l="1"/>
  <c r="BV18" i="28" s="1"/>
  <c r="BV19" i="28" s="1"/>
  <c r="BW16" i="28"/>
  <c r="BW17" i="28" l="1"/>
  <c r="BW18" i="28" s="1"/>
  <c r="BW19" i="28" s="1"/>
  <c r="BX16" i="28"/>
  <c r="BX17" i="28" l="1"/>
  <c r="BX18" i="28" s="1"/>
  <c r="BX19" i="28" s="1"/>
  <c r="BY16" i="28"/>
  <c r="BZ16" i="28" l="1"/>
  <c r="BY17" i="28"/>
  <c r="BY18" i="28" s="1"/>
  <c r="BY19" i="28" s="1"/>
  <c r="CA16" i="28" l="1"/>
  <c r="BZ17" i="28"/>
  <c r="BZ18" i="28" s="1"/>
  <c r="BZ19" i="28" s="1"/>
  <c r="CA17" i="28" l="1"/>
  <c r="CA18" i="28" s="1"/>
  <c r="CA19" i="28" s="1"/>
  <c r="CB16" i="28"/>
  <c r="CB17" i="28" l="1"/>
  <c r="CB18" i="28" s="1"/>
  <c r="CB19" i="28" s="1"/>
  <c r="CC16" i="28"/>
  <c r="CD16" i="28" l="1"/>
  <c r="CC17" i="28"/>
  <c r="CC18" i="28" s="1"/>
  <c r="CC19" i="28" s="1"/>
  <c r="CE16" i="28" l="1"/>
  <c r="CD17" i="28"/>
  <c r="CD18" i="28" s="1"/>
  <c r="CD19" i="28" s="1"/>
  <c r="CE17" i="28" l="1"/>
  <c r="CE18" i="28" s="1"/>
  <c r="CE19" i="28" s="1"/>
  <c r="CF16" i="28"/>
  <c r="CF17" i="28" l="1"/>
  <c r="CF18" i="28" s="1"/>
  <c r="CF19" i="28" s="1"/>
  <c r="CG16" i="28"/>
  <c r="CH16" i="28" l="1"/>
  <c r="CG17" i="28"/>
  <c r="CG18" i="28" s="1"/>
  <c r="CG19" i="28" s="1"/>
  <c r="CI16" i="28" l="1"/>
  <c r="CH17" i="28"/>
  <c r="CH18" i="28" s="1"/>
  <c r="CH19" i="28" s="1"/>
  <c r="CJ16" i="28" l="1"/>
  <c r="CI17" i="28"/>
  <c r="CI18" i="28" s="1"/>
  <c r="CI19" i="28" s="1"/>
  <c r="CJ17" i="28" l="1"/>
  <c r="CJ18" i="28" s="1"/>
  <c r="CJ19" i="28" s="1"/>
  <c r="CK16" i="28"/>
  <c r="CL16" i="28" l="1"/>
  <c r="CK17" i="28"/>
  <c r="CK18" i="28" s="1"/>
  <c r="CK19" i="28" s="1"/>
  <c r="CL17" i="28" l="1"/>
  <c r="CL18" i="28" s="1"/>
  <c r="CL19" i="28" s="1"/>
  <c r="CM16" i="28"/>
  <c r="CM17" i="28" l="1"/>
  <c r="CM18" i="28" s="1"/>
  <c r="CM19" i="28" s="1"/>
  <c r="CN16" i="28"/>
  <c r="CO16" i="28" l="1"/>
  <c r="CN17" i="28"/>
  <c r="CN18" i="28" s="1"/>
  <c r="CN19" i="28" s="1"/>
  <c r="CP16" i="28" l="1"/>
  <c r="CO17" i="28"/>
  <c r="CO18" i="28" s="1"/>
  <c r="CO19" i="28" s="1"/>
  <c r="CQ16" i="28" l="1"/>
  <c r="CP17" i="28"/>
  <c r="CP18" i="28" s="1"/>
  <c r="CP19" i="28" s="1"/>
  <c r="CQ17" i="28" l="1"/>
  <c r="CQ18" i="28" s="1"/>
  <c r="CQ19" i="28" s="1"/>
  <c r="CR16" i="28"/>
  <c r="CR17" i="28" l="1"/>
  <c r="CR18" i="28" s="1"/>
  <c r="CR19" i="28" s="1"/>
  <c r="CS16" i="28"/>
  <c r="CT16" i="28" l="1"/>
  <c r="CS17" i="28"/>
  <c r="CS18" i="28" s="1"/>
  <c r="CS19" i="28" s="1"/>
  <c r="CU16" i="28" l="1"/>
  <c r="CT17" i="28"/>
  <c r="CT18" i="28" s="1"/>
  <c r="CT19" i="28" s="1"/>
  <c r="CV16" i="28" l="1"/>
  <c r="CU17" i="28"/>
  <c r="CU18" i="28" s="1"/>
  <c r="CU19" i="28" s="1"/>
  <c r="CV17" i="28" l="1"/>
  <c r="CV18" i="28" s="1"/>
  <c r="CV19" i="28" s="1"/>
  <c r="CW16" i="28"/>
  <c r="CX16" i="28" l="1"/>
  <c r="CW17" i="28"/>
  <c r="CW18" i="28" s="1"/>
  <c r="CW19" i="28" s="1"/>
  <c r="CX17" i="28" l="1"/>
  <c r="CX18" i="28" s="1"/>
  <c r="CX19" i="28" s="1"/>
  <c r="CY16" i="28"/>
  <c r="CZ16" i="28" l="1"/>
  <c r="CY17" i="28"/>
  <c r="CY18" i="28" s="1"/>
  <c r="CY19" i="28" s="1"/>
  <c r="CZ17" i="28" l="1"/>
  <c r="CZ18" i="28" s="1"/>
  <c r="CZ19" i="28" s="1"/>
  <c r="DA16" i="28"/>
  <c r="DB16" i="28" l="1"/>
  <c r="DA17" i="28"/>
  <c r="DA18" i="28" s="1"/>
  <c r="DA19" i="28" s="1"/>
  <c r="DC16" i="28" l="1"/>
  <c r="DB17" i="28"/>
  <c r="DB18" i="28" s="1"/>
  <c r="DB19" i="28" s="1"/>
  <c r="DC17" i="28" l="1"/>
  <c r="DC18" i="28" s="1"/>
  <c r="DC19" i="28" s="1"/>
  <c r="DD16" i="28"/>
  <c r="DE16" i="28" l="1"/>
  <c r="DD17" i="28"/>
  <c r="DD18" i="28" s="1"/>
  <c r="DD19" i="28" s="1"/>
  <c r="DF16" i="28" l="1"/>
  <c r="DE17" i="28"/>
  <c r="DE18" i="28" s="1"/>
  <c r="DE19" i="28" s="1"/>
  <c r="DF17" i="28" l="1"/>
  <c r="DF18" i="28" s="1"/>
  <c r="DF19" i="28" s="1"/>
  <c r="DG16" i="28"/>
  <c r="DH16" i="28" l="1"/>
  <c r="DG17" i="28"/>
  <c r="DG18" i="28" s="1"/>
  <c r="DG19" i="28" s="1"/>
  <c r="DH17" i="28" l="1"/>
  <c r="DH18" i="28" s="1"/>
  <c r="DH19" i="28" s="1"/>
  <c r="DI16" i="28"/>
  <c r="DJ16" i="28" l="1"/>
  <c r="DI17" i="28"/>
  <c r="DI18" i="28" s="1"/>
  <c r="DI19" i="28" s="1"/>
  <c r="DK16" i="28" l="1"/>
  <c r="DK17" i="28" s="1"/>
  <c r="DK18" i="28" s="1"/>
  <c r="DK19" i="28" s="1"/>
  <c r="DJ17" i="28"/>
  <c r="DJ18" i="28" s="1"/>
  <c r="DJ19" i="28" s="1"/>
</calcChain>
</file>

<file path=xl/sharedStrings.xml><?xml version="1.0" encoding="utf-8"?>
<sst xmlns="http://schemas.openxmlformats.org/spreadsheetml/2006/main" count="210" uniqueCount="121">
  <si>
    <t>cm</t>
  </si>
  <si>
    <t>cm/yr</t>
  </si>
  <si>
    <t>cm/hr</t>
  </si>
  <si>
    <t>log L/kg</t>
  </si>
  <si>
    <t>ug/L</t>
  </si>
  <si>
    <t>ug/kg</t>
  </si>
  <si>
    <t>Sediment Properties</t>
  </si>
  <si>
    <t>Cap Properties</t>
  </si>
  <si>
    <r>
      <t xml:space="preserve">Cap Effective Depth, </t>
    </r>
    <r>
      <rPr>
        <i/>
        <sz val="10"/>
        <rFont val="Arial"/>
        <family val="2"/>
      </rPr>
      <t>h</t>
    </r>
    <r>
      <rPr>
        <i/>
        <vertAlign val="subscript"/>
        <sz val="10"/>
        <rFont val="Arial"/>
        <family val="2"/>
      </rPr>
      <t>eff</t>
    </r>
  </si>
  <si>
    <r>
      <t xml:space="preserve">Dispersivity, </t>
    </r>
    <r>
      <rPr>
        <i/>
        <sz val="10"/>
        <rFont val="Arial"/>
        <family val="2"/>
      </rPr>
      <t>α</t>
    </r>
  </si>
  <si>
    <t>Output</t>
  </si>
  <si>
    <t>STEADY-STATE CAP DESIGN MODEL</t>
  </si>
  <si>
    <r>
      <t xml:space="preserve">Fraction organic carbon at depth of interest, </t>
    </r>
    <r>
      <rPr>
        <i/>
        <sz val="10"/>
        <rFont val="Arial"/>
        <family val="2"/>
      </rPr>
      <t>f</t>
    </r>
    <r>
      <rPr>
        <i/>
        <vertAlign val="subscript"/>
        <sz val="10"/>
        <rFont val="Arial"/>
        <family val="2"/>
      </rPr>
      <t>oc</t>
    </r>
    <r>
      <rPr>
        <i/>
        <sz val="10"/>
        <rFont val="Arial"/>
        <family val="2"/>
      </rPr>
      <t>(z)</t>
    </r>
  </si>
  <si>
    <r>
      <t xml:space="preserve">Pore Water Concentration at Depth, </t>
    </r>
    <r>
      <rPr>
        <i/>
        <sz val="10"/>
        <rFont val="Arial"/>
        <family val="2"/>
      </rPr>
      <t>C(z)</t>
    </r>
  </si>
  <si>
    <r>
      <t xml:space="preserve">Loading at Depth, </t>
    </r>
    <r>
      <rPr>
        <i/>
        <sz val="10"/>
        <rFont val="Arial"/>
        <family val="2"/>
      </rPr>
      <t>W(z)</t>
    </r>
  </si>
  <si>
    <r>
      <t>Flux to Overlying Water Column,</t>
    </r>
    <r>
      <rPr>
        <i/>
        <sz val="10"/>
        <rFont val="Arial"/>
        <family val="2"/>
      </rPr>
      <t xml:space="preserve"> J</t>
    </r>
  </si>
  <si>
    <r>
      <t>Contaminant Pore Water Concentration, C</t>
    </r>
    <r>
      <rPr>
        <i/>
        <vertAlign val="subscript"/>
        <sz val="10"/>
        <rFont val="Arial"/>
        <family val="2"/>
      </rPr>
      <t>0</t>
    </r>
  </si>
  <si>
    <r>
      <t xml:space="preserve">Depth of Interest, </t>
    </r>
    <r>
      <rPr>
        <i/>
        <sz val="10"/>
        <rFont val="Arial"/>
        <family val="2"/>
      </rPr>
      <t>z</t>
    </r>
  </si>
  <si>
    <r>
      <t xml:space="preserve">Organic Carbon Partition Coefficient, log </t>
    </r>
    <r>
      <rPr>
        <i/>
        <sz val="10"/>
        <rFont val="Arial"/>
        <family val="2"/>
      </rPr>
      <t>K</t>
    </r>
    <r>
      <rPr>
        <i/>
        <vertAlign val="subscript"/>
        <sz val="10"/>
        <rFont val="Arial"/>
        <family val="2"/>
      </rPr>
      <t>oc</t>
    </r>
  </si>
  <si>
    <r>
      <t xml:space="preserve">Water Diffusivity, </t>
    </r>
    <r>
      <rPr>
        <i/>
        <sz val="10"/>
        <rFont val="Arial"/>
        <family val="2"/>
      </rPr>
      <t>D</t>
    </r>
    <r>
      <rPr>
        <i/>
        <vertAlign val="subscript"/>
        <sz val="10"/>
        <rFont val="Arial"/>
        <family val="2"/>
      </rPr>
      <t>w</t>
    </r>
  </si>
  <si>
    <r>
      <t xml:space="preserve">Porosity, </t>
    </r>
    <r>
      <rPr>
        <sz val="10"/>
        <rFont val="Symbol"/>
        <family val="1"/>
        <charset val="2"/>
      </rPr>
      <t>e</t>
    </r>
  </si>
  <si>
    <r>
      <t xml:space="preserve">Particle Density, </t>
    </r>
    <r>
      <rPr>
        <i/>
        <sz val="10"/>
        <rFont val="Times New Roman"/>
        <family val="1"/>
      </rPr>
      <t>ρ</t>
    </r>
    <r>
      <rPr>
        <i/>
        <vertAlign val="subscript"/>
        <sz val="10"/>
        <rFont val="Arial"/>
        <family val="2"/>
      </rPr>
      <t>P</t>
    </r>
  </si>
  <si>
    <r>
      <t xml:space="preserve">Pore Water Biodiffusion Coefficient, </t>
    </r>
    <r>
      <rPr>
        <i/>
        <sz val="10"/>
        <rFont val="Arial"/>
        <family val="2"/>
      </rPr>
      <t>D</t>
    </r>
    <r>
      <rPr>
        <i/>
        <vertAlign val="subscript"/>
        <sz val="10"/>
        <rFont val="Arial"/>
        <family val="2"/>
      </rPr>
      <t>bio</t>
    </r>
    <r>
      <rPr>
        <i/>
        <vertAlign val="superscript"/>
        <sz val="10"/>
        <rFont val="Arial"/>
        <family val="2"/>
      </rPr>
      <t>pw</t>
    </r>
  </si>
  <si>
    <r>
      <t xml:space="preserve">Particle Biodiffusion Coefficient, </t>
    </r>
    <r>
      <rPr>
        <i/>
        <sz val="10"/>
        <rFont val="Arial"/>
        <family val="2"/>
      </rPr>
      <t>D</t>
    </r>
    <r>
      <rPr>
        <i/>
        <vertAlign val="subscript"/>
        <sz val="10"/>
        <rFont val="Arial"/>
        <family val="2"/>
      </rPr>
      <t>bio</t>
    </r>
    <r>
      <rPr>
        <i/>
        <vertAlign val="superscript"/>
        <sz val="10"/>
        <rFont val="Arial"/>
        <family val="2"/>
      </rPr>
      <t xml:space="preserve">p </t>
    </r>
  </si>
  <si>
    <r>
      <t xml:space="preserve">Cap Decay Rate, </t>
    </r>
    <r>
      <rPr>
        <i/>
        <sz val="10"/>
        <rFont val="Symbol"/>
        <family val="1"/>
        <charset val="2"/>
      </rPr>
      <t>l</t>
    </r>
    <r>
      <rPr>
        <i/>
        <vertAlign val="subscript"/>
        <sz val="10"/>
        <rFont val="Symbol"/>
        <family val="1"/>
        <charset val="2"/>
      </rPr>
      <t>1</t>
    </r>
  </si>
  <si>
    <r>
      <t xml:space="preserve">Bioturbation Layer Decay Rate, </t>
    </r>
    <r>
      <rPr>
        <i/>
        <sz val="10"/>
        <rFont val="Symbol"/>
        <family val="1"/>
        <charset val="2"/>
      </rPr>
      <t>l</t>
    </r>
    <r>
      <rPr>
        <i/>
        <vertAlign val="subscript"/>
        <sz val="10"/>
        <rFont val="Symbol"/>
        <family val="1"/>
        <charset val="2"/>
      </rPr>
      <t>2</t>
    </r>
  </si>
  <si>
    <t>Other Parameters</t>
  </si>
  <si>
    <r>
      <t xml:space="preserve">Effective Cap Layer Diffusion/Dispersion Coeff., </t>
    </r>
    <r>
      <rPr>
        <i/>
        <sz val="10"/>
        <rFont val="Arial"/>
        <family val="2"/>
      </rPr>
      <t>D</t>
    </r>
    <r>
      <rPr>
        <i/>
        <vertAlign val="subscript"/>
        <sz val="10"/>
        <rFont val="Arial"/>
        <family val="2"/>
      </rPr>
      <t>1</t>
    </r>
  </si>
  <si>
    <r>
      <t xml:space="preserve">Bioturbation Layer Diffusion/Dispersion Coeff., </t>
    </r>
    <r>
      <rPr>
        <i/>
        <sz val="10"/>
        <rFont val="Arial"/>
        <family val="2"/>
      </rPr>
      <t>D</t>
    </r>
    <r>
      <rPr>
        <i/>
        <vertAlign val="subscript"/>
        <sz val="10"/>
        <rFont val="Arial"/>
        <family val="2"/>
      </rPr>
      <t>2</t>
    </r>
  </si>
  <si>
    <r>
      <t>Average Bioturbation Layer Loading, (</t>
    </r>
    <r>
      <rPr>
        <i/>
        <sz val="10"/>
        <rFont val="Arial"/>
        <family val="2"/>
      </rPr>
      <t>W</t>
    </r>
    <r>
      <rPr>
        <i/>
        <vertAlign val="subscript"/>
        <sz val="10"/>
        <rFont val="Arial"/>
        <family val="2"/>
      </rPr>
      <t>bio</t>
    </r>
    <r>
      <rPr>
        <i/>
        <sz val="10"/>
        <rFont val="Arial"/>
        <family val="2"/>
      </rPr>
      <t>)</t>
    </r>
    <r>
      <rPr>
        <i/>
        <vertAlign val="subscript"/>
        <sz val="10"/>
        <rFont val="Arial"/>
        <family val="2"/>
      </rPr>
      <t>avg</t>
    </r>
  </si>
  <si>
    <t>Dimensionless Parameters</t>
  </si>
  <si>
    <t>yr</t>
  </si>
  <si>
    <t>Parameters</t>
  </si>
  <si>
    <t>u</t>
  </si>
  <si>
    <t>create an array of concentration profiles.</t>
  </si>
  <si>
    <r>
      <t xml:space="preserve">Boundary Layer Mass Transfer Coefficient, </t>
    </r>
    <r>
      <rPr>
        <i/>
        <sz val="10"/>
        <rFont val="Arial"/>
        <family val="2"/>
      </rPr>
      <t>k</t>
    </r>
    <r>
      <rPr>
        <i/>
        <vertAlign val="subscript"/>
        <sz val="10"/>
        <rFont val="Arial"/>
        <family val="2"/>
      </rPr>
      <t>bl</t>
    </r>
  </si>
  <si>
    <t xml:space="preserve">Contaminant </t>
  </si>
  <si>
    <r>
      <t>Biological Active Zone fraction organic carbon, (</t>
    </r>
    <r>
      <rPr>
        <i/>
        <sz val="10"/>
        <rFont val="Arial"/>
        <family val="2"/>
      </rPr>
      <t>f</t>
    </r>
    <r>
      <rPr>
        <i/>
        <vertAlign val="subscript"/>
        <sz val="10"/>
        <rFont val="Arial"/>
        <family val="2"/>
      </rPr>
      <t>oc</t>
    </r>
    <r>
      <rPr>
        <i/>
        <sz val="10"/>
        <rFont val="Arial"/>
        <family val="2"/>
      </rPr>
      <t>)</t>
    </r>
    <r>
      <rPr>
        <i/>
        <vertAlign val="subscript"/>
        <sz val="10"/>
        <rFont val="Arial"/>
        <family val="2"/>
      </rPr>
      <t>bio</t>
    </r>
  </si>
  <si>
    <r>
      <t xml:space="preserve">fraction organic carbon, </t>
    </r>
    <r>
      <rPr>
        <i/>
        <sz val="10"/>
        <rFont val="Arial"/>
        <family val="2"/>
      </rPr>
      <t>(f</t>
    </r>
    <r>
      <rPr>
        <i/>
        <vertAlign val="subscript"/>
        <sz val="10"/>
        <rFont val="Arial"/>
        <family val="2"/>
      </rPr>
      <t>oc</t>
    </r>
    <r>
      <rPr>
        <i/>
        <sz val="10"/>
        <rFont val="Arial"/>
        <family val="2"/>
      </rPr>
      <t>)</t>
    </r>
    <r>
      <rPr>
        <i/>
        <vertAlign val="subscript"/>
        <sz val="10"/>
        <rFont val="Arial"/>
        <family val="2"/>
      </rPr>
      <t>eff</t>
    </r>
  </si>
  <si>
    <r>
      <t xml:space="preserve">Containment Layer Retardation Factor, </t>
    </r>
    <r>
      <rPr>
        <i/>
        <sz val="10"/>
        <rFont val="Arial"/>
        <family val="2"/>
      </rPr>
      <t>R</t>
    </r>
    <r>
      <rPr>
        <i/>
        <vertAlign val="subscript"/>
        <sz val="10"/>
        <rFont val="Arial"/>
        <family val="2"/>
      </rPr>
      <t>1</t>
    </r>
  </si>
  <si>
    <r>
      <t xml:space="preserve">Colloidal Organic Carbon Partition Coefficient, log </t>
    </r>
    <r>
      <rPr>
        <i/>
        <sz val="10"/>
        <rFont val="Arial"/>
        <family val="2"/>
      </rPr>
      <t>K</t>
    </r>
    <r>
      <rPr>
        <i/>
        <vertAlign val="subscript"/>
        <sz val="10"/>
        <rFont val="Arial"/>
        <family val="2"/>
      </rPr>
      <t>DOC</t>
    </r>
  </si>
  <si>
    <t>Contaminant Properties</t>
  </si>
  <si>
    <r>
      <t xml:space="preserve">Bioturbation Layer Thickness, </t>
    </r>
    <r>
      <rPr>
        <i/>
        <sz val="10"/>
        <rFont val="Arial"/>
        <family val="2"/>
      </rPr>
      <t>h</t>
    </r>
    <r>
      <rPr>
        <i/>
        <vertAlign val="subscript"/>
        <sz val="10"/>
        <rFont val="Arial"/>
        <family val="2"/>
      </rPr>
      <t>bio</t>
    </r>
  </si>
  <si>
    <r>
      <t xml:space="preserve">Colloidal Organic Carbon Concentration, </t>
    </r>
    <r>
      <rPr>
        <i/>
        <sz val="10"/>
        <rFont val="Symbol"/>
        <family val="1"/>
        <charset val="2"/>
      </rPr>
      <t>r</t>
    </r>
    <r>
      <rPr>
        <i/>
        <vertAlign val="subscript"/>
        <sz val="10"/>
        <rFont val="Arial"/>
        <family val="2"/>
      </rPr>
      <t>DOC</t>
    </r>
  </si>
  <si>
    <t>mg/L</t>
  </si>
  <si>
    <r>
      <t xml:space="preserve">Bioturbation Layer Retardation Factor, </t>
    </r>
    <r>
      <rPr>
        <i/>
        <sz val="10"/>
        <rFont val="Arial"/>
        <family val="2"/>
      </rPr>
      <t>R</t>
    </r>
    <r>
      <rPr>
        <i/>
        <vertAlign val="subscript"/>
        <sz val="10"/>
        <rFont val="Arial"/>
        <family val="2"/>
      </rPr>
      <t>2</t>
    </r>
  </si>
  <si>
    <t>z/hcap</t>
  </si>
  <si>
    <t>STEADY-STATE CAP DESIGN MODEL -- Array/Multiple Contaminant Worksheet</t>
  </si>
  <si>
    <t>Pe</t>
  </si>
  <si>
    <t>Da</t>
  </si>
  <si>
    <t>tau</t>
  </si>
  <si>
    <t>time</t>
  </si>
  <si>
    <t>Dimensionless Calculations</t>
  </si>
  <si>
    <t>zeta</t>
  </si>
  <si>
    <t>Concentration Profiles</t>
  </si>
  <si>
    <t>depth</t>
  </si>
  <si>
    <t>Model Equations</t>
  </si>
  <si>
    <r>
      <t>Effective Cap Layer Peclet No.,</t>
    </r>
    <r>
      <rPr>
        <i/>
        <sz val="10"/>
        <rFont val="Arial"/>
        <family val="2"/>
      </rPr>
      <t xml:space="preserve"> Pe</t>
    </r>
    <r>
      <rPr>
        <i/>
        <vertAlign val="subscript"/>
        <sz val="10"/>
        <rFont val="Arial"/>
        <family val="2"/>
      </rPr>
      <t>1</t>
    </r>
  </si>
  <si>
    <r>
      <t xml:space="preserve">Effective Cap Layer Damkohler No., </t>
    </r>
    <r>
      <rPr>
        <i/>
        <sz val="10"/>
        <rFont val="Arial"/>
        <family val="2"/>
      </rPr>
      <t>Da</t>
    </r>
    <r>
      <rPr>
        <i/>
        <vertAlign val="subscript"/>
        <sz val="10"/>
        <rFont val="Arial"/>
        <family val="2"/>
      </rPr>
      <t>1</t>
    </r>
  </si>
  <si>
    <r>
      <t xml:space="preserve">Bioturbation Layer Peclet No., </t>
    </r>
    <r>
      <rPr>
        <i/>
        <sz val="10"/>
        <rFont val="Arial"/>
        <family val="2"/>
      </rPr>
      <t>Pe</t>
    </r>
    <r>
      <rPr>
        <i/>
        <vertAlign val="subscript"/>
        <sz val="10"/>
        <rFont val="Arial"/>
        <family val="2"/>
      </rPr>
      <t>2</t>
    </r>
  </si>
  <si>
    <r>
      <t xml:space="preserve">Bioturbation Layer Damkohler No., </t>
    </r>
    <r>
      <rPr>
        <i/>
        <sz val="10"/>
        <rFont val="Arial"/>
        <family val="2"/>
      </rPr>
      <t>Da</t>
    </r>
    <r>
      <rPr>
        <i/>
        <vertAlign val="subscript"/>
        <sz val="10"/>
        <rFont val="Arial"/>
        <family val="2"/>
      </rPr>
      <t>2</t>
    </r>
  </si>
  <si>
    <r>
      <t>g</t>
    </r>
    <r>
      <rPr>
        <i/>
        <sz val="10"/>
        <rFont val="Arial"/>
        <family val="2"/>
      </rPr>
      <t xml:space="preserve"> </t>
    </r>
    <r>
      <rPr>
        <sz val="10"/>
        <rFont val="Arial"/>
        <family val="2"/>
      </rPr>
      <t>= SQRT(</t>
    </r>
    <r>
      <rPr>
        <i/>
        <sz val="10"/>
        <rFont val="Arial"/>
        <family val="2"/>
      </rPr>
      <t>Pe</t>
    </r>
    <r>
      <rPr>
        <i/>
        <vertAlign val="subscript"/>
        <sz val="10"/>
        <rFont val="Arial"/>
        <family val="2"/>
      </rPr>
      <t>1</t>
    </r>
    <r>
      <rPr>
        <i/>
        <vertAlign val="superscript"/>
        <sz val="10"/>
        <rFont val="Arial"/>
        <family val="2"/>
      </rPr>
      <t>2</t>
    </r>
    <r>
      <rPr>
        <sz val="10"/>
        <rFont val="Arial"/>
        <family val="2"/>
      </rPr>
      <t>/4+</t>
    </r>
    <r>
      <rPr>
        <i/>
        <sz val="10"/>
        <rFont val="Arial"/>
        <family val="2"/>
      </rPr>
      <t>Da</t>
    </r>
    <r>
      <rPr>
        <sz val="10"/>
        <rFont val="Arial"/>
        <family val="2"/>
      </rPr>
      <t>)</t>
    </r>
  </si>
  <si>
    <r>
      <t>b</t>
    </r>
    <r>
      <rPr>
        <i/>
        <sz val="10"/>
        <rFont val="Arial"/>
        <family val="2"/>
      </rPr>
      <t xml:space="preserve"> = </t>
    </r>
    <r>
      <rPr>
        <sz val="10"/>
        <rFont val="Arial"/>
        <family val="2"/>
      </rPr>
      <t>SQRT(</t>
    </r>
    <r>
      <rPr>
        <i/>
        <sz val="10"/>
        <rFont val="Arial"/>
        <family val="2"/>
      </rPr>
      <t>Pe</t>
    </r>
    <r>
      <rPr>
        <i/>
        <vertAlign val="subscript"/>
        <sz val="10"/>
        <rFont val="Arial"/>
        <family val="2"/>
      </rPr>
      <t>1</t>
    </r>
    <r>
      <rPr>
        <vertAlign val="superscript"/>
        <sz val="10"/>
        <rFont val="Arial"/>
        <family val="2"/>
      </rPr>
      <t>2</t>
    </r>
    <r>
      <rPr>
        <sz val="10"/>
        <rFont val="Arial"/>
        <family val="2"/>
      </rPr>
      <t>/4+</t>
    </r>
    <r>
      <rPr>
        <i/>
        <sz val="10"/>
        <rFont val="Arial"/>
        <family val="2"/>
      </rPr>
      <t>Da</t>
    </r>
    <r>
      <rPr>
        <sz val="10"/>
        <rFont val="Arial"/>
        <family val="2"/>
      </rPr>
      <t>)</t>
    </r>
  </si>
  <si>
    <r>
      <t xml:space="preserve">Sherwood Number at Interface, </t>
    </r>
    <r>
      <rPr>
        <i/>
        <sz val="10"/>
        <rFont val="Arial"/>
        <family val="2"/>
      </rPr>
      <t>Sh</t>
    </r>
  </si>
  <si>
    <r>
      <t>t</t>
    </r>
    <r>
      <rPr>
        <i/>
        <vertAlign val="subscript"/>
        <sz val="10"/>
        <rFont val="Arial"/>
        <family val="2"/>
      </rPr>
      <t>avd/diff</t>
    </r>
  </si>
  <si>
    <r>
      <t xml:space="preserve">Characteristic Advection Time-cap layer, </t>
    </r>
    <r>
      <rPr>
        <i/>
        <sz val="10"/>
        <rFont val="Arial"/>
        <family val="2"/>
      </rPr>
      <t>t</t>
    </r>
    <r>
      <rPr>
        <i/>
        <vertAlign val="subscript"/>
        <sz val="10"/>
        <rFont val="Arial"/>
        <family val="2"/>
      </rPr>
      <t>adv</t>
    </r>
  </si>
  <si>
    <r>
      <t xml:space="preserve">Characteristic Diffusion Time-cap layer, </t>
    </r>
    <r>
      <rPr>
        <i/>
        <sz val="10"/>
        <rFont val="Arial"/>
        <family val="2"/>
      </rPr>
      <t>t</t>
    </r>
    <r>
      <rPr>
        <i/>
        <vertAlign val="subscript"/>
        <sz val="10"/>
        <rFont val="Arial"/>
        <family val="2"/>
      </rPr>
      <t>diff</t>
    </r>
  </si>
  <si>
    <r>
      <t xml:space="preserve">Characteristic Reaction Time-cap layer, </t>
    </r>
    <r>
      <rPr>
        <i/>
        <sz val="10"/>
        <rFont val="Arial"/>
        <family val="2"/>
      </rPr>
      <t>t</t>
    </r>
    <r>
      <rPr>
        <i/>
        <vertAlign val="subscript"/>
        <sz val="10"/>
        <rFont val="Arial"/>
        <family val="2"/>
      </rPr>
      <t>decay</t>
    </r>
  </si>
  <si>
    <r>
      <t xml:space="preserve">Effective Advective Velocity, </t>
    </r>
    <r>
      <rPr>
        <i/>
        <sz val="10"/>
        <rFont val="Arial"/>
        <family val="2"/>
      </rPr>
      <t>U</t>
    </r>
  </si>
  <si>
    <t>*Van Genuchten, M.T.  1981. “Analytical solutions for chemical transport with simultaneous adsorption,
zero order production and first order decay.” Journal of Hydrology, 49(3):213-233.</t>
  </si>
  <si>
    <t>TRANSIENT MODEL</t>
  </si>
  <si>
    <t>from Van Genchten 1981*</t>
  </si>
  <si>
    <r>
      <t>Instructions:</t>
    </r>
    <r>
      <rPr>
        <sz val="10"/>
        <rFont val="Arial"/>
        <family val="2"/>
      </rPr>
      <t xml:space="preserve"> The values in the "Parameter" Cells are linked to those on the "Steady State Conditions"</t>
    </r>
  </si>
  <si>
    <t>Model Equations:</t>
  </si>
  <si>
    <r>
      <t>Instructions:</t>
    </r>
    <r>
      <rPr>
        <sz val="10"/>
        <rFont val="Arial"/>
        <family val="2"/>
      </rPr>
      <t xml:space="preserve"> Copy column "C" to create multiple solution rows; then change the parameters/chemical of interest. </t>
    </r>
  </si>
  <si>
    <r>
      <t>Cap-Bioturbation Interface Concentration,</t>
    </r>
    <r>
      <rPr>
        <i/>
        <sz val="10"/>
        <rFont val="Arial"/>
        <family val="2"/>
      </rPr>
      <t xml:space="preserve"> C</t>
    </r>
    <r>
      <rPr>
        <i/>
        <vertAlign val="subscript"/>
        <sz val="10"/>
        <rFont val="Arial"/>
        <family val="2"/>
      </rPr>
      <t>bio</t>
    </r>
    <r>
      <rPr>
        <i/>
        <sz val="10"/>
        <rFont val="Arial"/>
        <family val="2"/>
      </rPr>
      <t>/C</t>
    </r>
    <r>
      <rPr>
        <i/>
        <vertAlign val="subscript"/>
        <sz val="10"/>
        <rFont val="Arial"/>
        <family val="2"/>
      </rPr>
      <t xml:space="preserve">0, </t>
    </r>
    <r>
      <rPr>
        <i/>
        <sz val="10"/>
        <rFont val="Arial"/>
        <family val="2"/>
      </rPr>
      <t xml:space="preserve"> C</t>
    </r>
    <r>
      <rPr>
        <i/>
        <vertAlign val="subscript"/>
        <sz val="10"/>
        <rFont val="Arial"/>
        <family val="2"/>
      </rPr>
      <t>bio</t>
    </r>
  </si>
  <si>
    <r>
      <t>Cap-Water Interface Concentration,</t>
    </r>
    <r>
      <rPr>
        <i/>
        <sz val="10"/>
        <rFont val="Arial"/>
        <family val="2"/>
      </rPr>
      <t xml:space="preserve"> C</t>
    </r>
    <r>
      <rPr>
        <i/>
        <vertAlign val="subscript"/>
        <sz val="10"/>
        <rFont val="Arial"/>
        <family val="2"/>
      </rPr>
      <t>bl</t>
    </r>
    <r>
      <rPr>
        <i/>
        <sz val="10"/>
        <rFont val="Arial"/>
        <family val="2"/>
      </rPr>
      <t>/C</t>
    </r>
    <r>
      <rPr>
        <i/>
        <vertAlign val="subscript"/>
        <sz val="10"/>
        <rFont val="Arial"/>
        <family val="2"/>
      </rPr>
      <t>0,</t>
    </r>
    <r>
      <rPr>
        <i/>
        <sz val="10"/>
        <rFont val="Arial"/>
        <family val="2"/>
      </rPr>
      <t>C</t>
    </r>
    <r>
      <rPr>
        <i/>
        <vertAlign val="subscript"/>
        <sz val="10"/>
        <rFont val="Arial"/>
        <family val="2"/>
      </rPr>
      <t>bl</t>
    </r>
  </si>
  <si>
    <r>
      <t>Average Bioturbation Concentration,</t>
    </r>
    <r>
      <rPr>
        <i/>
        <sz val="10"/>
        <rFont val="Arial"/>
        <family val="2"/>
      </rPr>
      <t xml:space="preserve"> (C</t>
    </r>
    <r>
      <rPr>
        <i/>
        <vertAlign val="subscript"/>
        <sz val="10"/>
        <rFont val="Arial"/>
        <family val="2"/>
      </rPr>
      <t>bio</t>
    </r>
    <r>
      <rPr>
        <i/>
        <sz val="10"/>
        <rFont val="Arial"/>
        <family val="2"/>
      </rPr>
      <t>)</t>
    </r>
    <r>
      <rPr>
        <i/>
        <vertAlign val="subscript"/>
        <sz val="10"/>
        <rFont val="Arial"/>
        <family val="2"/>
      </rPr>
      <t>avg</t>
    </r>
    <r>
      <rPr>
        <i/>
        <sz val="10"/>
        <rFont val="Arial"/>
        <family val="2"/>
      </rPr>
      <t>/C</t>
    </r>
    <r>
      <rPr>
        <i/>
        <vertAlign val="subscript"/>
        <sz val="10"/>
        <rFont val="Arial"/>
        <family val="2"/>
      </rPr>
      <t>0</t>
    </r>
    <r>
      <rPr>
        <i/>
        <sz val="10"/>
        <rFont val="Arial"/>
        <family val="2"/>
      </rPr>
      <t>,  (C</t>
    </r>
    <r>
      <rPr>
        <i/>
        <vertAlign val="subscript"/>
        <sz val="10"/>
        <rFont val="Arial"/>
        <family val="2"/>
      </rPr>
      <t>bio</t>
    </r>
    <r>
      <rPr>
        <i/>
        <sz val="10"/>
        <rFont val="Arial"/>
        <family val="2"/>
      </rPr>
      <t>)</t>
    </r>
    <r>
      <rPr>
        <i/>
        <vertAlign val="subscript"/>
        <sz val="10"/>
        <rFont val="Arial"/>
        <family val="2"/>
      </rPr>
      <t>avg</t>
    </r>
  </si>
  <si>
    <t>Conventional Cap placed depth</t>
  </si>
  <si>
    <t>Cap Materials -Granular (G) or Consolidated Silty/Clay (C)</t>
  </si>
  <si>
    <t>G</t>
  </si>
  <si>
    <t>Cap consolidation depth</t>
  </si>
  <si>
    <t>Underlying sediment consolidation due to cap placement</t>
  </si>
  <si>
    <t>ss time</t>
  </si>
  <si>
    <r>
      <t xml:space="preserve">Darcy Velocity, </t>
    </r>
    <r>
      <rPr>
        <i/>
        <sz val="10"/>
        <rFont val="Arial"/>
        <family val="2"/>
      </rPr>
      <t>V (</t>
    </r>
    <r>
      <rPr>
        <sz val="10"/>
        <rFont val="Arial"/>
        <family val="2"/>
      </rPr>
      <t>positive is upwelling)</t>
    </r>
  </si>
  <si>
    <t>PHE</t>
  </si>
  <si>
    <r>
      <t xml:space="preserve">Characteristic Time to~1% of steady state, </t>
    </r>
    <r>
      <rPr>
        <i/>
        <sz val="10"/>
        <rFont val="Arial"/>
        <family val="2"/>
      </rPr>
      <t>t</t>
    </r>
    <r>
      <rPr>
        <i/>
        <vertAlign val="subscript"/>
        <sz val="10"/>
        <rFont val="Arial"/>
        <family val="2"/>
      </rPr>
      <t>adv/diff</t>
    </r>
  </si>
  <si>
    <r>
      <t xml:space="preserve">Depositional Velocity, </t>
    </r>
    <r>
      <rPr>
        <i/>
        <sz val="10"/>
        <rFont val="Arial"/>
        <family val="2"/>
      </rPr>
      <t>V</t>
    </r>
    <r>
      <rPr>
        <i/>
        <vertAlign val="subscript"/>
        <sz val="10"/>
        <rFont val="Arial"/>
        <family val="2"/>
      </rPr>
      <t xml:space="preserve">dep </t>
    </r>
    <r>
      <rPr>
        <i/>
        <sz val="10"/>
        <rFont val="Arial"/>
        <family val="2"/>
      </rPr>
      <t>(positive is deposition of sediments)</t>
    </r>
  </si>
  <si>
    <t>from Lampert and  Reible (2009)*</t>
  </si>
  <si>
    <r>
      <t>Instructions:</t>
    </r>
    <r>
      <rPr>
        <sz val="10"/>
        <rFont val="Arial"/>
        <family val="2"/>
      </rPr>
      <t xml:space="preserve"> This spreadsheet determines concentrations and fluxes in a sediment cap at steady-state, assuming advection, diffusion, dispersion, bioturbation, deposition/erosion, sorption onto colloidal organic matter, and boundary layer mass transfer.  The deposition velocity is negative in the case of erosion, and is assumed to be constant and to have minimal effect on the thickness of the cap.  The cells in </t>
    </r>
    <r>
      <rPr>
        <sz val="10"/>
        <color indexed="17"/>
        <rFont val="Arial"/>
        <family val="2"/>
      </rPr>
      <t>GREEN</t>
    </r>
    <r>
      <rPr>
        <sz val="10"/>
        <rFont val="Arial"/>
        <family val="2"/>
      </rPr>
      <t xml:space="preserve"> are input cells; these can be changed for the design of interest.  Cells in </t>
    </r>
    <r>
      <rPr>
        <sz val="10"/>
        <color indexed="52"/>
        <rFont val="Arial"/>
        <family val="2"/>
      </rPr>
      <t>YELLOW</t>
    </r>
    <r>
      <rPr>
        <sz val="10"/>
        <rFont val="Arial"/>
        <family val="2"/>
      </rPr>
      <t xml:space="preserve"> are commonly used parameter estimates. These can be changed but note that physically unrealistic parameter values may result.  A second worksheet calculates the transient profiles for a semi-infinite case.  </t>
    </r>
    <r>
      <rPr>
        <sz val="10"/>
        <color indexed="10"/>
        <rFont val="Arial"/>
        <family val="2"/>
      </rPr>
      <t>DO NOT CHANGE THE CELLS IN RED</t>
    </r>
    <r>
      <rPr>
        <sz val="10"/>
        <rFont val="Arial"/>
        <family val="2"/>
      </rPr>
      <t xml:space="preserve"> (or the spreadsheet will not function properly).  These are calculated values for model outputs.  The third worksheet title "array" allows the user to create an array of outputs for a given input (e.g., to study different compounds for a given site).</t>
    </r>
  </si>
  <si>
    <t>Commonly Used Parameter Estimates</t>
  </si>
  <si>
    <r>
      <t>Cap final thickness,</t>
    </r>
    <r>
      <rPr>
        <i/>
        <sz val="10"/>
        <rFont val="Arial"/>
        <family val="2"/>
      </rPr>
      <t xml:space="preserve"> h</t>
    </r>
    <r>
      <rPr>
        <i/>
        <vertAlign val="subscript"/>
        <sz val="10"/>
        <rFont val="Arial"/>
        <family val="2"/>
      </rPr>
      <t>cap</t>
    </r>
  </si>
  <si>
    <r>
      <t xml:space="preserve">Octanol-water partition coefficient, log </t>
    </r>
    <r>
      <rPr>
        <i/>
        <sz val="10"/>
        <rFont val="Arial"/>
        <family val="2"/>
      </rPr>
      <t>K</t>
    </r>
    <r>
      <rPr>
        <i/>
        <vertAlign val="subscript"/>
        <sz val="10"/>
        <rFont val="Arial"/>
        <family val="2"/>
      </rPr>
      <t>ow</t>
    </r>
  </si>
  <si>
    <r>
      <t xml:space="preserve">Depositional Velocity, </t>
    </r>
    <r>
      <rPr>
        <i/>
        <sz val="10"/>
        <rFont val="Arial"/>
        <family val="2"/>
      </rPr>
      <t>V</t>
    </r>
    <r>
      <rPr>
        <i/>
        <vertAlign val="subscript"/>
        <sz val="10"/>
        <rFont val="Arial"/>
        <family val="2"/>
      </rPr>
      <t>dep</t>
    </r>
  </si>
  <si>
    <t>Cap Materials -Granular (G) or Consolidated (C)</t>
  </si>
  <si>
    <t>Underlying sediment consolidation</t>
  </si>
  <si>
    <r>
      <t>g</t>
    </r>
    <r>
      <rPr>
        <i/>
        <sz val="10"/>
        <rFont val="Arial"/>
        <family val="2"/>
      </rPr>
      <t xml:space="preserve"> </t>
    </r>
    <r>
      <rPr>
        <sz val="10"/>
        <rFont val="Arial"/>
        <family val="2"/>
      </rPr>
      <t>= SQRT(</t>
    </r>
    <r>
      <rPr>
        <i/>
        <sz val="10"/>
        <rFont val="Arial"/>
        <family val="2"/>
      </rPr>
      <t>Pe</t>
    </r>
    <r>
      <rPr>
        <i/>
        <vertAlign val="subscript"/>
        <sz val="10"/>
        <rFont val="Arial"/>
        <family val="2"/>
      </rPr>
      <t>2</t>
    </r>
    <r>
      <rPr>
        <i/>
        <vertAlign val="superscript"/>
        <sz val="10"/>
        <rFont val="Arial"/>
        <family val="2"/>
      </rPr>
      <t>2</t>
    </r>
    <r>
      <rPr>
        <sz val="10"/>
        <rFont val="Arial"/>
        <family val="2"/>
      </rPr>
      <t>/4+</t>
    </r>
    <r>
      <rPr>
        <i/>
        <sz val="10"/>
        <rFont val="Arial"/>
        <family val="2"/>
      </rPr>
      <t>Da</t>
    </r>
    <r>
      <rPr>
        <i/>
        <vertAlign val="subscript"/>
        <sz val="10"/>
        <rFont val="Arial"/>
        <family val="2"/>
      </rPr>
      <t>2</t>
    </r>
    <r>
      <rPr>
        <sz val="10"/>
        <rFont val="Arial"/>
        <family val="2"/>
      </rPr>
      <t>)</t>
    </r>
  </si>
  <si>
    <r>
      <t>b</t>
    </r>
    <r>
      <rPr>
        <i/>
        <sz val="10"/>
        <rFont val="Arial"/>
        <family val="2"/>
      </rPr>
      <t xml:space="preserve"> = </t>
    </r>
    <r>
      <rPr>
        <sz val="10"/>
        <rFont val="Arial"/>
        <family val="2"/>
      </rPr>
      <t>SQRT(</t>
    </r>
    <r>
      <rPr>
        <i/>
        <sz val="10"/>
        <rFont val="Arial"/>
        <family val="2"/>
      </rPr>
      <t>Pe</t>
    </r>
    <r>
      <rPr>
        <i/>
        <vertAlign val="subscript"/>
        <sz val="10"/>
        <rFont val="Arial"/>
        <family val="2"/>
      </rPr>
      <t>1</t>
    </r>
    <r>
      <rPr>
        <vertAlign val="superscript"/>
        <sz val="10"/>
        <rFont val="Arial"/>
        <family val="2"/>
      </rPr>
      <t>2</t>
    </r>
    <r>
      <rPr>
        <sz val="10"/>
        <rFont val="Arial"/>
        <family val="2"/>
      </rPr>
      <t>/4+</t>
    </r>
    <r>
      <rPr>
        <i/>
        <sz val="10"/>
        <rFont val="Arial"/>
        <family val="2"/>
      </rPr>
      <t>Da</t>
    </r>
    <r>
      <rPr>
        <i/>
        <vertAlign val="subscript"/>
        <sz val="10"/>
        <rFont val="Arial"/>
        <family val="2"/>
      </rPr>
      <t>1</t>
    </r>
    <r>
      <rPr>
        <sz val="10"/>
        <rFont val="Arial"/>
        <family val="2"/>
      </rPr>
      <t>)</t>
    </r>
  </si>
  <si>
    <r>
      <t>Cap-Bioturbation Interface Concentration,</t>
    </r>
    <r>
      <rPr>
        <i/>
        <sz val="10"/>
        <rFont val="Arial"/>
        <family val="2"/>
      </rPr>
      <t xml:space="preserve"> C</t>
    </r>
    <r>
      <rPr>
        <i/>
        <vertAlign val="subscript"/>
        <sz val="10"/>
        <rFont val="Arial"/>
        <family val="2"/>
      </rPr>
      <t>bio</t>
    </r>
    <r>
      <rPr>
        <i/>
        <sz val="10"/>
        <rFont val="Arial"/>
        <family val="2"/>
      </rPr>
      <t>/C</t>
    </r>
    <r>
      <rPr>
        <i/>
        <vertAlign val="subscript"/>
        <sz val="10"/>
        <rFont val="Arial"/>
        <family val="2"/>
      </rPr>
      <t>0</t>
    </r>
    <r>
      <rPr>
        <i/>
        <sz val="10"/>
        <rFont val="Arial"/>
        <family val="2"/>
      </rPr>
      <t/>
    </r>
  </si>
  <si>
    <r>
      <t>Cap-Water Interface Concentration,</t>
    </r>
    <r>
      <rPr>
        <i/>
        <sz val="10"/>
        <rFont val="Arial"/>
        <family val="2"/>
      </rPr>
      <t xml:space="preserve"> C</t>
    </r>
    <r>
      <rPr>
        <i/>
        <vertAlign val="subscript"/>
        <sz val="10"/>
        <rFont val="Arial"/>
        <family val="2"/>
      </rPr>
      <t>bl</t>
    </r>
    <r>
      <rPr>
        <i/>
        <sz val="10"/>
        <rFont val="Arial"/>
        <family val="2"/>
      </rPr>
      <t>/C</t>
    </r>
    <r>
      <rPr>
        <i/>
        <vertAlign val="subscript"/>
        <sz val="10"/>
        <rFont val="Arial"/>
        <family val="2"/>
      </rPr>
      <t>0</t>
    </r>
  </si>
  <si>
    <t>Column "B" is linked to the front worksheet.  This example shows the effect of log Kow.</t>
  </si>
  <si>
    <r>
      <t xml:space="preserve">Characteristic Time to ~1% of pre-cap, </t>
    </r>
    <r>
      <rPr>
        <i/>
        <sz val="10"/>
        <rFont val="Arial"/>
        <family val="2"/>
      </rPr>
      <t>t</t>
    </r>
    <r>
      <rPr>
        <i/>
        <vertAlign val="subscript"/>
        <sz val="10"/>
        <rFont val="Arial"/>
        <family val="2"/>
      </rPr>
      <t>adv/diff</t>
    </r>
  </si>
  <si>
    <r>
      <t xml:space="preserve">page.  </t>
    </r>
    <r>
      <rPr>
        <sz val="10"/>
        <color indexed="10"/>
        <rFont val="Arial"/>
        <family val="2"/>
      </rPr>
      <t>DO NOT CHANGE THE CELLS IN RED</t>
    </r>
    <r>
      <rPr>
        <sz val="10"/>
        <rFont val="Arial"/>
        <family val="2"/>
      </rPr>
      <t xml:space="preserve">; feel free to change the cells with </t>
    </r>
    <r>
      <rPr>
        <sz val="10"/>
        <color indexed="17"/>
        <rFont val="Arial"/>
        <family val="2"/>
      </rPr>
      <t>GREEN</t>
    </r>
    <r>
      <rPr>
        <sz val="10"/>
        <color indexed="12"/>
        <rFont val="Arial"/>
        <family val="2"/>
      </rPr>
      <t xml:space="preserve"> </t>
    </r>
    <r>
      <rPr>
        <sz val="10"/>
        <rFont val="Arial"/>
        <family val="2"/>
      </rPr>
      <t>color to</t>
    </r>
  </si>
  <si>
    <t>*Lampert, D.J. and Reible, D.D.  2009.  “An Analytical Modeling Approach for Evaluation of Capping of Contaminated Sediments,” Soil &amp; Sediment Contamination, 2009, 18(4):470-488.</t>
  </si>
  <si>
    <r>
      <t>cm</t>
    </r>
    <r>
      <rPr>
        <vertAlign val="superscript"/>
        <sz val="10"/>
        <rFont val="Arial"/>
        <family val="2"/>
      </rPr>
      <t>2</t>
    </r>
    <r>
      <rPr>
        <sz val="10"/>
        <rFont val="Arial"/>
        <family val="2"/>
      </rPr>
      <t>/s</t>
    </r>
  </si>
  <si>
    <r>
      <t>yr</t>
    </r>
    <r>
      <rPr>
        <vertAlign val="superscript"/>
        <sz val="10"/>
        <rFont val="Arial"/>
        <family val="2"/>
      </rPr>
      <t>-1</t>
    </r>
  </si>
  <si>
    <r>
      <t>cm</t>
    </r>
    <r>
      <rPr>
        <vertAlign val="superscript"/>
        <sz val="10"/>
        <rFont val="Arial"/>
        <family val="2"/>
      </rPr>
      <t>2</t>
    </r>
    <r>
      <rPr>
        <sz val="10"/>
        <rFont val="Arial"/>
        <family val="2"/>
      </rPr>
      <t>/yr</t>
    </r>
  </si>
  <si>
    <r>
      <t>g/cm</t>
    </r>
    <r>
      <rPr>
        <vertAlign val="superscript"/>
        <sz val="10"/>
        <rFont val="Arial"/>
        <family val="2"/>
      </rPr>
      <t>3</t>
    </r>
  </si>
  <si>
    <r>
      <t>ug/m</t>
    </r>
    <r>
      <rPr>
        <vertAlign val="superscript"/>
        <sz val="10"/>
        <rFont val="Arial"/>
        <family val="2"/>
      </rPr>
      <t>2</t>
    </r>
    <r>
      <rPr>
        <sz val="10"/>
        <rFont val="Arial"/>
        <family val="2"/>
      </rPr>
      <t>/yr</t>
    </r>
  </si>
  <si>
    <r>
      <t>cm</t>
    </r>
    <r>
      <rPr>
        <vertAlign val="superscript"/>
        <sz val="10"/>
        <rFont val="Arial"/>
        <family val="2"/>
      </rPr>
      <t>2</t>
    </r>
    <r>
      <rPr>
        <sz val="10"/>
        <rFont val="Arial"/>
        <family val="2"/>
      </rPr>
      <t>/s</t>
    </r>
  </si>
  <si>
    <r>
      <t>yr</t>
    </r>
    <r>
      <rPr>
        <vertAlign val="superscript"/>
        <sz val="10"/>
        <rFont val="Arial"/>
        <family val="2"/>
      </rPr>
      <t>-1</t>
    </r>
  </si>
  <si>
    <r>
      <t>cm</t>
    </r>
    <r>
      <rPr>
        <vertAlign val="superscript"/>
        <sz val="10"/>
        <rFont val="Arial"/>
        <family val="2"/>
      </rPr>
      <t>2</t>
    </r>
    <r>
      <rPr>
        <sz val="10"/>
        <rFont val="Arial"/>
        <family val="2"/>
      </rPr>
      <t>/yr</t>
    </r>
  </si>
  <si>
    <r>
      <t>g/cm</t>
    </r>
    <r>
      <rPr>
        <vertAlign val="superscript"/>
        <sz val="10"/>
        <rFont val="Arial"/>
        <family val="2"/>
      </rPr>
      <t>3</t>
    </r>
  </si>
  <si>
    <r>
      <t>ug/m</t>
    </r>
    <r>
      <rPr>
        <vertAlign val="superscript"/>
        <sz val="10"/>
        <rFont val="Arial"/>
        <family val="2"/>
      </rPr>
      <t>2</t>
    </r>
    <r>
      <rPr>
        <sz val="10"/>
        <rFont val="Arial"/>
        <family val="2"/>
      </rPr>
      <t>/yr</t>
    </r>
  </si>
  <si>
    <t>Inputs</t>
  </si>
  <si>
    <t>Outputs</t>
  </si>
  <si>
    <t>Estimates</t>
  </si>
  <si>
    <t>(not allowed to be less than 1 cm)</t>
  </si>
  <si>
    <t>(not allowed to be more negative than that which will offset diffusion)</t>
  </si>
  <si>
    <r>
      <t xml:space="preserve">Cap Effective thickness w/ot bioturbation layer, </t>
    </r>
    <r>
      <rPr>
        <i/>
        <sz val="10"/>
        <rFont val="Arial"/>
        <family val="2"/>
      </rPr>
      <t>h</t>
    </r>
    <r>
      <rPr>
        <i/>
        <vertAlign val="subscript"/>
        <sz val="10"/>
        <rFont val="Arial"/>
        <family val="2"/>
      </rPr>
      <t>eff</t>
    </r>
  </si>
  <si>
    <t>Version 1.19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</si>
</sst>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
    <numFmt numFmtId="166" formatCode="0.0%"/>
    <numFmt numFmtId="167" formatCode="0.000E+00"/>
    <numFmt numFmtId="168" formatCode="0.0E+00"/>
    <numFmt numFmtId="169" formatCode="0E+00"/>
    <numFmt numFmtId="170" formatCode="0.00000%"/>
  </numFmts>
  <fonts count="24" x14ac:knownFonts="1">
    <font>
      <sz val="10"/>
      <name val="Arial"/>
    </font>
    <font>
      <sz val="10"/>
      <name val="Arial"/>
      <family val="2"/>
    </font>
    <font>
      <sz val="8"/>
      <name val="Arial"/>
      <family val="2"/>
    </font>
    <font>
      <sz val="10"/>
      <name val="Arial"/>
      <family val="2"/>
    </font>
    <font>
      <b/>
      <u/>
      <sz val="10"/>
      <name val="Arial"/>
      <family val="2"/>
    </font>
    <font>
      <i/>
      <sz val="10"/>
      <name val="Arial"/>
      <family val="2"/>
    </font>
    <font>
      <i/>
      <vertAlign val="subscript"/>
      <sz val="10"/>
      <name val="Arial"/>
      <family val="2"/>
    </font>
    <font>
      <i/>
      <sz val="10"/>
      <name val="Symbol"/>
      <family val="1"/>
      <charset val="2"/>
    </font>
    <font>
      <i/>
      <sz val="10"/>
      <name val="Times New Roman"/>
      <family val="1"/>
    </font>
    <font>
      <i/>
      <vertAlign val="superscript"/>
      <sz val="10"/>
      <name val="Arial"/>
      <family val="2"/>
    </font>
    <font>
      <sz val="10"/>
      <name val="Symbol"/>
      <family val="1"/>
      <charset val="2"/>
    </font>
    <font>
      <i/>
      <vertAlign val="subscript"/>
      <sz val="10"/>
      <name val="Symbol"/>
      <family val="1"/>
      <charset val="2"/>
    </font>
    <font>
      <sz val="10"/>
      <name val="Symbol"/>
      <family val="1"/>
      <charset val="2"/>
    </font>
    <font>
      <b/>
      <sz val="10"/>
      <name val="Arial"/>
      <family val="2"/>
    </font>
    <font>
      <sz val="10"/>
      <color indexed="10"/>
      <name val="Arial"/>
      <family val="2"/>
    </font>
    <font>
      <sz val="10"/>
      <color indexed="10"/>
      <name val="Arial"/>
      <family val="2"/>
    </font>
    <font>
      <sz val="10"/>
      <color indexed="12"/>
      <name val="Arial"/>
      <family val="2"/>
    </font>
    <font>
      <sz val="10"/>
      <name val="Arial"/>
      <family val="2"/>
    </font>
    <font>
      <i/>
      <sz val="10"/>
      <name val="Arial"/>
      <family val="2"/>
    </font>
    <font>
      <u/>
      <sz val="10"/>
      <color indexed="12"/>
      <name val="Arial"/>
      <family val="2"/>
    </font>
    <font>
      <vertAlign val="superscript"/>
      <sz val="10"/>
      <name val="Arial"/>
      <family val="2"/>
    </font>
    <font>
      <sz val="10"/>
      <color indexed="10"/>
      <name val="Arial"/>
      <family val="2"/>
    </font>
    <font>
      <sz val="10"/>
      <color indexed="17"/>
      <name val="Arial"/>
      <family val="2"/>
    </font>
    <font>
      <sz val="10"/>
      <color indexed="52"/>
      <name val="Arial"/>
      <family val="2"/>
    </font>
  </fonts>
  <fills count="2">
    <fill>
      <patternFill patternType="none"/>
    </fill>
    <fill>
      <patternFill patternType="gray125"/>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79">
    <xf numFmtId="0" fontId="0" fillId="0" borderId="0" xfId="0"/>
    <xf numFmtId="2" fontId="0" fillId="0" borderId="0" xfId="0" applyNumberFormat="1"/>
    <xf numFmtId="0" fontId="4" fillId="0" borderId="0" xfId="0" applyFont="1"/>
    <xf numFmtId="1" fontId="0" fillId="0" borderId="0" xfId="0" applyNumberFormat="1"/>
    <xf numFmtId="0" fontId="3" fillId="0" borderId="0" xfId="0" applyFont="1"/>
    <xf numFmtId="0" fontId="5" fillId="0" borderId="0" xfId="0" applyFont="1"/>
    <xf numFmtId="166" fontId="0" fillId="0" borderId="0" xfId="0" applyNumberFormat="1"/>
    <xf numFmtId="169" fontId="0" fillId="0" borderId="0" xfId="0" applyNumberFormat="1"/>
    <xf numFmtId="0" fontId="0" fillId="0" borderId="1" xfId="0" applyBorder="1"/>
    <xf numFmtId="0" fontId="0" fillId="0" borderId="0" xfId="0" applyBorder="1"/>
    <xf numFmtId="0" fontId="0" fillId="0" borderId="2" xfId="0" applyBorder="1"/>
    <xf numFmtId="2" fontId="0" fillId="0" borderId="0" xfId="0" applyNumberFormat="1" applyBorder="1"/>
    <xf numFmtId="2" fontId="0" fillId="0" borderId="3" xfId="0" applyNumberFormat="1" applyBorder="1"/>
    <xf numFmtId="2" fontId="0" fillId="0" borderId="4" xfId="0" applyNumberFormat="1" applyBorder="1"/>
    <xf numFmtId="2" fontId="0" fillId="0" borderId="5" xfId="0" applyNumberFormat="1" applyBorder="1"/>
    <xf numFmtId="0" fontId="12" fillId="0" borderId="0" xfId="0" applyFont="1"/>
    <xf numFmtId="0" fontId="13" fillId="0" borderId="0" xfId="0" applyFont="1"/>
    <xf numFmtId="166" fontId="15" fillId="0" borderId="0" xfId="0" applyNumberFormat="1" applyFont="1"/>
    <xf numFmtId="1" fontId="15" fillId="0" borderId="0" xfId="0" applyNumberFormat="1" applyFont="1"/>
    <xf numFmtId="0" fontId="15" fillId="0" borderId="0" xfId="0" applyFont="1"/>
    <xf numFmtId="2" fontId="15" fillId="0" borderId="0" xfId="0" applyNumberFormat="1" applyFont="1"/>
    <xf numFmtId="164" fontId="15" fillId="0" borderId="0" xfId="0" applyNumberFormat="1" applyFont="1"/>
    <xf numFmtId="0" fontId="7" fillId="0" borderId="0" xfId="0" applyFont="1"/>
    <xf numFmtId="0" fontId="16" fillId="0" borderId="0" xfId="0" applyFont="1"/>
    <xf numFmtId="1" fontId="14" fillId="0" borderId="0" xfId="0" applyNumberFormat="1" applyFont="1"/>
    <xf numFmtId="0" fontId="15" fillId="0" borderId="0" xfId="0" applyFont="1" applyBorder="1"/>
    <xf numFmtId="0" fontId="1" fillId="0" borderId="0" xfId="0" applyFont="1"/>
    <xf numFmtId="0" fontId="17" fillId="0" borderId="0" xfId="0" applyFont="1"/>
    <xf numFmtId="168" fontId="0" fillId="0" borderId="0" xfId="0" applyNumberFormat="1"/>
    <xf numFmtId="167" fontId="0" fillId="0" borderId="0" xfId="0" applyNumberFormat="1"/>
    <xf numFmtId="0" fontId="0" fillId="0" borderId="4" xfId="0" applyBorder="1"/>
    <xf numFmtId="0" fontId="18" fillId="0" borderId="0" xfId="0" applyFont="1"/>
    <xf numFmtId="165" fontId="15" fillId="0" borderId="0" xfId="0" applyNumberFormat="1" applyFont="1"/>
    <xf numFmtId="0" fontId="0" fillId="0" borderId="0" xfId="0" applyAlignment="1">
      <alignment horizontal="left"/>
    </xf>
    <xf numFmtId="165" fontId="0" fillId="0" borderId="0" xfId="0" applyNumberFormat="1"/>
    <xf numFmtId="170" fontId="0" fillId="0" borderId="0" xfId="0" applyNumberFormat="1"/>
    <xf numFmtId="164" fontId="14" fillId="0" borderId="0" xfId="0" applyNumberFormat="1" applyFont="1"/>
    <xf numFmtId="0" fontId="13" fillId="0" borderId="6" xfId="0" applyFont="1" applyBorder="1" applyAlignment="1">
      <alignment horizontal="right"/>
    </xf>
    <xf numFmtId="165" fontId="15" fillId="0" borderId="4" xfId="0" applyNumberFormat="1" applyFont="1" applyBorder="1"/>
    <xf numFmtId="0" fontId="15" fillId="0" borderId="2" xfId="0" applyFont="1" applyBorder="1"/>
    <xf numFmtId="0" fontId="4" fillId="0" borderId="0" xfId="0" applyFont="1" applyAlignment="1">
      <alignment horizontal="centerContinuous"/>
    </xf>
    <xf numFmtId="10" fontId="15" fillId="0" borderId="0" xfId="0" applyNumberFormat="1" applyFont="1"/>
    <xf numFmtId="165" fontId="14" fillId="0" borderId="0" xfId="0" applyNumberFormat="1" applyFont="1"/>
    <xf numFmtId="165" fontId="15" fillId="0" borderId="0" xfId="0" applyNumberFormat="1" applyFont="1" applyBorder="1"/>
    <xf numFmtId="0" fontId="0" fillId="0" borderId="0" xfId="0" applyNumberFormat="1"/>
    <xf numFmtId="14" fontId="0" fillId="0" borderId="0" xfId="0" applyNumberFormat="1" applyAlignment="1">
      <alignment horizontal="left"/>
    </xf>
    <xf numFmtId="2" fontId="0" fillId="0" borderId="7" xfId="0" applyNumberFormat="1" applyBorder="1"/>
    <xf numFmtId="2" fontId="0" fillId="0" borderId="8" xfId="0" applyNumberFormat="1" applyBorder="1"/>
    <xf numFmtId="2" fontId="0" fillId="0" borderId="6" xfId="0" applyNumberFormat="1" applyBorder="1"/>
    <xf numFmtId="2" fontId="21" fillId="0" borderId="0" xfId="0" applyNumberFormat="1" applyFont="1"/>
    <xf numFmtId="0" fontId="3" fillId="0" borderId="0" xfId="0" applyFont="1" applyAlignment="1">
      <alignment horizontal="left"/>
    </xf>
    <xf numFmtId="2" fontId="23" fillId="0" borderId="0" xfId="0" applyNumberFormat="1" applyFont="1"/>
    <xf numFmtId="0" fontId="22" fillId="0" borderId="0" xfId="0" applyFont="1" applyAlignment="1">
      <alignment horizontal="right"/>
    </xf>
    <xf numFmtId="0" fontId="22" fillId="0" borderId="0" xfId="0" applyFont="1"/>
    <xf numFmtId="168" fontId="22" fillId="0" borderId="0" xfId="0" applyNumberFormat="1" applyFont="1"/>
    <xf numFmtId="2" fontId="22" fillId="0" borderId="0" xfId="0" applyNumberFormat="1" applyFont="1"/>
    <xf numFmtId="1" fontId="14" fillId="0" borderId="0" xfId="1" applyNumberFormat="1" applyFont="1" applyAlignment="1" applyProtection="1"/>
    <xf numFmtId="165" fontId="15" fillId="0" borderId="0" xfId="0" applyNumberFormat="1" applyFont="1" applyAlignment="1">
      <alignment horizontal="right"/>
    </xf>
    <xf numFmtId="0" fontId="14" fillId="0" borderId="0" xfId="0" applyFont="1" applyAlignment="1">
      <alignment horizontal="right"/>
    </xf>
    <xf numFmtId="2" fontId="14" fillId="0" borderId="0" xfId="0" applyNumberFormat="1" applyFont="1"/>
    <xf numFmtId="1" fontId="22" fillId="0" borderId="4" xfId="0" applyNumberFormat="1" applyFont="1" applyBorder="1"/>
    <xf numFmtId="164" fontId="22" fillId="0" borderId="4" xfId="0" applyNumberFormat="1" applyFont="1" applyBorder="1"/>
    <xf numFmtId="0" fontId="22" fillId="0" borderId="2" xfId="0" applyFont="1" applyBorder="1"/>
    <xf numFmtId="165" fontId="22" fillId="0" borderId="0" xfId="0" applyNumberFormat="1" applyFont="1"/>
    <xf numFmtId="1" fontId="23" fillId="0" borderId="0" xfId="1" applyNumberFormat="1" applyFont="1" applyAlignment="1" applyProtection="1"/>
    <xf numFmtId="1" fontId="23" fillId="0" borderId="0" xfId="0" applyNumberFormat="1" applyFont="1"/>
    <xf numFmtId="2" fontId="3" fillId="0" borderId="0" xfId="0" applyNumberFormat="1" applyFont="1"/>
    <xf numFmtId="1" fontId="3" fillId="0" borderId="0" xfId="0" applyNumberFormat="1" applyFont="1"/>
    <xf numFmtId="2" fontId="1" fillId="0" borderId="0" xfId="0" applyNumberFormat="1" applyFont="1"/>
    <xf numFmtId="1" fontId="1" fillId="0" borderId="0" xfId="0" applyNumberFormat="1" applyFont="1"/>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13"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13" fillId="0" borderId="4" xfId="0" applyFont="1" applyBorder="1" applyAlignment="1">
      <alignment horizontal="center"/>
    </xf>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Cap Concentration Profile</a:t>
            </a:r>
          </a:p>
        </c:rich>
      </c:tx>
      <c:layout>
        <c:manualLayout>
          <c:xMode val="edge"/>
          <c:yMode val="edge"/>
          <c:x val="0.24365508879917927"/>
          <c:y val="3.7735807499587028E-2"/>
        </c:manualLayout>
      </c:layout>
      <c:overlay val="0"/>
      <c:spPr>
        <a:noFill/>
        <a:ln w="25400">
          <a:noFill/>
        </a:ln>
      </c:spPr>
    </c:title>
    <c:autoTitleDeleted val="0"/>
    <c:plotArea>
      <c:layout>
        <c:manualLayout>
          <c:layoutTarget val="inner"/>
          <c:xMode val="edge"/>
          <c:yMode val="edge"/>
          <c:x val="0.17258904637562264"/>
          <c:y val="0.24150987896130416"/>
          <c:w val="0.76649841184467704"/>
          <c:h val="0.51320849279277125"/>
        </c:manualLayout>
      </c:layout>
      <c:scatterChart>
        <c:scatterStyle val="lineMarker"/>
        <c:varyColors val="0"/>
        <c:ser>
          <c:idx val="0"/>
          <c:order val="0"/>
          <c:spPr>
            <a:ln w="25400">
              <a:solidFill>
                <a:srgbClr val="000000"/>
              </a:solidFill>
              <a:prstDash val="solid"/>
            </a:ln>
          </c:spPr>
          <c:marker>
            <c:symbol val="none"/>
          </c:marker>
          <c:xVal>
            <c:numRef>
              <c:f>'Steady State Conditions'!$O$18:$DK$18</c:f>
              <c:numCache>
                <c:formatCode>0.00</c:formatCode>
                <c:ptCount val="101"/>
                <c:pt idx="0">
                  <c:v>1.5657959735153604E-3</c:v>
                </c:pt>
                <c:pt idx="1">
                  <c:v>4.5050522704266349E-3</c:v>
                </c:pt>
                <c:pt idx="2">
                  <c:v>7.4358800718368201E-3</c:v>
                </c:pt>
                <c:pt idx="3">
                  <c:v>1.0358303570359606E-2</c:v>
                </c:pt>
                <c:pt idx="4">
                  <c:v>1.3272346889168896E-2</c:v>
                </c:pt>
                <c:pt idx="5">
                  <c:v>1.6178034082196202E-2</c:v>
                </c:pt>
                <c:pt idx="6">
                  <c:v>1.9075389134330267E-2</c:v>
                </c:pt>
                <c:pt idx="7">
                  <c:v>2.1964435961616235E-2</c:v>
                </c:pt>
                <c:pt idx="8">
                  <c:v>2.4845198411450942E-2</c:v>
                </c:pt>
                <c:pt idx="9">
                  <c:v>2.7717700262781531E-2</c:v>
                </c:pt>
                <c:pt idx="10">
                  <c:v>3.0581965226302299E-2</c:v>
                </c:pt>
                <c:pt idx="11">
                  <c:v>3.3438016944649318E-2</c:v>
                </c:pt>
                <c:pt idx="12">
                  <c:v>3.6285878992596499E-2</c:v>
                </c:pt>
                <c:pt idx="13">
                  <c:v>3.9125574877250657E-2</c:v>
                </c:pt>
                <c:pt idx="14">
                  <c:v>4.1957128038245139E-2</c:v>
                </c:pt>
                <c:pt idx="15">
                  <c:v>4.4780561847933442E-2</c:v>
                </c:pt>
                <c:pt idx="16">
                  <c:v>4.7595899611583281E-2</c:v>
                </c:pt>
                <c:pt idx="17">
                  <c:v>5.0403164567567549E-2</c:v>
                </c:pt>
                <c:pt idx="18">
                  <c:v>5.3202379887558382E-2</c:v>
                </c:pt>
                <c:pt idx="19">
                  <c:v>5.5993568676716454E-2</c:v>
                </c:pt>
                <c:pt idx="20">
                  <c:v>5.8776753973883489E-2</c:v>
                </c:pt>
                <c:pt idx="21">
                  <c:v>6.1551958751772329E-2</c:v>
                </c:pt>
                <c:pt idx="22">
                  <c:v>6.4319205917155897E-2</c:v>
                </c:pt>
                <c:pt idx="23">
                  <c:v>6.7078518311056823E-2</c:v>
                </c:pt>
                <c:pt idx="24">
                  <c:v>6.9829918708937289E-2</c:v>
                </c:pt>
                <c:pt idx="25">
                  <c:v>7.2573429820885771E-2</c:v>
                </c:pt>
                <c:pt idx="26">
                  <c:v>7.5309074291805111E-2</c:v>
                </c:pt>
                <c:pt idx="27">
                  <c:v>7.8036874701600256E-2</c:v>
                </c:pt>
                <c:pt idx="28">
                  <c:v>8.0756853565363551E-2</c:v>
                </c:pt>
                <c:pt idx="29">
                  <c:v>8.3469033333561926E-2</c:v>
                </c:pt>
                <c:pt idx="30">
                  <c:v>8.617343639222208E-2</c:v>
                </c:pt>
                <c:pt idx="31">
                  <c:v>8.8870085063115445E-2</c:v>
                </c:pt>
                <c:pt idx="32">
                  <c:v>9.1559001603942369E-2</c:v>
                </c:pt>
                <c:pt idx="33">
                  <c:v>9.4240208208515641E-2</c:v>
                </c:pt>
                <c:pt idx="34">
                  <c:v>9.6913727006944894E-2</c:v>
                </c:pt>
                <c:pt idx="35">
                  <c:v>9.9579580065819795E-2</c:v>
                </c:pt>
                <c:pt idx="36">
                  <c:v>0.12843696666433468</c:v>
                </c:pt>
                <c:pt idx="37">
                  <c:v>0.17650801653159109</c:v>
                </c:pt>
                <c:pt idx="38">
                  <c:v>0.22200614165328181</c:v>
                </c:pt>
                <c:pt idx="39">
                  <c:v>0.26506905364095923</c:v>
                </c:pt>
                <c:pt idx="40">
                  <c:v>0.30582709331618996</c:v>
                </c:pt>
                <c:pt idx="41">
                  <c:v>0.34440362522009516</c:v>
                </c:pt>
                <c:pt idx="42">
                  <c:v>0.38091541100741244</c:v>
                </c:pt>
                <c:pt idx="43">
                  <c:v>0.41547296285524959</c:v>
                </c:pt>
                <c:pt idx="44">
                  <c:v>0.44818087795620765</c:v>
                </c:pt>
                <c:pt idx="45">
                  <c:v>0.47913815510830593</c:v>
                </c:pt>
                <c:pt idx="46">
                  <c:v>0.50843849435994304</c:v>
                </c:pt>
                <c:pt idx="47">
                  <c:v>0.53617058061685197</c:v>
                </c:pt>
                <c:pt idx="48">
                  <c:v>0.56241835206945257</c:v>
                </c:pt>
                <c:pt idx="49">
                  <c:v>0.58726125425306774</c:v>
                </c:pt>
                <c:pt idx="50">
                  <c:v>0.61077448050997774</c:v>
                </c:pt>
                <c:pt idx="51">
                  <c:v>0.63302919958113701</c:v>
                </c:pt>
                <c:pt idx="52">
                  <c:v>0.65409277101641261</c:v>
                </c:pt>
                <c:pt idx="53">
                  <c:v>0.6740289490553405</c:v>
                </c:pt>
                <c:pt idx="54">
                  <c:v>0.69289807559549677</c:v>
                </c:pt>
                <c:pt idx="55">
                  <c:v>0.71075726283254892</c:v>
                </c:pt>
                <c:pt idx="56">
                  <c:v>0.72766056612479846</c:v>
                </c:pt>
                <c:pt idx="57">
                  <c:v>0.74365914760542617</c:v>
                </c:pt>
                <c:pt idx="58">
                  <c:v>0.7588014310376624</c:v>
                </c:pt>
                <c:pt idx="59">
                  <c:v>0.77313324838158159</c:v>
                </c:pt>
                <c:pt idx="60">
                  <c:v>0.78669797851615253</c:v>
                </c:pt>
                <c:pt idx="61">
                  <c:v>0.79953667853641242</c:v>
                </c:pt>
                <c:pt idx="62">
                  <c:v>0.81168820802317543</c:v>
                </c:pt>
                <c:pt idx="63">
                  <c:v>0.82318934666140642</c:v>
                </c:pt>
                <c:pt idx="64">
                  <c:v>0.83407490556326369</c:v>
                </c:pt>
                <c:pt idx="65">
                  <c:v>0.8443778326327549</c:v>
                </c:pt>
                <c:pt idx="66">
                  <c:v>0.85412931229092326</c:v>
                </c:pt>
                <c:pt idx="67">
                  <c:v>0.86335885986340433</c:v>
                </c:pt>
                <c:pt idx="68">
                  <c:v>0.87209441091604223</c:v>
                </c:pt>
                <c:pt idx="69">
                  <c:v>0.88036240580896341</c:v>
                </c:pt>
                <c:pt idx="70">
                  <c:v>0.88818786972502894</c:v>
                </c:pt>
                <c:pt idx="71">
                  <c:v>0.89559448841489742</c:v>
                </c:pt>
                <c:pt idx="72">
                  <c:v>0.90260467988795312</c:v>
                </c:pt>
                <c:pt idx="73">
                  <c:v>0.90923966226609643</c:v>
                </c:pt>
                <c:pt idx="74">
                  <c:v>0.91551951800576858</c:v>
                </c:pt>
                <c:pt idx="75">
                  <c:v>0.92146325468259926</c:v>
                </c:pt>
                <c:pt idx="76">
                  <c:v>0.92708886252265221</c:v>
                </c:pt>
                <c:pt idx="77">
                  <c:v>0.93241336885440651</c:v>
                </c:pt>
                <c:pt idx="78">
                  <c:v>0.93745288964628337</c:v>
                </c:pt>
                <c:pt idx="79">
                  <c:v>0.94222267828571027</c:v>
                </c:pt>
                <c:pt idx="80">
                  <c:v>0.94673717174736616</c:v>
                </c:pt>
                <c:pt idx="81">
                  <c:v>0.95101003429034481</c:v>
                </c:pt>
                <c:pt idx="82">
                  <c:v>0.95505419881650067</c:v>
                </c:pt>
                <c:pt idx="83">
                  <c:v>0.95888190601515433</c:v>
                </c:pt>
                <c:pt idx="84">
                  <c:v>0.96250474141264286</c:v>
                </c:pt>
                <c:pt idx="85">
                  <c:v>0.96593367043885281</c:v>
                </c:pt>
                <c:pt idx="86">
                  <c:v>0.96917907161687356</c:v>
                </c:pt>
                <c:pt idx="87">
                  <c:v>0.97225076797622945</c:v>
                </c:pt>
                <c:pt idx="88">
                  <c:v>0.97515805678476875</c:v>
                </c:pt>
                <c:pt idx="89">
                  <c:v>0.97790973768920253</c:v>
                </c:pt>
                <c:pt idx="90">
                  <c:v>0.98051413934946585</c:v>
                </c:pt>
                <c:pt idx="91">
                  <c:v>0.98297914464751979</c:v>
                </c:pt>
                <c:pt idx="92">
                  <c:v>0.98531221454689133</c:v>
                </c:pt>
                <c:pt idx="93">
                  <c:v>0.98752041067517182</c:v>
                </c:pt>
                <c:pt idx="94">
                  <c:v>0.98961041669782301</c:v>
                </c:pt>
                <c:pt idx="95">
                  <c:v>0.99158855854798555</c:v>
                </c:pt>
                <c:pt idx="96">
                  <c:v>0.99346082357351917</c:v>
                </c:pt>
                <c:pt idx="97">
                  <c:v>0.99523287865922916</c:v>
                </c:pt>
                <c:pt idx="98">
                  <c:v>0.99691008737913012</c:v>
                </c:pt>
                <c:pt idx="99">
                  <c:v>0.99849752623066268</c:v>
                </c:pt>
                <c:pt idx="100">
                  <c:v>1</c:v>
                </c:pt>
              </c:numCache>
            </c:numRef>
          </c:xVal>
          <c:yVal>
            <c:numRef>
              <c:f>'Steady State Conditions'!$O$17:$DK$17</c:f>
              <c:numCache>
                <c:formatCode>0.00</c:formatCode>
                <c:ptCount val="101"/>
                <c:pt idx="0">
                  <c:v>0</c:v>
                </c:pt>
                <c:pt idx="1">
                  <c:v>0.42314899513198662</c:v>
                </c:pt>
                <c:pt idx="2">
                  <c:v>0.84629799026397323</c:v>
                </c:pt>
                <c:pt idx="3">
                  <c:v>1.2694469853959598</c:v>
                </c:pt>
                <c:pt idx="4">
                  <c:v>1.6925959805279465</c:v>
                </c:pt>
                <c:pt idx="5">
                  <c:v>2.1157449756599331</c:v>
                </c:pt>
                <c:pt idx="6">
                  <c:v>2.53889397079192</c:v>
                </c:pt>
                <c:pt idx="7">
                  <c:v>2.9620429659239065</c:v>
                </c:pt>
                <c:pt idx="8">
                  <c:v>3.3851919610558929</c:v>
                </c:pt>
                <c:pt idx="9">
                  <c:v>3.8083409561878794</c:v>
                </c:pt>
                <c:pt idx="10">
                  <c:v>4.2314899513198654</c:v>
                </c:pt>
                <c:pt idx="11">
                  <c:v>4.6546389464518523</c:v>
                </c:pt>
                <c:pt idx="12">
                  <c:v>5.0777879415838383</c:v>
                </c:pt>
                <c:pt idx="13">
                  <c:v>5.5009369367158252</c:v>
                </c:pt>
                <c:pt idx="14">
                  <c:v>5.9240859318478121</c:v>
                </c:pt>
                <c:pt idx="15">
                  <c:v>6.347234926979799</c:v>
                </c:pt>
                <c:pt idx="16">
                  <c:v>6.7703839221117859</c:v>
                </c:pt>
                <c:pt idx="17">
                  <c:v>7.1935329172437728</c:v>
                </c:pt>
                <c:pt idx="18">
                  <c:v>7.6166819123757596</c:v>
                </c:pt>
                <c:pt idx="19">
                  <c:v>8.0398309075077474</c:v>
                </c:pt>
                <c:pt idx="20">
                  <c:v>8.4629799026397343</c:v>
                </c:pt>
                <c:pt idx="21">
                  <c:v>8.8861288977717212</c:v>
                </c:pt>
                <c:pt idx="22">
                  <c:v>9.3092778929037081</c:v>
                </c:pt>
                <c:pt idx="23">
                  <c:v>9.732426888035695</c:v>
                </c:pt>
                <c:pt idx="24">
                  <c:v>10.155575883167682</c:v>
                </c:pt>
                <c:pt idx="25">
                  <c:v>10.578724878299667</c:v>
                </c:pt>
                <c:pt idx="26">
                  <c:v>11.001873873431654</c:v>
                </c:pt>
                <c:pt idx="27">
                  <c:v>11.425022868563641</c:v>
                </c:pt>
                <c:pt idx="28">
                  <c:v>11.848171863695628</c:v>
                </c:pt>
                <c:pt idx="29">
                  <c:v>12.271320858827616</c:v>
                </c:pt>
                <c:pt idx="30">
                  <c:v>12.694469853959603</c:v>
                </c:pt>
                <c:pt idx="31">
                  <c:v>13.11761884909159</c:v>
                </c:pt>
                <c:pt idx="32">
                  <c:v>13.540767844223577</c:v>
                </c:pt>
                <c:pt idx="33">
                  <c:v>13.963916839355564</c:v>
                </c:pt>
                <c:pt idx="34">
                  <c:v>14.387065834487551</c:v>
                </c:pt>
                <c:pt idx="35">
                  <c:v>14.810214829619538</c:v>
                </c:pt>
                <c:pt idx="36">
                  <c:v>15.233363824751525</c:v>
                </c:pt>
                <c:pt idx="37">
                  <c:v>15.656512819883512</c:v>
                </c:pt>
                <c:pt idx="38">
                  <c:v>16.079661815015498</c:v>
                </c:pt>
                <c:pt idx="39">
                  <c:v>16.502810810147487</c:v>
                </c:pt>
                <c:pt idx="40">
                  <c:v>16.925959805279472</c:v>
                </c:pt>
                <c:pt idx="41">
                  <c:v>17.349108800411461</c:v>
                </c:pt>
                <c:pt idx="42">
                  <c:v>17.772257795543446</c:v>
                </c:pt>
                <c:pt idx="43">
                  <c:v>18.195406790675435</c:v>
                </c:pt>
                <c:pt idx="44">
                  <c:v>18.61855578580742</c:v>
                </c:pt>
                <c:pt idx="45">
                  <c:v>19.041704780939408</c:v>
                </c:pt>
                <c:pt idx="46">
                  <c:v>19.464853776071394</c:v>
                </c:pt>
                <c:pt idx="47">
                  <c:v>19.888002771203382</c:v>
                </c:pt>
                <c:pt idx="48">
                  <c:v>20.311151766335367</c:v>
                </c:pt>
                <c:pt idx="49">
                  <c:v>20.734300761467356</c:v>
                </c:pt>
                <c:pt idx="50">
                  <c:v>21.157449756599341</c:v>
                </c:pt>
                <c:pt idx="51">
                  <c:v>21.580598751731326</c:v>
                </c:pt>
                <c:pt idx="52">
                  <c:v>22.003747746863315</c:v>
                </c:pt>
                <c:pt idx="53">
                  <c:v>22.4268967419953</c:v>
                </c:pt>
                <c:pt idx="54">
                  <c:v>22.850045737127289</c:v>
                </c:pt>
                <c:pt idx="55">
                  <c:v>23.273194732259274</c:v>
                </c:pt>
                <c:pt idx="56">
                  <c:v>23.696343727391262</c:v>
                </c:pt>
                <c:pt idx="57">
                  <c:v>24.119492722523248</c:v>
                </c:pt>
                <c:pt idx="58">
                  <c:v>24.542641717655236</c:v>
                </c:pt>
                <c:pt idx="59">
                  <c:v>24.965790712787221</c:v>
                </c:pt>
                <c:pt idx="60">
                  <c:v>25.38893970791921</c:v>
                </c:pt>
                <c:pt idx="61">
                  <c:v>25.812088703051195</c:v>
                </c:pt>
                <c:pt idx="62">
                  <c:v>26.235237698183184</c:v>
                </c:pt>
                <c:pt idx="63">
                  <c:v>26.658386693315169</c:v>
                </c:pt>
                <c:pt idx="64">
                  <c:v>27.081535688447158</c:v>
                </c:pt>
                <c:pt idx="65">
                  <c:v>27.504684683579146</c:v>
                </c:pt>
                <c:pt idx="66">
                  <c:v>27.927833678711131</c:v>
                </c:pt>
                <c:pt idx="67">
                  <c:v>28.35098267384312</c:v>
                </c:pt>
                <c:pt idx="68">
                  <c:v>28.774131668975105</c:v>
                </c:pt>
                <c:pt idx="69">
                  <c:v>29.197280664107094</c:v>
                </c:pt>
                <c:pt idx="70">
                  <c:v>29.620429659239079</c:v>
                </c:pt>
                <c:pt idx="71">
                  <c:v>30.043578654371068</c:v>
                </c:pt>
                <c:pt idx="72">
                  <c:v>30.466727649503053</c:v>
                </c:pt>
                <c:pt idx="73">
                  <c:v>30.889876644635041</c:v>
                </c:pt>
                <c:pt idx="74">
                  <c:v>31.313025639767027</c:v>
                </c:pt>
                <c:pt idx="75">
                  <c:v>31.736174634899015</c:v>
                </c:pt>
                <c:pt idx="76">
                  <c:v>32.159323630031004</c:v>
                </c:pt>
                <c:pt idx="77">
                  <c:v>32.582472625162985</c:v>
                </c:pt>
                <c:pt idx="78">
                  <c:v>33.005621620294974</c:v>
                </c:pt>
                <c:pt idx="79">
                  <c:v>33.428770615426963</c:v>
                </c:pt>
                <c:pt idx="80">
                  <c:v>33.851919610558951</c:v>
                </c:pt>
                <c:pt idx="81">
                  <c:v>34.275068605690933</c:v>
                </c:pt>
                <c:pt idx="82">
                  <c:v>34.698217600822922</c:v>
                </c:pt>
                <c:pt idx="83">
                  <c:v>35.12136659595491</c:v>
                </c:pt>
                <c:pt idx="84">
                  <c:v>35.544515591086899</c:v>
                </c:pt>
                <c:pt idx="85">
                  <c:v>35.967664586218888</c:v>
                </c:pt>
                <c:pt idx="86">
                  <c:v>36.390813581350869</c:v>
                </c:pt>
                <c:pt idx="87">
                  <c:v>36.813962576482858</c:v>
                </c:pt>
                <c:pt idx="88">
                  <c:v>37.237111571614847</c:v>
                </c:pt>
                <c:pt idx="89">
                  <c:v>37.660260566746835</c:v>
                </c:pt>
                <c:pt idx="90">
                  <c:v>38.083409561878817</c:v>
                </c:pt>
                <c:pt idx="91">
                  <c:v>38.506558557010806</c:v>
                </c:pt>
                <c:pt idx="92">
                  <c:v>38.929707552142794</c:v>
                </c:pt>
                <c:pt idx="93">
                  <c:v>39.352856547274783</c:v>
                </c:pt>
                <c:pt idx="94">
                  <c:v>39.776005542406764</c:v>
                </c:pt>
                <c:pt idx="95">
                  <c:v>40.199154537538753</c:v>
                </c:pt>
                <c:pt idx="96">
                  <c:v>40.622303532670742</c:v>
                </c:pt>
                <c:pt idx="97">
                  <c:v>41.04545252780273</c:v>
                </c:pt>
                <c:pt idx="98">
                  <c:v>41.468601522934712</c:v>
                </c:pt>
                <c:pt idx="99">
                  <c:v>41.891750518066701</c:v>
                </c:pt>
                <c:pt idx="100">
                  <c:v>42.314899513198689</c:v>
                </c:pt>
              </c:numCache>
            </c:numRef>
          </c:yVal>
          <c:smooth val="0"/>
        </c:ser>
        <c:dLbls>
          <c:showLegendKey val="0"/>
          <c:showVal val="0"/>
          <c:showCatName val="0"/>
          <c:showSerName val="0"/>
          <c:showPercent val="0"/>
          <c:showBubbleSize val="0"/>
        </c:dLbls>
        <c:axId val="74974336"/>
        <c:axId val="106699392"/>
      </c:scatterChart>
      <c:valAx>
        <c:axId val="74974336"/>
        <c:scaling>
          <c:orientation val="minMax"/>
          <c:max val="1"/>
          <c:min val="0"/>
        </c:scaling>
        <c:delete val="0"/>
        <c:axPos val="b"/>
        <c:title>
          <c:tx>
            <c:rich>
              <a:bodyPr/>
              <a:lstStyle/>
              <a:p>
                <a:pPr>
                  <a:defRPr sz="1100" b="0" i="0" u="none" strike="noStrike" baseline="0">
                    <a:solidFill>
                      <a:srgbClr val="000000"/>
                    </a:solidFill>
                    <a:latin typeface="Calibri"/>
                    <a:ea typeface="Calibri"/>
                    <a:cs typeface="Calibri"/>
                  </a:defRPr>
                </a:pPr>
                <a:r>
                  <a:rPr lang="en-US" sz="1075" b="1" i="0" u="none" strike="noStrike" baseline="0">
                    <a:solidFill>
                      <a:srgbClr val="000000"/>
                    </a:solidFill>
                    <a:latin typeface="Arial"/>
                    <a:cs typeface="Arial"/>
                  </a:rPr>
                  <a:t>Dimensionless Concentration, C/C</a:t>
                </a:r>
                <a:r>
                  <a:rPr lang="en-US" sz="1075" b="1" i="0" u="none" strike="noStrike" baseline="-25000">
                    <a:solidFill>
                      <a:srgbClr val="000000"/>
                    </a:solidFill>
                    <a:latin typeface="Arial"/>
                    <a:cs typeface="Arial"/>
                  </a:rPr>
                  <a:t>0</a:t>
                </a:r>
              </a:p>
            </c:rich>
          </c:tx>
          <c:layout>
            <c:manualLayout>
              <c:xMode val="edge"/>
              <c:yMode val="edge"/>
              <c:x val="0.24111701773318944"/>
              <c:y val="0.8754734504340804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06699392"/>
        <c:crosses val="max"/>
        <c:crossBetween val="midCat"/>
      </c:valAx>
      <c:valAx>
        <c:axId val="106699392"/>
        <c:scaling>
          <c:orientation val="maxMin"/>
        </c:scaling>
        <c:delete val="0"/>
        <c:axPos val="l"/>
        <c:title>
          <c:tx>
            <c:rich>
              <a:bodyPr/>
              <a:lstStyle/>
              <a:p>
                <a:pPr>
                  <a:defRPr sz="1075" b="1" i="0" u="none" strike="noStrike" baseline="0">
                    <a:solidFill>
                      <a:srgbClr val="000000"/>
                    </a:solidFill>
                    <a:latin typeface="Arial"/>
                    <a:ea typeface="Arial"/>
                    <a:cs typeface="Arial"/>
                  </a:defRPr>
                </a:pPr>
                <a:r>
                  <a:rPr lang="en-US"/>
                  <a:t>Depth (cm)</a:t>
                </a:r>
              </a:p>
            </c:rich>
          </c:tx>
          <c:layout>
            <c:manualLayout>
              <c:xMode val="edge"/>
              <c:yMode val="edge"/>
              <c:x val="4.060913705583756E-2"/>
              <c:y val="0.347170677091936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97433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Transient Concentration Profiles (Years)</a:t>
            </a:r>
          </a:p>
        </c:rich>
      </c:tx>
      <c:layout>
        <c:manualLayout>
          <c:xMode val="edge"/>
          <c:yMode val="edge"/>
          <c:x val="0.12018164396117151"/>
          <c:y val="3.8194444444444448E-2"/>
        </c:manualLayout>
      </c:layout>
      <c:overlay val="0"/>
      <c:spPr>
        <a:noFill/>
        <a:ln w="25400">
          <a:noFill/>
        </a:ln>
      </c:spPr>
    </c:title>
    <c:autoTitleDeleted val="0"/>
    <c:plotArea>
      <c:layout>
        <c:manualLayout>
          <c:layoutTarget val="inner"/>
          <c:xMode val="edge"/>
          <c:yMode val="edge"/>
          <c:x val="0.14739261663968745"/>
          <c:y val="0.14930606182882294"/>
          <c:w val="0.6167814111691543"/>
          <c:h val="0.65972445924363665"/>
        </c:manualLayout>
      </c:layout>
      <c:scatterChart>
        <c:scatterStyle val="lineMarker"/>
        <c:varyColors val="0"/>
        <c:ser>
          <c:idx val="0"/>
          <c:order val="0"/>
          <c:tx>
            <c:strRef>
              <c:f>'Transient Conditions'!$B$17</c:f>
              <c:strCache>
                <c:ptCount val="1"/>
                <c:pt idx="0">
                  <c:v>0</c:v>
                </c:pt>
              </c:strCache>
            </c:strRef>
          </c:tx>
          <c:spPr>
            <a:ln w="12700">
              <a:solidFill>
                <a:srgbClr val="000080"/>
              </a:solidFill>
              <a:prstDash val="solid"/>
            </a:ln>
          </c:spPr>
          <c:marker>
            <c:symbol val="none"/>
          </c:marker>
          <c:xVal>
            <c:numRef>
              <c:f>'Transient Conditions'!$B$18:$B$40</c:f>
              <c:numCache>
                <c:formatCode>0.00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1.5416942093415727E-12</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1"/>
          <c:order val="1"/>
          <c:tx>
            <c:strRef>
              <c:f>'Transient Conditions'!$C$44</c:f>
              <c:strCache>
                <c:ptCount val="1"/>
                <c:pt idx="0">
                  <c:v>0.3</c:v>
                </c:pt>
              </c:strCache>
            </c:strRef>
          </c:tx>
          <c:spPr>
            <a:ln w="12700">
              <a:solidFill>
                <a:srgbClr val="FF00FF"/>
              </a:solidFill>
              <a:prstDash val="solid"/>
            </a:ln>
          </c:spPr>
          <c:marker>
            <c:symbol val="none"/>
          </c:marker>
          <c:xVal>
            <c:numRef>
              <c:f>'Transient Conditions'!$C$18:$C$40</c:f>
              <c:numCache>
                <c:formatCode>0.00</c:formatCode>
                <c:ptCount val="23"/>
                <c:pt idx="0">
                  <c:v>9.1238897392786188E-52</c:v>
                </c:pt>
                <c:pt idx="1">
                  <c:v>7.7520865214941465E-47</c:v>
                </c:pt>
                <c:pt idx="2">
                  <c:v>3.6738237973976089E-42</c:v>
                </c:pt>
                <c:pt idx="3">
                  <c:v>9.7142523941473977E-38</c:v>
                </c:pt>
                <c:pt idx="4">
                  <c:v>1.433655224184471E-33</c:v>
                </c:pt>
                <c:pt idx="5">
                  <c:v>1.1814232604753708E-29</c:v>
                </c:pt>
                <c:pt idx="6">
                  <c:v>5.4388678554993655E-26</c:v>
                </c:pt>
                <c:pt idx="7">
                  <c:v>1.3996381956071211E-22</c:v>
                </c:pt>
                <c:pt idx="8">
                  <c:v>2.0148752425496911E-19</c:v>
                </c:pt>
                <c:pt idx="9">
                  <c:v>1.6240661117000699E-16</c:v>
                </c:pt>
                <c:pt idx="10">
                  <c:v>7.3381073799935769E-14</c:v>
                </c:pt>
                <c:pt idx="11">
                  <c:v>1.8613697009724978E-11</c:v>
                </c:pt>
                <c:pt idx="12">
                  <c:v>2.6557762539937076E-9</c:v>
                </c:pt>
                <c:pt idx="13">
                  <c:v>2.136921129735985E-7</c:v>
                </c:pt>
                <c:pt idx="14">
                  <c:v>9.7314037352788519E-6</c:v>
                </c:pt>
                <c:pt idx="15">
                  <c:v>2.5208936837654421E-4</c:v>
                </c:pt>
                <c:pt idx="16">
                  <c:v>3.7425080209793245E-3</c:v>
                </c:pt>
                <c:pt idx="17">
                  <c:v>3.2207019472765386E-2</c:v>
                </c:pt>
                <c:pt idx="18">
                  <c:v>0.16361022121606358</c:v>
                </c:pt>
                <c:pt idx="19">
                  <c:v>0.50560336364883218</c:v>
                </c:pt>
                <c:pt idx="20">
                  <c:v>0.90110397651209617</c:v>
                </c:pt>
                <c:pt idx="21">
                  <c:v>0.99030689690079521</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2"/>
          <c:order val="2"/>
          <c:tx>
            <c:strRef>
              <c:f>'Transient Conditions'!$D$44</c:f>
              <c:strCache>
                <c:ptCount val="1"/>
                <c:pt idx="0">
                  <c:v>0.6</c:v>
                </c:pt>
              </c:strCache>
            </c:strRef>
          </c:tx>
          <c:spPr>
            <a:ln w="12700">
              <a:solidFill>
                <a:srgbClr val="FFFF00"/>
              </a:solidFill>
              <a:prstDash val="solid"/>
            </a:ln>
          </c:spPr>
          <c:marker>
            <c:symbol val="none"/>
          </c:marker>
          <c:xVal>
            <c:numRef>
              <c:f>'Transient Conditions'!$D$18:$D$40</c:f>
              <c:numCache>
                <c:formatCode>0.00</c:formatCode>
                <c:ptCount val="23"/>
                <c:pt idx="0">
                  <c:v>3.7431093647448192E-26</c:v>
                </c:pt>
                <c:pt idx="1">
                  <c:v>1.0443899539596349E-23</c:v>
                </c:pt>
                <c:pt idx="2">
                  <c:v>2.1791242272321189E-21</c:v>
                </c:pt>
                <c:pt idx="3">
                  <c:v>3.4010601396527392E-19</c:v>
                </c:pt>
                <c:pt idx="4">
                  <c:v>3.9719553968892115E-17</c:v>
                </c:pt>
                <c:pt idx="5">
                  <c:v>3.4723421588005208E-15</c:v>
                </c:pt>
                <c:pt idx="6">
                  <c:v>2.2733749809204843E-13</c:v>
                </c:pt>
                <c:pt idx="7">
                  <c:v>1.1153022666483451E-11</c:v>
                </c:pt>
                <c:pt idx="8">
                  <c:v>4.1028046525931601E-10</c:v>
                </c:pt>
                <c:pt idx="9">
                  <c:v>1.1326503782305637E-8</c:v>
                </c:pt>
                <c:pt idx="10">
                  <c:v>2.3490083693578533E-7</c:v>
                </c:pt>
                <c:pt idx="11">
                  <c:v>3.6644557046929014E-6</c:v>
                </c:pt>
                <c:pt idx="12">
                  <c:v>4.3071501743266802E-5</c:v>
                </c:pt>
                <c:pt idx="13">
                  <c:v>3.8226294020770262E-4</c:v>
                </c:pt>
                <c:pt idx="14">
                  <c:v>2.5690182010978278E-3</c:v>
                </c:pt>
                <c:pt idx="15">
                  <c:v>1.3124560308089842E-2</c:v>
                </c:pt>
                <c:pt idx="16">
                  <c:v>5.1243373643918073E-2</c:v>
                </c:pt>
                <c:pt idx="17">
                  <c:v>0.154066126009201</c:v>
                </c:pt>
                <c:pt idx="18">
                  <c:v>0.36059218631825696</c:v>
                </c:pt>
                <c:pt idx="19">
                  <c:v>0.66749292086918999</c:v>
                </c:pt>
                <c:pt idx="20">
                  <c:v>0.93675795688698682</c:v>
                </c:pt>
                <c:pt idx="21">
                  <c:v>0.99381498504348698</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3"/>
          <c:order val="3"/>
          <c:tx>
            <c:strRef>
              <c:f>'Transient Conditions'!$E$44</c:f>
              <c:strCache>
                <c:ptCount val="1"/>
                <c:pt idx="0">
                  <c:v>0.8</c:v>
                </c:pt>
              </c:strCache>
            </c:strRef>
          </c:tx>
          <c:spPr>
            <a:ln w="12700">
              <a:solidFill>
                <a:srgbClr val="00FFFF"/>
              </a:solidFill>
              <a:prstDash val="solid"/>
            </a:ln>
          </c:spPr>
          <c:marker>
            <c:symbol val="none"/>
          </c:marker>
          <c:xVal>
            <c:numRef>
              <c:f>'Transient Conditions'!$E$18:$E$40</c:f>
              <c:numCache>
                <c:formatCode>0.00</c:formatCode>
                <c:ptCount val="23"/>
                <c:pt idx="0">
                  <c:v>1.3905316929842084E-17</c:v>
                </c:pt>
                <c:pt idx="1">
                  <c:v>5.765617198797513E-16</c:v>
                </c:pt>
                <c:pt idx="2">
                  <c:v>1.9711853562243318E-14</c:v>
                </c:pt>
                <c:pt idx="3">
                  <c:v>5.5583308769324727E-13</c:v>
                </c:pt>
                <c:pt idx="4">
                  <c:v>1.2931068812644374E-11</c:v>
                </c:pt>
                <c:pt idx="5">
                  <c:v>2.4828984513950025E-10</c:v>
                </c:pt>
                <c:pt idx="6">
                  <c:v>3.9364842222640105E-9</c:v>
                </c:pt>
                <c:pt idx="7">
                  <c:v>5.1559638835515963E-8</c:v>
                </c:pt>
                <c:pt idx="8">
                  <c:v>5.5825861411168873E-7</c:v>
                </c:pt>
                <c:pt idx="9">
                  <c:v>5.0005268917383527E-6</c:v>
                </c:pt>
                <c:pt idx="10">
                  <c:v>3.7089958452353477E-5</c:v>
                </c:pt>
                <c:pt idx="11">
                  <c:v>2.2806595916222735E-4</c:v>
                </c:pt>
                <c:pt idx="12">
                  <c:v>1.1642891665249308E-3</c:v>
                </c:pt>
                <c:pt idx="13">
                  <c:v>4.9438340189452788E-3</c:v>
                </c:pt>
                <c:pt idx="14">
                  <c:v>1.7502984211564841E-2</c:v>
                </c:pt>
                <c:pt idx="15">
                  <c:v>5.1829083961199847E-2</c:v>
                </c:pt>
                <c:pt idx="16">
                  <c:v>0.12890494753724682</c:v>
                </c:pt>
                <c:pt idx="17">
                  <c:v>0.27080551486396998</c:v>
                </c:pt>
                <c:pt idx="18">
                  <c:v>0.48426737346140936</c:v>
                </c:pt>
                <c:pt idx="19">
                  <c:v>0.74495460211918929</c:v>
                </c:pt>
                <c:pt idx="20">
                  <c:v>0.95235060481045852</c:v>
                </c:pt>
                <c:pt idx="21">
                  <c:v>0.9953434574122928</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4"/>
          <c:order val="4"/>
          <c:tx>
            <c:strRef>
              <c:f>'Transient Conditions'!$F$44</c:f>
              <c:strCache>
                <c:ptCount val="1"/>
                <c:pt idx="0">
                  <c:v>1.1</c:v>
                </c:pt>
              </c:strCache>
            </c:strRef>
          </c:tx>
          <c:spPr>
            <a:ln w="12700">
              <a:solidFill>
                <a:srgbClr val="800080"/>
              </a:solidFill>
              <a:prstDash val="solid"/>
            </a:ln>
          </c:spPr>
          <c:marker>
            <c:symbol val="none"/>
          </c:marker>
          <c:xVal>
            <c:numRef>
              <c:f>'Transient Conditions'!$F$18:$F$40</c:f>
              <c:numCache>
                <c:formatCode>0.00</c:formatCode>
                <c:ptCount val="23"/>
                <c:pt idx="0">
                  <c:v>2.7700822474121347E-13</c:v>
                </c:pt>
                <c:pt idx="1">
                  <c:v>4.4270512904777272E-12</c:v>
                </c:pt>
                <c:pt idx="2">
                  <c:v>6.1257294877904354E-11</c:v>
                </c:pt>
                <c:pt idx="3">
                  <c:v>7.3406817932221347E-10</c:v>
                </c:pt>
                <c:pt idx="4">
                  <c:v>7.6204794545254782E-9</c:v>
                </c:pt>
                <c:pt idx="5">
                  <c:v>6.8556620939596702E-8</c:v>
                </c:pt>
                <c:pt idx="6">
                  <c:v>5.3471015490106637E-7</c:v>
                </c:pt>
                <c:pt idx="7">
                  <c:v>3.6174556158730497E-6</c:v>
                </c:pt>
                <c:pt idx="8">
                  <c:v>2.1240212026121107E-5</c:v>
                </c:pt>
                <c:pt idx="9">
                  <c:v>1.083159455063246E-4</c:v>
                </c:pt>
                <c:pt idx="10">
                  <c:v>4.8015001973823149E-4</c:v>
                </c:pt>
                <c:pt idx="11">
                  <c:v>1.8521257249573886E-3</c:v>
                </c:pt>
                <c:pt idx="12">
                  <c:v>6.2250244639809622E-3</c:v>
                </c:pt>
                <c:pt idx="13">
                  <c:v>1.826002881575722E-2</c:v>
                </c:pt>
                <c:pt idx="14">
                  <c:v>4.6844215232201253E-2</c:v>
                </c:pt>
                <c:pt idx="15">
                  <c:v>0.10538164326958294</c:v>
                </c:pt>
                <c:pt idx="16">
                  <c:v>0.20860897369746695</c:v>
                </c:pt>
                <c:pt idx="17">
                  <c:v>0.36502918744503376</c:v>
                </c:pt>
                <c:pt idx="18">
                  <c:v>0.5679827366091782</c:v>
                </c:pt>
                <c:pt idx="19">
                  <c:v>0.79205078983161026</c:v>
                </c:pt>
                <c:pt idx="20">
                  <c:v>0.96150808682969169</c:v>
                </c:pt>
                <c:pt idx="21">
                  <c:v>0.99623983708967223</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5"/>
          <c:order val="5"/>
          <c:tx>
            <c:strRef>
              <c:f>'Transient Conditions'!$G$44</c:f>
              <c:strCache>
                <c:ptCount val="1"/>
                <c:pt idx="0">
                  <c:v>1.4</c:v>
                </c:pt>
              </c:strCache>
            </c:strRef>
          </c:tx>
          <c:spPr>
            <a:ln w="12700">
              <a:solidFill>
                <a:srgbClr val="800000"/>
              </a:solidFill>
              <a:prstDash val="solid"/>
            </a:ln>
          </c:spPr>
          <c:marker>
            <c:symbol val="none"/>
          </c:marker>
          <c:xVal>
            <c:numRef>
              <c:f>'Transient Conditions'!$G$18:$G$40</c:f>
              <c:numCache>
                <c:formatCode>0.00</c:formatCode>
                <c:ptCount val="23"/>
                <c:pt idx="0">
                  <c:v>1.0711231956883279E-10</c:v>
                </c:pt>
                <c:pt idx="1">
                  <c:v>9.6604027274155559E-10</c:v>
                </c:pt>
                <c:pt idx="2">
                  <c:v>7.7676423539760849E-9</c:v>
                </c:pt>
                <c:pt idx="3">
                  <c:v>5.5696949869986295E-8</c:v>
                </c:pt>
                <c:pt idx="4">
                  <c:v>3.5624503019086993E-7</c:v>
                </c:pt>
                <c:pt idx="5">
                  <c:v>2.0332414020168868E-6</c:v>
                </c:pt>
                <c:pt idx="6">
                  <c:v>1.035915343999959E-5</c:v>
                </c:pt>
                <c:pt idx="7">
                  <c:v>4.7136552802582956E-5</c:v>
                </c:pt>
                <c:pt idx="8">
                  <c:v>1.9165953325148027E-4</c:v>
                </c:pt>
                <c:pt idx="9">
                  <c:v>6.9683506813837291E-4</c:v>
                </c:pt>
                <c:pt idx="10">
                  <c:v>2.2672720218899879E-3</c:v>
                </c:pt>
                <c:pt idx="11">
                  <c:v>6.6080520425878669E-3</c:v>
                </c:pt>
                <c:pt idx="12">
                  <c:v>1.7272594651521429E-2</c:v>
                </c:pt>
                <c:pt idx="13">
                  <c:v>4.0550651414321709E-2</c:v>
                </c:pt>
                <c:pt idx="14">
                  <c:v>8.5663668114597524E-2</c:v>
                </c:pt>
                <c:pt idx="15">
                  <c:v>0.16321728382573453</c:v>
                </c:pt>
                <c:pt idx="16">
                  <c:v>0.28131474557504382</c:v>
                </c:pt>
                <c:pt idx="17">
                  <c:v>0.4402704570692676</c:v>
                </c:pt>
                <c:pt idx="18">
                  <c:v>0.62871354560209203</c:v>
                </c:pt>
                <c:pt idx="19">
                  <c:v>0.82429181067749857</c:v>
                </c:pt>
                <c:pt idx="20">
                  <c:v>0.96766148400646967</c:v>
                </c:pt>
                <c:pt idx="21">
                  <c:v>0.99684169937483347</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6"/>
          <c:order val="6"/>
          <c:tx>
            <c:strRef>
              <c:f>'Transient Conditions'!$H$44</c:f>
              <c:strCache>
                <c:ptCount val="1"/>
                <c:pt idx="0">
                  <c:v>1.7</c:v>
                </c:pt>
              </c:strCache>
            </c:strRef>
          </c:tx>
          <c:spPr>
            <a:ln w="12700">
              <a:solidFill>
                <a:srgbClr val="008080"/>
              </a:solidFill>
              <a:prstDash val="solid"/>
            </a:ln>
          </c:spPr>
          <c:marker>
            <c:symbol val="none"/>
          </c:marker>
          <c:xVal>
            <c:numRef>
              <c:f>'Transient Conditions'!$H$18:$H$40</c:f>
              <c:numCache>
                <c:formatCode>0.00</c:formatCode>
                <c:ptCount val="23"/>
                <c:pt idx="0">
                  <c:v>5.7465067344950611E-9</c:v>
                </c:pt>
                <c:pt idx="1">
                  <c:v>3.5390610745134299E-8</c:v>
                </c:pt>
                <c:pt idx="2">
                  <c:v>1.9814550859732387E-7</c:v>
                </c:pt>
                <c:pt idx="3">
                  <c:v>1.0087860434384116E-6</c:v>
                </c:pt>
                <c:pt idx="4">
                  <c:v>4.6714883948038149E-6</c:v>
                </c:pt>
                <c:pt idx="5">
                  <c:v>1.9683164330740518E-5</c:v>
                </c:pt>
                <c:pt idx="6">
                  <c:v>7.5488960203793368E-5</c:v>
                </c:pt>
                <c:pt idx="7">
                  <c:v>2.6364210902564297E-4</c:v>
                </c:pt>
                <c:pt idx="8">
                  <c:v>8.3891465822855159E-4</c:v>
                </c:pt>
                <c:pt idx="9">
                  <c:v>2.433685705376918E-3</c:v>
                </c:pt>
                <c:pt idx="10">
                  <c:v>6.441405927308159E-3</c:v>
                </c:pt>
                <c:pt idx="11">
                  <c:v>1.5568954840702594E-2</c:v>
                </c:pt>
                <c:pt idx="12">
                  <c:v>3.4401634208212829E-2</c:v>
                </c:pt>
                <c:pt idx="13">
                  <c:v>6.9586627138850443E-2</c:v>
                </c:pt>
                <c:pt idx="14">
                  <c:v>0.1290695550494716</c:v>
                </c:pt>
                <c:pt idx="15">
                  <c:v>0.21997530917819844</c:v>
                </c:pt>
                <c:pt idx="16">
                  <c:v>0.34538451370024792</c:v>
                </c:pt>
                <c:pt idx="17">
                  <c:v>0.50121586479676339</c:v>
                </c:pt>
                <c:pt idx="18">
                  <c:v>0.67501794521110126</c:v>
                </c:pt>
                <c:pt idx="19">
                  <c:v>0.84799502010135352</c:v>
                </c:pt>
                <c:pt idx="20">
                  <c:v>0.97213289262458702</c:v>
                </c:pt>
                <c:pt idx="21">
                  <c:v>0.99727883616729973</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7"/>
          <c:order val="7"/>
          <c:tx>
            <c:strRef>
              <c:f>'Transient Conditions'!$I$44</c:f>
              <c:strCache>
                <c:ptCount val="1"/>
                <c:pt idx="0">
                  <c:v>1.9</c:v>
                </c:pt>
              </c:strCache>
            </c:strRef>
          </c:tx>
          <c:spPr>
            <a:ln w="12700">
              <a:solidFill>
                <a:srgbClr val="0000FF"/>
              </a:solidFill>
              <a:prstDash val="solid"/>
            </a:ln>
          </c:spPr>
          <c:marker>
            <c:symbol val="none"/>
          </c:marker>
          <c:xVal>
            <c:numRef>
              <c:f>'Transient Conditions'!$I$18:$I$40</c:f>
              <c:numCache>
                <c:formatCode>0.00</c:formatCode>
                <c:ptCount val="23"/>
                <c:pt idx="0">
                  <c:v>9.9495082573730367E-8</c:v>
                </c:pt>
                <c:pt idx="1">
                  <c:v>4.6658386695469225E-7</c:v>
                </c:pt>
                <c:pt idx="2">
                  <c:v>2.0170647984346864E-6</c:v>
                </c:pt>
                <c:pt idx="3">
                  <c:v>8.0403633451625452E-6</c:v>
                </c:pt>
                <c:pt idx="4">
                  <c:v>2.9560800808740366E-5</c:v>
                </c:pt>
                <c:pt idx="5">
                  <c:v>1.0027178766706723E-4</c:v>
                </c:pt>
                <c:pt idx="6">
                  <c:v>3.139227453811263E-4</c:v>
                </c:pt>
                <c:pt idx="7">
                  <c:v>9.0747447988523194E-4</c:v>
                </c:pt>
                <c:pt idx="8">
                  <c:v>2.4234406290917672E-3</c:v>
                </c:pt>
                <c:pt idx="9">
                  <c:v>5.9823984831454922E-3</c:v>
                </c:pt>
                <c:pt idx="10">
                  <c:v>1.3660646271631535E-2</c:v>
                </c:pt>
                <c:pt idx="11">
                  <c:v>2.887947539524207E-2</c:v>
                </c:pt>
                <c:pt idx="12">
                  <c:v>5.6581588758898203E-2</c:v>
                </c:pt>
                <c:pt idx="13">
                  <c:v>0.10286562997828239</c:v>
                </c:pt>
                <c:pt idx="14">
                  <c:v>0.17379486572295069</c:v>
                </c:pt>
                <c:pt idx="15">
                  <c:v>0.27339415307511739</c:v>
                </c:pt>
                <c:pt idx="16">
                  <c:v>0.40135818711101012</c:v>
                </c:pt>
                <c:pt idx="17">
                  <c:v>0.55145318883797634</c:v>
                </c:pt>
                <c:pt idx="18">
                  <c:v>0.71163005804336943</c:v>
                </c:pt>
                <c:pt idx="19">
                  <c:v>0.86627347952349409</c:v>
                </c:pt>
                <c:pt idx="20">
                  <c:v>0.97555343632992442</c:v>
                </c:pt>
                <c:pt idx="21">
                  <c:v>0.99761312702076332</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8"/>
          <c:order val="8"/>
          <c:tx>
            <c:strRef>
              <c:f>'Transient Conditions'!$J$44</c:f>
              <c:strCache>
                <c:ptCount val="1"/>
                <c:pt idx="0">
                  <c:v>2.2</c:v>
                </c:pt>
              </c:strCache>
            </c:strRef>
          </c:tx>
          <c:spPr>
            <a:ln w="12700">
              <a:solidFill>
                <a:srgbClr val="00CCFF"/>
              </a:solidFill>
              <a:prstDash val="solid"/>
            </a:ln>
          </c:spPr>
          <c:marker>
            <c:symbol val="none"/>
          </c:marker>
          <c:xVal>
            <c:numRef>
              <c:f>'Transient Conditions'!$J$18:$J$40</c:f>
              <c:numCache>
                <c:formatCode>0.00</c:formatCode>
                <c:ptCount val="23"/>
                <c:pt idx="0">
                  <c:v>8.4840698516439727E-7</c:v>
                </c:pt>
                <c:pt idx="1">
                  <c:v>3.2430387432695409E-6</c:v>
                </c:pt>
                <c:pt idx="2">
                  <c:v>1.1547757385496629E-5</c:v>
                </c:pt>
                <c:pt idx="3">
                  <c:v>3.8312620203771446E-5</c:v>
                </c:pt>
                <c:pt idx="4">
                  <c:v>1.1846785101538495E-4</c:v>
                </c:pt>
                <c:pt idx="5">
                  <c:v>3.415127114756658E-4</c:v>
                </c:pt>
                <c:pt idx="6">
                  <c:v>9.1815318793952256E-4</c:v>
                </c:pt>
                <c:pt idx="7">
                  <c:v>2.3030574394759338E-3</c:v>
                </c:pt>
                <c:pt idx="8">
                  <c:v>5.3924453763989494E-3</c:v>
                </c:pt>
                <c:pt idx="9">
                  <c:v>1.1792485772287892E-2</c:v>
                </c:pt>
                <c:pt idx="10">
                  <c:v>2.4102188382291497E-2</c:v>
                </c:pt>
                <c:pt idx="11">
                  <c:v>4.6077421068544469E-2</c:v>
                </c:pt>
                <c:pt idx="12">
                  <c:v>8.2474358055864894E-2</c:v>
                </c:pt>
                <c:pt idx="13">
                  <c:v>0.13837368311017267</c:v>
                </c:pt>
                <c:pt idx="14">
                  <c:v>0.21792325472115237</c:v>
                </c:pt>
                <c:pt idx="15">
                  <c:v>0.32271104805707096</c:v>
                </c:pt>
                <c:pt idx="16">
                  <c:v>0.45029101368483626</c:v>
                </c:pt>
                <c:pt idx="17">
                  <c:v>0.59354313656606517</c:v>
                </c:pt>
                <c:pt idx="18">
                  <c:v>0.74138537230131729</c:v>
                </c:pt>
                <c:pt idx="19">
                  <c:v>0.88085970071665376</c:v>
                </c:pt>
                <c:pt idx="20">
                  <c:v>0.97826710730285704</c:v>
                </c:pt>
                <c:pt idx="21">
                  <c:v>0.99787827095807269</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9"/>
          <c:order val="9"/>
          <c:tx>
            <c:strRef>
              <c:f>'Transient Conditions'!$K$44</c:f>
              <c:strCache>
                <c:ptCount val="1"/>
                <c:pt idx="0">
                  <c:v>2.5</c:v>
                </c:pt>
              </c:strCache>
            </c:strRef>
          </c:tx>
          <c:spPr>
            <a:ln w="12700">
              <a:solidFill>
                <a:srgbClr val="CCFFFF"/>
              </a:solidFill>
              <a:prstDash val="solid"/>
            </a:ln>
          </c:spPr>
          <c:marker>
            <c:symbol val="none"/>
          </c:marker>
          <c:xVal>
            <c:numRef>
              <c:f>'Transient Conditions'!$K$18:$K$40</c:f>
              <c:numCache>
                <c:formatCode>0.00</c:formatCode>
                <c:ptCount val="23"/>
                <c:pt idx="0">
                  <c:v>4.5075544995619293E-6</c:v>
                </c:pt>
                <c:pt idx="1">
                  <c:v>1.4697002558196032E-5</c:v>
                </c:pt>
                <c:pt idx="2">
                  <c:v>4.5002901878029479E-5</c:v>
                </c:pt>
                <c:pt idx="3">
                  <c:v>1.2944194869122638E-4</c:v>
                </c:pt>
                <c:pt idx="4">
                  <c:v>3.498205070579426E-4</c:v>
                </c:pt>
                <c:pt idx="5">
                  <c:v>8.8854793347029125E-4</c:v>
                </c:pt>
                <c:pt idx="6">
                  <c:v>2.121932108527705E-3</c:v>
                </c:pt>
                <c:pt idx="7">
                  <c:v>4.7661833040523564E-3</c:v>
                </c:pt>
                <c:pt idx="8">
                  <c:v>1.0073980377751927E-2</c:v>
                </c:pt>
                <c:pt idx="9">
                  <c:v>2.0047489169379887E-2</c:v>
                </c:pt>
                <c:pt idx="10">
                  <c:v>3.7586107540600038E-2</c:v>
                </c:pt>
                <c:pt idx="11">
                  <c:v>6.6440836981504992E-2</c:v>
                </c:pt>
                <c:pt idx="12">
                  <c:v>0.11083547555495485</c:v>
                </c:pt>
                <c:pt idx="13">
                  <c:v>0.17467558657432258</c:v>
                </c:pt>
                <c:pt idx="14">
                  <c:v>0.26041453230769318</c:v>
                </c:pt>
                <c:pt idx="15">
                  <c:v>0.36784551331794846</c:v>
                </c:pt>
                <c:pt idx="16">
                  <c:v>0.49324674441162542</c:v>
                </c:pt>
                <c:pt idx="17">
                  <c:v>0.62931206183314436</c:v>
                </c:pt>
                <c:pt idx="18">
                  <c:v>0.76609200994706006</c:v>
                </c:pt>
                <c:pt idx="19">
                  <c:v>0.89280343561805253</c:v>
                </c:pt>
                <c:pt idx="20">
                  <c:v>0.98047927092386877</c:v>
                </c:pt>
                <c:pt idx="21">
                  <c:v>0.99809437447586413</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10"/>
          <c:order val="10"/>
          <c:tx>
            <c:strRef>
              <c:f>'Transient Conditions'!$L$44</c:f>
              <c:strCache>
                <c:ptCount val="1"/>
                <c:pt idx="0">
                  <c:v>2.8</c:v>
                </c:pt>
              </c:strCache>
            </c:strRef>
          </c:tx>
          <c:spPr>
            <a:ln w="12700">
              <a:solidFill>
                <a:srgbClr val="000000"/>
              </a:solidFill>
              <a:prstDash val="solid"/>
            </a:ln>
          </c:spPr>
          <c:marker>
            <c:symbol val="none"/>
          </c:marker>
          <c:xVal>
            <c:numRef>
              <c:f>'Transient Conditions'!$L$18:$L$40</c:f>
              <c:numCache>
                <c:formatCode>0.00</c:formatCode>
                <c:ptCount val="23"/>
                <c:pt idx="0">
                  <c:v>1.7186028192717435E-5</c:v>
                </c:pt>
                <c:pt idx="1">
                  <c:v>4.9341184641481515E-5</c:v>
                </c:pt>
                <c:pt idx="2">
                  <c:v>1.3390221932246485E-4</c:v>
                </c:pt>
                <c:pt idx="3">
                  <c:v>3.4356343687596581E-4</c:v>
                </c:pt>
                <c:pt idx="4">
                  <c:v>8.3363797170353461E-4</c:v>
                </c:pt>
                <c:pt idx="5">
                  <c:v>1.9134889160602642E-3</c:v>
                </c:pt>
                <c:pt idx="6">
                  <c:v>4.1562147946835395E-3</c:v>
                </c:pt>
                <c:pt idx="7">
                  <c:v>8.5459841099248604E-3</c:v>
                </c:pt>
                <c:pt idx="8">
                  <c:v>1.6642329595983305E-2</c:v>
                </c:pt>
                <c:pt idx="9">
                  <c:v>3.0710221703702807E-2</c:v>
                </c:pt>
                <c:pt idx="10">
                  <c:v>5.3732531607658271E-2</c:v>
                </c:pt>
                <c:pt idx="11">
                  <c:v>8.9206038650354924E-2</c:v>
                </c:pt>
                <c:pt idx="12">
                  <c:v>0.14064674423494961</c:v>
                </c:pt>
                <c:pt idx="13">
                  <c:v>0.21080991258563603</c:v>
                </c:pt>
                <c:pt idx="14">
                  <c:v>0.30075493069751941</c:v>
                </c:pt>
                <c:pt idx="15">
                  <c:v>0.40901084734650328</c:v>
                </c:pt>
                <c:pt idx="16">
                  <c:v>0.53115857179802584</c:v>
                </c:pt>
                <c:pt idx="17">
                  <c:v>0.66008356573514337</c:v>
                </c:pt>
                <c:pt idx="18">
                  <c:v>0.78696159078835981</c:v>
                </c:pt>
                <c:pt idx="19">
                  <c:v>0.90278209027658018</c:v>
                </c:pt>
                <c:pt idx="20">
                  <c:v>0.98232098766084819</c:v>
                </c:pt>
                <c:pt idx="21">
                  <c:v>0.99827426341608572</c:v>
                </c:pt>
                <c:pt idx="22">
                  <c:v>1</c:v>
                </c:pt>
              </c:numCache>
            </c:numRef>
          </c:xVal>
          <c:yVal>
            <c:numRef>
              <c:f>'Transient Conditions'!$A$45:$A$67</c:f>
              <c:numCache>
                <c:formatCode>General</c:formatCode>
                <c:ptCount val="23"/>
                <c:pt idx="0">
                  <c:v>0</c:v>
                </c:pt>
                <c:pt idx="1">
                  <c:v>2.1157449756599349</c:v>
                </c:pt>
                <c:pt idx="2">
                  <c:v>4.2314899513198698</c:v>
                </c:pt>
                <c:pt idx="3">
                  <c:v>6.3472349269798052</c:v>
                </c:pt>
                <c:pt idx="4">
                  <c:v>8.4629799026397396</c:v>
                </c:pt>
                <c:pt idx="5">
                  <c:v>10.578724878299674</c:v>
                </c:pt>
                <c:pt idx="6">
                  <c:v>12.69446985395961</c:v>
                </c:pt>
                <c:pt idx="7">
                  <c:v>14.810214829619545</c:v>
                </c:pt>
                <c:pt idx="8">
                  <c:v>16.925959805279479</c:v>
                </c:pt>
                <c:pt idx="9">
                  <c:v>19.041704780939416</c:v>
                </c:pt>
                <c:pt idx="10">
                  <c:v>21.157449756599348</c:v>
                </c:pt>
                <c:pt idx="11">
                  <c:v>23.273194732259281</c:v>
                </c:pt>
                <c:pt idx="12">
                  <c:v>25.38893970791921</c:v>
                </c:pt>
                <c:pt idx="13">
                  <c:v>27.504684683579146</c:v>
                </c:pt>
                <c:pt idx="14">
                  <c:v>29.620429659239079</c:v>
                </c:pt>
                <c:pt idx="15">
                  <c:v>31.736174634899008</c:v>
                </c:pt>
                <c:pt idx="16">
                  <c:v>33.851919610558937</c:v>
                </c:pt>
                <c:pt idx="17">
                  <c:v>35.967664586218874</c:v>
                </c:pt>
                <c:pt idx="18">
                  <c:v>38.08340956187881</c:v>
                </c:pt>
                <c:pt idx="19">
                  <c:v>40.199154537538739</c:v>
                </c:pt>
                <c:pt idx="20">
                  <c:v>41.891750518066672</c:v>
                </c:pt>
                <c:pt idx="21">
                  <c:v>42.27258461368546</c:v>
                </c:pt>
                <c:pt idx="22">
                  <c:v>42.314899513198661</c:v>
                </c:pt>
              </c:numCache>
            </c:numRef>
          </c:yVal>
          <c:smooth val="0"/>
        </c:ser>
        <c:ser>
          <c:idx val="11"/>
          <c:order val="11"/>
          <c:tx>
            <c:v>Infinity</c:v>
          </c:tx>
          <c:spPr>
            <a:ln w="25400">
              <a:solidFill>
                <a:srgbClr val="000000"/>
              </a:solidFill>
              <a:prstDash val="solid"/>
            </a:ln>
          </c:spPr>
          <c:marker>
            <c:symbol val="none"/>
          </c:marker>
          <c:xVal>
            <c:numRef>
              <c:f>'Steady State Conditions'!$O$18:$DK$18</c:f>
              <c:numCache>
                <c:formatCode>0.00</c:formatCode>
                <c:ptCount val="101"/>
                <c:pt idx="0">
                  <c:v>1.5657959735153604E-3</c:v>
                </c:pt>
                <c:pt idx="1">
                  <c:v>4.5050522704266349E-3</c:v>
                </c:pt>
                <c:pt idx="2">
                  <c:v>7.4358800718368201E-3</c:v>
                </c:pt>
                <c:pt idx="3">
                  <c:v>1.0358303570359606E-2</c:v>
                </c:pt>
                <c:pt idx="4">
                  <c:v>1.3272346889168896E-2</c:v>
                </c:pt>
                <c:pt idx="5">
                  <c:v>1.6178034082196202E-2</c:v>
                </c:pt>
                <c:pt idx="6">
                  <c:v>1.9075389134330267E-2</c:v>
                </c:pt>
                <c:pt idx="7">
                  <c:v>2.1964435961616235E-2</c:v>
                </c:pt>
                <c:pt idx="8">
                  <c:v>2.4845198411450942E-2</c:v>
                </c:pt>
                <c:pt idx="9">
                  <c:v>2.7717700262781531E-2</c:v>
                </c:pt>
                <c:pt idx="10">
                  <c:v>3.0581965226302299E-2</c:v>
                </c:pt>
                <c:pt idx="11">
                  <c:v>3.3438016944649318E-2</c:v>
                </c:pt>
                <c:pt idx="12">
                  <c:v>3.6285878992596499E-2</c:v>
                </c:pt>
                <c:pt idx="13">
                  <c:v>3.9125574877250657E-2</c:v>
                </c:pt>
                <c:pt idx="14">
                  <c:v>4.1957128038245139E-2</c:v>
                </c:pt>
                <c:pt idx="15">
                  <c:v>4.4780561847933442E-2</c:v>
                </c:pt>
                <c:pt idx="16">
                  <c:v>4.7595899611583281E-2</c:v>
                </c:pt>
                <c:pt idx="17">
                  <c:v>5.0403164567567549E-2</c:v>
                </c:pt>
                <c:pt idx="18">
                  <c:v>5.3202379887558382E-2</c:v>
                </c:pt>
                <c:pt idx="19">
                  <c:v>5.5993568676716454E-2</c:v>
                </c:pt>
                <c:pt idx="20">
                  <c:v>5.8776753973883489E-2</c:v>
                </c:pt>
                <c:pt idx="21">
                  <c:v>6.1551958751772329E-2</c:v>
                </c:pt>
                <c:pt idx="22">
                  <c:v>6.4319205917155897E-2</c:v>
                </c:pt>
                <c:pt idx="23">
                  <c:v>6.7078518311056823E-2</c:v>
                </c:pt>
                <c:pt idx="24">
                  <c:v>6.9829918708937289E-2</c:v>
                </c:pt>
                <c:pt idx="25">
                  <c:v>7.2573429820885771E-2</c:v>
                </c:pt>
                <c:pt idx="26">
                  <c:v>7.5309074291805111E-2</c:v>
                </c:pt>
                <c:pt idx="27">
                  <c:v>7.8036874701600256E-2</c:v>
                </c:pt>
                <c:pt idx="28">
                  <c:v>8.0756853565363551E-2</c:v>
                </c:pt>
                <c:pt idx="29">
                  <c:v>8.3469033333561926E-2</c:v>
                </c:pt>
                <c:pt idx="30">
                  <c:v>8.617343639222208E-2</c:v>
                </c:pt>
                <c:pt idx="31">
                  <c:v>8.8870085063115445E-2</c:v>
                </c:pt>
                <c:pt idx="32">
                  <c:v>9.1559001603942369E-2</c:v>
                </c:pt>
                <c:pt idx="33">
                  <c:v>9.4240208208515641E-2</c:v>
                </c:pt>
                <c:pt idx="34">
                  <c:v>9.6913727006944894E-2</c:v>
                </c:pt>
                <c:pt idx="35">
                  <c:v>9.9579580065819795E-2</c:v>
                </c:pt>
                <c:pt idx="36">
                  <c:v>0.12843696666433468</c:v>
                </c:pt>
                <c:pt idx="37">
                  <c:v>0.17650801653159109</c:v>
                </c:pt>
                <c:pt idx="38">
                  <c:v>0.22200614165328181</c:v>
                </c:pt>
                <c:pt idx="39">
                  <c:v>0.26506905364095923</c:v>
                </c:pt>
                <c:pt idx="40">
                  <c:v>0.30582709331618996</c:v>
                </c:pt>
                <c:pt idx="41">
                  <c:v>0.34440362522009516</c:v>
                </c:pt>
                <c:pt idx="42">
                  <c:v>0.38091541100741244</c:v>
                </c:pt>
                <c:pt idx="43">
                  <c:v>0.41547296285524959</c:v>
                </c:pt>
                <c:pt idx="44">
                  <c:v>0.44818087795620765</c:v>
                </c:pt>
                <c:pt idx="45">
                  <c:v>0.47913815510830593</c:v>
                </c:pt>
                <c:pt idx="46">
                  <c:v>0.50843849435994304</c:v>
                </c:pt>
                <c:pt idx="47">
                  <c:v>0.53617058061685197</c:v>
                </c:pt>
                <c:pt idx="48">
                  <c:v>0.56241835206945257</c:v>
                </c:pt>
                <c:pt idx="49">
                  <c:v>0.58726125425306774</c:v>
                </c:pt>
                <c:pt idx="50">
                  <c:v>0.61077448050997774</c:v>
                </c:pt>
                <c:pt idx="51">
                  <c:v>0.63302919958113701</c:v>
                </c:pt>
                <c:pt idx="52">
                  <c:v>0.65409277101641261</c:v>
                </c:pt>
                <c:pt idx="53">
                  <c:v>0.6740289490553405</c:v>
                </c:pt>
                <c:pt idx="54">
                  <c:v>0.69289807559549677</c:v>
                </c:pt>
                <c:pt idx="55">
                  <c:v>0.71075726283254892</c:v>
                </c:pt>
                <c:pt idx="56">
                  <c:v>0.72766056612479846</c:v>
                </c:pt>
                <c:pt idx="57">
                  <c:v>0.74365914760542617</c:v>
                </c:pt>
                <c:pt idx="58">
                  <c:v>0.7588014310376624</c:v>
                </c:pt>
                <c:pt idx="59">
                  <c:v>0.77313324838158159</c:v>
                </c:pt>
                <c:pt idx="60">
                  <c:v>0.78669797851615253</c:v>
                </c:pt>
                <c:pt idx="61">
                  <c:v>0.79953667853641242</c:v>
                </c:pt>
                <c:pt idx="62">
                  <c:v>0.81168820802317543</c:v>
                </c:pt>
                <c:pt idx="63">
                  <c:v>0.82318934666140642</c:v>
                </c:pt>
                <c:pt idx="64">
                  <c:v>0.83407490556326369</c:v>
                </c:pt>
                <c:pt idx="65">
                  <c:v>0.8443778326327549</c:v>
                </c:pt>
                <c:pt idx="66">
                  <c:v>0.85412931229092326</c:v>
                </c:pt>
                <c:pt idx="67">
                  <c:v>0.86335885986340433</c:v>
                </c:pt>
                <c:pt idx="68">
                  <c:v>0.87209441091604223</c:v>
                </c:pt>
                <c:pt idx="69">
                  <c:v>0.88036240580896341</c:v>
                </c:pt>
                <c:pt idx="70">
                  <c:v>0.88818786972502894</c:v>
                </c:pt>
                <c:pt idx="71">
                  <c:v>0.89559448841489742</c:v>
                </c:pt>
                <c:pt idx="72">
                  <c:v>0.90260467988795312</c:v>
                </c:pt>
                <c:pt idx="73">
                  <c:v>0.90923966226609643</c:v>
                </c:pt>
                <c:pt idx="74">
                  <c:v>0.91551951800576858</c:v>
                </c:pt>
                <c:pt idx="75">
                  <c:v>0.92146325468259926</c:v>
                </c:pt>
                <c:pt idx="76">
                  <c:v>0.92708886252265221</c:v>
                </c:pt>
                <c:pt idx="77">
                  <c:v>0.93241336885440651</c:v>
                </c:pt>
                <c:pt idx="78">
                  <c:v>0.93745288964628337</c:v>
                </c:pt>
                <c:pt idx="79">
                  <c:v>0.94222267828571027</c:v>
                </c:pt>
                <c:pt idx="80">
                  <c:v>0.94673717174736616</c:v>
                </c:pt>
                <c:pt idx="81">
                  <c:v>0.95101003429034481</c:v>
                </c:pt>
                <c:pt idx="82">
                  <c:v>0.95505419881650067</c:v>
                </c:pt>
                <c:pt idx="83">
                  <c:v>0.95888190601515433</c:v>
                </c:pt>
                <c:pt idx="84">
                  <c:v>0.96250474141264286</c:v>
                </c:pt>
                <c:pt idx="85">
                  <c:v>0.96593367043885281</c:v>
                </c:pt>
                <c:pt idx="86">
                  <c:v>0.96917907161687356</c:v>
                </c:pt>
                <c:pt idx="87">
                  <c:v>0.97225076797622945</c:v>
                </c:pt>
                <c:pt idx="88">
                  <c:v>0.97515805678476875</c:v>
                </c:pt>
                <c:pt idx="89">
                  <c:v>0.97790973768920253</c:v>
                </c:pt>
                <c:pt idx="90">
                  <c:v>0.98051413934946585</c:v>
                </c:pt>
                <c:pt idx="91">
                  <c:v>0.98297914464751979</c:v>
                </c:pt>
                <c:pt idx="92">
                  <c:v>0.98531221454689133</c:v>
                </c:pt>
                <c:pt idx="93">
                  <c:v>0.98752041067517182</c:v>
                </c:pt>
                <c:pt idx="94">
                  <c:v>0.98961041669782301</c:v>
                </c:pt>
                <c:pt idx="95">
                  <c:v>0.99158855854798555</c:v>
                </c:pt>
                <c:pt idx="96">
                  <c:v>0.99346082357351917</c:v>
                </c:pt>
                <c:pt idx="97">
                  <c:v>0.99523287865922916</c:v>
                </c:pt>
                <c:pt idx="98">
                  <c:v>0.99691008737913012</c:v>
                </c:pt>
                <c:pt idx="99">
                  <c:v>0.99849752623066268</c:v>
                </c:pt>
                <c:pt idx="100">
                  <c:v>1</c:v>
                </c:pt>
              </c:numCache>
            </c:numRef>
          </c:xVal>
          <c:yVal>
            <c:numRef>
              <c:f>'Steady State Conditions'!$O$17:$DK$17</c:f>
              <c:numCache>
                <c:formatCode>0.00</c:formatCode>
                <c:ptCount val="101"/>
                <c:pt idx="0">
                  <c:v>0</c:v>
                </c:pt>
                <c:pt idx="1">
                  <c:v>0.42314899513198662</c:v>
                </c:pt>
                <c:pt idx="2">
                  <c:v>0.84629799026397323</c:v>
                </c:pt>
                <c:pt idx="3">
                  <c:v>1.2694469853959598</c:v>
                </c:pt>
                <c:pt idx="4">
                  <c:v>1.6925959805279465</c:v>
                </c:pt>
                <c:pt idx="5">
                  <c:v>2.1157449756599331</c:v>
                </c:pt>
                <c:pt idx="6">
                  <c:v>2.53889397079192</c:v>
                </c:pt>
                <c:pt idx="7">
                  <c:v>2.9620429659239065</c:v>
                </c:pt>
                <c:pt idx="8">
                  <c:v>3.3851919610558929</c:v>
                </c:pt>
                <c:pt idx="9">
                  <c:v>3.8083409561878794</c:v>
                </c:pt>
                <c:pt idx="10">
                  <c:v>4.2314899513198654</c:v>
                </c:pt>
                <c:pt idx="11">
                  <c:v>4.6546389464518523</c:v>
                </c:pt>
                <c:pt idx="12">
                  <c:v>5.0777879415838383</c:v>
                </c:pt>
                <c:pt idx="13">
                  <c:v>5.5009369367158252</c:v>
                </c:pt>
                <c:pt idx="14">
                  <c:v>5.9240859318478121</c:v>
                </c:pt>
                <c:pt idx="15">
                  <c:v>6.347234926979799</c:v>
                </c:pt>
                <c:pt idx="16">
                  <c:v>6.7703839221117859</c:v>
                </c:pt>
                <c:pt idx="17">
                  <c:v>7.1935329172437728</c:v>
                </c:pt>
                <c:pt idx="18">
                  <c:v>7.6166819123757596</c:v>
                </c:pt>
                <c:pt idx="19">
                  <c:v>8.0398309075077474</c:v>
                </c:pt>
                <c:pt idx="20">
                  <c:v>8.4629799026397343</c:v>
                </c:pt>
                <c:pt idx="21">
                  <c:v>8.8861288977717212</c:v>
                </c:pt>
                <c:pt idx="22">
                  <c:v>9.3092778929037081</c:v>
                </c:pt>
                <c:pt idx="23">
                  <c:v>9.732426888035695</c:v>
                </c:pt>
                <c:pt idx="24">
                  <c:v>10.155575883167682</c:v>
                </c:pt>
                <c:pt idx="25">
                  <c:v>10.578724878299667</c:v>
                </c:pt>
                <c:pt idx="26">
                  <c:v>11.001873873431654</c:v>
                </c:pt>
                <c:pt idx="27">
                  <c:v>11.425022868563641</c:v>
                </c:pt>
                <c:pt idx="28">
                  <c:v>11.848171863695628</c:v>
                </c:pt>
                <c:pt idx="29">
                  <c:v>12.271320858827616</c:v>
                </c:pt>
                <c:pt idx="30">
                  <c:v>12.694469853959603</c:v>
                </c:pt>
                <c:pt idx="31">
                  <c:v>13.11761884909159</c:v>
                </c:pt>
                <c:pt idx="32">
                  <c:v>13.540767844223577</c:v>
                </c:pt>
                <c:pt idx="33">
                  <c:v>13.963916839355564</c:v>
                </c:pt>
                <c:pt idx="34">
                  <c:v>14.387065834487551</c:v>
                </c:pt>
                <c:pt idx="35">
                  <c:v>14.810214829619538</c:v>
                </c:pt>
                <c:pt idx="36">
                  <c:v>15.233363824751525</c:v>
                </c:pt>
                <c:pt idx="37">
                  <c:v>15.656512819883512</c:v>
                </c:pt>
                <c:pt idx="38">
                  <c:v>16.079661815015498</c:v>
                </c:pt>
                <c:pt idx="39">
                  <c:v>16.502810810147487</c:v>
                </c:pt>
                <c:pt idx="40">
                  <c:v>16.925959805279472</c:v>
                </c:pt>
                <c:pt idx="41">
                  <c:v>17.349108800411461</c:v>
                </c:pt>
                <c:pt idx="42">
                  <c:v>17.772257795543446</c:v>
                </c:pt>
                <c:pt idx="43">
                  <c:v>18.195406790675435</c:v>
                </c:pt>
                <c:pt idx="44">
                  <c:v>18.61855578580742</c:v>
                </c:pt>
                <c:pt idx="45">
                  <c:v>19.041704780939408</c:v>
                </c:pt>
                <c:pt idx="46">
                  <c:v>19.464853776071394</c:v>
                </c:pt>
                <c:pt idx="47">
                  <c:v>19.888002771203382</c:v>
                </c:pt>
                <c:pt idx="48">
                  <c:v>20.311151766335367</c:v>
                </c:pt>
                <c:pt idx="49">
                  <c:v>20.734300761467356</c:v>
                </c:pt>
                <c:pt idx="50">
                  <c:v>21.157449756599341</c:v>
                </c:pt>
                <c:pt idx="51">
                  <c:v>21.580598751731326</c:v>
                </c:pt>
                <c:pt idx="52">
                  <c:v>22.003747746863315</c:v>
                </c:pt>
                <c:pt idx="53">
                  <c:v>22.4268967419953</c:v>
                </c:pt>
                <c:pt idx="54">
                  <c:v>22.850045737127289</c:v>
                </c:pt>
                <c:pt idx="55">
                  <c:v>23.273194732259274</c:v>
                </c:pt>
                <c:pt idx="56">
                  <c:v>23.696343727391262</c:v>
                </c:pt>
                <c:pt idx="57">
                  <c:v>24.119492722523248</c:v>
                </c:pt>
                <c:pt idx="58">
                  <c:v>24.542641717655236</c:v>
                </c:pt>
                <c:pt idx="59">
                  <c:v>24.965790712787221</c:v>
                </c:pt>
                <c:pt idx="60">
                  <c:v>25.38893970791921</c:v>
                </c:pt>
                <c:pt idx="61">
                  <c:v>25.812088703051195</c:v>
                </c:pt>
                <c:pt idx="62">
                  <c:v>26.235237698183184</c:v>
                </c:pt>
                <c:pt idx="63">
                  <c:v>26.658386693315169</c:v>
                </c:pt>
                <c:pt idx="64">
                  <c:v>27.081535688447158</c:v>
                </c:pt>
                <c:pt idx="65">
                  <c:v>27.504684683579146</c:v>
                </c:pt>
                <c:pt idx="66">
                  <c:v>27.927833678711131</c:v>
                </c:pt>
                <c:pt idx="67">
                  <c:v>28.35098267384312</c:v>
                </c:pt>
                <c:pt idx="68">
                  <c:v>28.774131668975105</c:v>
                </c:pt>
                <c:pt idx="69">
                  <c:v>29.197280664107094</c:v>
                </c:pt>
                <c:pt idx="70">
                  <c:v>29.620429659239079</c:v>
                </c:pt>
                <c:pt idx="71">
                  <c:v>30.043578654371068</c:v>
                </c:pt>
                <c:pt idx="72">
                  <c:v>30.466727649503053</c:v>
                </c:pt>
                <c:pt idx="73">
                  <c:v>30.889876644635041</c:v>
                </c:pt>
                <c:pt idx="74">
                  <c:v>31.313025639767027</c:v>
                </c:pt>
                <c:pt idx="75">
                  <c:v>31.736174634899015</c:v>
                </c:pt>
                <c:pt idx="76">
                  <c:v>32.159323630031004</c:v>
                </c:pt>
                <c:pt idx="77">
                  <c:v>32.582472625162985</c:v>
                </c:pt>
                <c:pt idx="78">
                  <c:v>33.005621620294974</c:v>
                </c:pt>
                <c:pt idx="79">
                  <c:v>33.428770615426963</c:v>
                </c:pt>
                <c:pt idx="80">
                  <c:v>33.851919610558951</c:v>
                </c:pt>
                <c:pt idx="81">
                  <c:v>34.275068605690933</c:v>
                </c:pt>
                <c:pt idx="82">
                  <c:v>34.698217600822922</c:v>
                </c:pt>
                <c:pt idx="83">
                  <c:v>35.12136659595491</c:v>
                </c:pt>
                <c:pt idx="84">
                  <c:v>35.544515591086899</c:v>
                </c:pt>
                <c:pt idx="85">
                  <c:v>35.967664586218888</c:v>
                </c:pt>
                <c:pt idx="86">
                  <c:v>36.390813581350869</c:v>
                </c:pt>
                <c:pt idx="87">
                  <c:v>36.813962576482858</c:v>
                </c:pt>
                <c:pt idx="88">
                  <c:v>37.237111571614847</c:v>
                </c:pt>
                <c:pt idx="89">
                  <c:v>37.660260566746835</c:v>
                </c:pt>
                <c:pt idx="90">
                  <c:v>38.083409561878817</c:v>
                </c:pt>
                <c:pt idx="91">
                  <c:v>38.506558557010806</c:v>
                </c:pt>
                <c:pt idx="92">
                  <c:v>38.929707552142794</c:v>
                </c:pt>
                <c:pt idx="93">
                  <c:v>39.352856547274783</c:v>
                </c:pt>
                <c:pt idx="94">
                  <c:v>39.776005542406764</c:v>
                </c:pt>
                <c:pt idx="95">
                  <c:v>40.199154537538753</c:v>
                </c:pt>
                <c:pt idx="96">
                  <c:v>40.622303532670742</c:v>
                </c:pt>
                <c:pt idx="97">
                  <c:v>41.04545252780273</c:v>
                </c:pt>
                <c:pt idx="98">
                  <c:v>41.468601522934712</c:v>
                </c:pt>
                <c:pt idx="99">
                  <c:v>41.891750518066701</c:v>
                </c:pt>
                <c:pt idx="100">
                  <c:v>42.314899513198689</c:v>
                </c:pt>
              </c:numCache>
            </c:numRef>
          </c:yVal>
          <c:smooth val="0"/>
        </c:ser>
        <c:dLbls>
          <c:showLegendKey val="0"/>
          <c:showVal val="0"/>
          <c:showCatName val="0"/>
          <c:showSerName val="0"/>
          <c:showPercent val="0"/>
          <c:showBubbleSize val="0"/>
        </c:dLbls>
        <c:axId val="139135232"/>
        <c:axId val="139145600"/>
      </c:scatterChart>
      <c:valAx>
        <c:axId val="139135232"/>
        <c:scaling>
          <c:orientation val="minMax"/>
          <c:max val="1"/>
          <c:min val="0"/>
        </c:scaling>
        <c:delete val="0"/>
        <c:axPos val="b"/>
        <c:title>
          <c:tx>
            <c:rich>
              <a:bodyPr/>
              <a:lstStyle/>
              <a:p>
                <a:pPr>
                  <a:defRPr sz="1100" b="0" i="0" u="none" strike="noStrike" baseline="0">
                    <a:solidFill>
                      <a:srgbClr val="000000"/>
                    </a:solidFill>
                    <a:latin typeface="Calibri"/>
                    <a:ea typeface="Calibri"/>
                    <a:cs typeface="Calibri"/>
                  </a:defRPr>
                </a:pPr>
                <a:r>
                  <a:rPr lang="en-US" sz="875" b="1" i="0" u="none" strike="noStrike" baseline="0">
                    <a:solidFill>
                      <a:srgbClr val="000000"/>
                    </a:solidFill>
                    <a:latin typeface="Arial"/>
                    <a:cs typeface="Arial"/>
                  </a:rPr>
                  <a:t>Concentration, </a:t>
                </a:r>
                <a:r>
                  <a:rPr lang="en-US" sz="875" b="1" i="0" u="none" strike="noStrike" baseline="0">
                    <a:solidFill>
                      <a:srgbClr val="000000"/>
                    </a:solidFill>
                    <a:latin typeface="Symbol"/>
                  </a:rPr>
                  <a:t>m</a:t>
                </a:r>
                <a:r>
                  <a:rPr lang="en-US" sz="875" b="1" i="0" u="none" strike="noStrike" baseline="0">
                    <a:solidFill>
                      <a:srgbClr val="000000"/>
                    </a:solidFill>
                    <a:latin typeface="Arial"/>
                    <a:cs typeface="Arial"/>
                  </a:rPr>
                  <a:t>g/L</a:t>
                </a:r>
              </a:p>
            </c:rich>
          </c:tx>
          <c:layout>
            <c:manualLayout>
              <c:xMode val="edge"/>
              <c:yMode val="edge"/>
              <c:x val="0.3265313264413377"/>
              <c:y val="0.9097251385243511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39145600"/>
        <c:crosses val="max"/>
        <c:crossBetween val="midCat"/>
      </c:valAx>
      <c:valAx>
        <c:axId val="139145600"/>
        <c:scaling>
          <c:orientation val="maxMin"/>
          <c:min val="0"/>
        </c:scaling>
        <c:delete val="0"/>
        <c:axPos val="l"/>
        <c:title>
          <c:tx>
            <c:rich>
              <a:bodyPr/>
              <a:lstStyle/>
              <a:p>
                <a:pPr>
                  <a:defRPr sz="875" b="1" i="0" u="none" strike="noStrike" baseline="0">
                    <a:solidFill>
                      <a:srgbClr val="000000"/>
                    </a:solidFill>
                    <a:latin typeface="Arial"/>
                    <a:ea typeface="Arial"/>
                    <a:cs typeface="Arial"/>
                  </a:defRPr>
                </a:pPr>
                <a:r>
                  <a:rPr lang="en-US"/>
                  <a:t>Depth, cm</a:t>
                </a:r>
              </a:p>
            </c:rich>
          </c:tx>
          <c:layout>
            <c:manualLayout>
              <c:xMode val="edge"/>
              <c:yMode val="edge"/>
              <c:x val="2.2675736961451247E-2"/>
              <c:y val="0.375001093613298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39135232"/>
        <c:crosses val="autoZero"/>
        <c:crossBetween val="midCat"/>
      </c:valAx>
      <c:spPr>
        <a:solidFill>
          <a:srgbClr val="FFFFFF"/>
        </a:solidFill>
        <a:ln w="12700">
          <a:solidFill>
            <a:srgbClr val="808080"/>
          </a:solidFill>
          <a:prstDash val="solid"/>
        </a:ln>
      </c:spPr>
    </c:plotArea>
    <c:legend>
      <c:legendPos val="r"/>
      <c:layout>
        <c:manualLayout>
          <c:xMode val="edge"/>
          <c:yMode val="edge"/>
          <c:x val="0.80952571404764873"/>
          <c:y val="0.10416703120443278"/>
          <c:w val="0.14966010201105817"/>
          <c:h val="0.79514144065325165"/>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horizontalDpi="300"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238125</xdr:colOff>
      <xdr:row>5</xdr:row>
      <xdr:rowOff>257175</xdr:rowOff>
    </xdr:from>
    <xdr:to>
      <xdr:col>10</xdr:col>
      <xdr:colOff>0</xdr:colOff>
      <xdr:row>13</xdr:row>
      <xdr:rowOff>19050</xdr:rowOff>
    </xdr:to>
    <xdr:graphicFrame macro="">
      <xdr:nvGraphicFramePr>
        <xdr:cNvPr id="215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0</xdr:col>
          <xdr:colOff>762000</xdr:colOff>
          <xdr:row>1</xdr:row>
          <xdr:rowOff>142875</xdr:rowOff>
        </xdr:from>
        <xdr:to>
          <xdr:col>0</xdr:col>
          <xdr:colOff>762000</xdr:colOff>
          <xdr:row>1</xdr:row>
          <xdr:rowOff>142875</xdr:rowOff>
        </xdr:to>
        <xdr:grpSp>
          <xdr:nvGrpSpPr>
            <xdr:cNvPr id="21519" name="Group 15"/>
            <xdr:cNvGrpSpPr>
              <a:grpSpLocks/>
            </xdr:cNvGrpSpPr>
          </xdr:nvGrpSpPr>
          <xdr:grpSpPr bwMode="auto">
            <a:xfrm>
              <a:off x="762000" y="304800"/>
              <a:ext cx="0" cy="0"/>
              <a:chOff x="0" y="0"/>
              <a:chExt cx="0" cy="0"/>
            </a:xfrm>
          </xdr:grpSpPr>
        </xdr:grpSp>
        <xdr:clientData/>
      </xdr:twoCellAnchor>
    </mc:Choice>
    <mc:Fallback/>
  </mc:AlternateContent>
  <xdr:twoCellAnchor editAs="oneCell">
    <xdr:from>
      <xdr:col>3</xdr:col>
      <xdr:colOff>600075</xdr:colOff>
      <xdr:row>45</xdr:row>
      <xdr:rowOff>0</xdr:rowOff>
    </xdr:from>
    <xdr:to>
      <xdr:col>9</xdr:col>
      <xdr:colOff>371475</xdr:colOff>
      <xdr:row>59</xdr:row>
      <xdr:rowOff>57150</xdr:rowOff>
    </xdr:to>
    <xdr:pic>
      <xdr:nvPicPr>
        <xdr:cNvPr id="21527" name="Picture 2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9534525"/>
          <a:ext cx="376237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219075</xdr:colOff>
          <xdr:row>12</xdr:row>
          <xdr:rowOff>57150</xdr:rowOff>
        </xdr:from>
        <xdr:to>
          <xdr:col>13</xdr:col>
          <xdr:colOff>533400</xdr:colOff>
          <xdr:row>38</xdr:row>
          <xdr:rowOff>28575</xdr:rowOff>
        </xdr:to>
        <xdr:grpSp>
          <xdr:nvGrpSpPr>
            <xdr:cNvPr id="21528" name="Group 24"/>
            <xdr:cNvGrpSpPr>
              <a:grpSpLocks/>
            </xdr:cNvGrpSpPr>
          </xdr:nvGrpSpPr>
          <xdr:grpSpPr bwMode="auto">
            <a:xfrm>
              <a:off x="5857875" y="3638550"/>
              <a:ext cx="6219825" cy="4676775"/>
              <a:chOff x="535" y="350"/>
              <a:chExt cx="653" cy="491"/>
            </a:xfrm>
          </xdr:grpSpPr>
        </xdr:grp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0.43518</cdr:x>
      <cdr:y>0.12995</cdr:y>
    </cdr:from>
    <cdr:to>
      <cdr:x>0.68629</cdr:x>
      <cdr:y>0.22499</cdr:y>
    </cdr:to>
    <cdr:sp macro="" textlink="">
      <cdr:nvSpPr>
        <cdr:cNvPr id="26625" name="Text Box 1"/>
        <cdr:cNvSpPr txBox="1">
          <a:spLocks xmlns:a="http://schemas.openxmlformats.org/drawingml/2006/main" noChangeArrowheads="1"/>
        </cdr:cNvSpPr>
      </cdr:nvSpPr>
      <cdr:spPr bwMode="auto">
        <a:xfrm xmlns:a="http://schemas.openxmlformats.org/drawingml/2006/main">
          <a:off x="1633165" y="354003"/>
          <a:ext cx="942374" cy="2589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endParaRPr lang="en-US" sz="800" b="0" i="0" strike="noStrike">
            <a:solidFill>
              <a:srgbClr val="000000"/>
            </a:solidFill>
            <a:latin typeface="Arial"/>
            <a:cs typeface="Arial"/>
          </a:endParaRPr>
        </a:p>
        <a:p xmlns:a="http://schemas.openxmlformats.org/drawingml/2006/main">
          <a:pPr algn="l" rtl="0">
            <a:defRPr sz="1000"/>
          </a:pPr>
          <a:r>
            <a:rPr lang="en-US" sz="800" b="0" i="0" strike="noStrike">
              <a:solidFill>
                <a:srgbClr val="000000"/>
              </a:solidFill>
              <a:latin typeface="Arial"/>
              <a:cs typeface="Arial"/>
            </a:rPr>
            <a:t>Cap-Water Interface</a:t>
          </a:r>
        </a:p>
      </cdr:txBody>
    </cdr:sp>
  </cdr:relSizeAnchor>
  <cdr:relSizeAnchor xmlns:cdr="http://schemas.openxmlformats.org/drawingml/2006/chartDrawing">
    <cdr:from>
      <cdr:x>0.43299</cdr:x>
      <cdr:y>0.44009</cdr:y>
    </cdr:from>
    <cdr:to>
      <cdr:x>0.67651</cdr:x>
      <cdr:y>0.49185</cdr:y>
    </cdr:to>
    <cdr:sp macro="" textlink="">
      <cdr:nvSpPr>
        <cdr:cNvPr id="26626" name="Text Box 2"/>
        <cdr:cNvSpPr txBox="1">
          <a:spLocks xmlns:a="http://schemas.openxmlformats.org/drawingml/2006/main" noChangeArrowheads="1"/>
        </cdr:cNvSpPr>
      </cdr:nvSpPr>
      <cdr:spPr bwMode="auto">
        <a:xfrm xmlns:a="http://schemas.openxmlformats.org/drawingml/2006/main">
          <a:off x="1624947" y="1198871"/>
          <a:ext cx="913905" cy="14100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Effective Cap Layer</a:t>
          </a:r>
        </a:p>
      </cdr:txBody>
    </cdr:sp>
  </cdr:relSizeAnchor>
  <cdr:relSizeAnchor xmlns:cdr="http://schemas.openxmlformats.org/drawingml/2006/chartDrawing">
    <cdr:from>
      <cdr:x>0.43226</cdr:x>
      <cdr:y>0.22812</cdr:y>
    </cdr:from>
    <cdr:to>
      <cdr:x>0.66669</cdr:x>
      <cdr:y>0.27988</cdr:y>
    </cdr:to>
    <cdr:sp macro="" textlink="">
      <cdr:nvSpPr>
        <cdr:cNvPr id="26627" name="Text Box 3"/>
        <cdr:cNvSpPr txBox="1">
          <a:spLocks xmlns:a="http://schemas.openxmlformats.org/drawingml/2006/main" noChangeArrowheads="1"/>
        </cdr:cNvSpPr>
      </cdr:nvSpPr>
      <cdr:spPr bwMode="auto">
        <a:xfrm xmlns:a="http://schemas.openxmlformats.org/drawingml/2006/main">
          <a:off x="1622207" y="621433"/>
          <a:ext cx="879793" cy="1410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 Bioturbation Layer</a:t>
          </a:r>
        </a:p>
      </cdr:txBody>
    </cdr:sp>
  </cdr:relSizeAnchor>
  <cdr:relSizeAnchor xmlns:cdr="http://schemas.openxmlformats.org/drawingml/2006/chartDrawing">
    <cdr:from>
      <cdr:x>0.43518</cdr:x>
      <cdr:y>0.63786</cdr:y>
    </cdr:from>
    <cdr:to>
      <cdr:x>0.69387</cdr:x>
      <cdr:y>0.7329</cdr:y>
    </cdr:to>
    <cdr:sp macro="" textlink="">
      <cdr:nvSpPr>
        <cdr:cNvPr id="26628" name="Text Box 4"/>
        <cdr:cNvSpPr txBox="1">
          <a:spLocks xmlns:a="http://schemas.openxmlformats.org/drawingml/2006/main" noChangeArrowheads="1"/>
        </cdr:cNvSpPr>
      </cdr:nvSpPr>
      <cdr:spPr bwMode="auto">
        <a:xfrm xmlns:a="http://schemas.openxmlformats.org/drawingml/2006/main">
          <a:off x="1633165" y="1737626"/>
          <a:ext cx="970843" cy="2589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endParaRPr lang="en-US" sz="800" b="0" i="0" strike="noStrike">
            <a:solidFill>
              <a:srgbClr val="000000"/>
            </a:solidFill>
            <a:latin typeface="Arial"/>
            <a:cs typeface="Arial"/>
          </a:endParaRPr>
        </a:p>
        <a:p xmlns:a="http://schemas.openxmlformats.org/drawingml/2006/main">
          <a:pPr algn="l" rtl="0">
            <a:defRPr sz="1000"/>
          </a:pPr>
          <a:r>
            <a:rPr lang="en-US" sz="800" b="0" i="0" strike="noStrike">
              <a:solidFill>
                <a:srgbClr val="000000"/>
              </a:solidFill>
              <a:latin typeface="Arial"/>
              <a:cs typeface="Arial"/>
            </a:rPr>
            <a:t>Underlying Sediment</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152400</xdr:colOff>
      <xdr:row>17</xdr:row>
      <xdr:rowOff>38100</xdr:rowOff>
    </xdr:from>
    <xdr:to>
      <xdr:col>11</xdr:col>
      <xdr:colOff>419100</xdr:colOff>
      <xdr:row>34</xdr:row>
      <xdr:rowOff>28575</xdr:rowOff>
    </xdr:to>
    <xdr:graphicFrame macro="">
      <xdr:nvGraphicFramePr>
        <xdr:cNvPr id="3379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133350</xdr:colOff>
          <xdr:row>6</xdr:row>
          <xdr:rowOff>9525</xdr:rowOff>
        </xdr:from>
        <xdr:to>
          <xdr:col>10</xdr:col>
          <xdr:colOff>581025</xdr:colOff>
          <xdr:row>13</xdr:row>
          <xdr:rowOff>123825</xdr:rowOff>
        </xdr:to>
        <xdr:sp macro="" textlink="">
          <xdr:nvSpPr>
            <xdr:cNvPr id="33796" name="Object 4" hidden="1">
              <a:extLst>
                <a:ext uri="{63B3BB69-23CF-44E3-9099-C40C66FF867C}">
                  <a14:compatExt spid="_x0000_s33796"/>
                </a:ext>
              </a:extLst>
            </xdr:cNvPr>
            <xdr:cNvSpPr/>
          </xdr:nvSpPr>
          <xdr:spPr>
            <a:xfrm>
              <a:off x="0" y="0"/>
              <a:ext cx="0" cy="0"/>
            </a:xfrm>
            <a:prstGeom prst="rect">
              <a:avLst/>
            </a:prstGeom>
          </xdr:spPr>
        </xdr:sp>
        <xdr:clientData/>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0.33678</cdr:x>
      <cdr:y>0.72011</cdr:y>
    </cdr:from>
    <cdr:to>
      <cdr:x>0.58845</cdr:x>
      <cdr:y>0.79107</cdr:y>
    </cdr:to>
    <cdr:sp macro="" textlink="">
      <cdr:nvSpPr>
        <cdr:cNvPr id="40961" name="Text Box 1025"/>
        <cdr:cNvSpPr txBox="1">
          <a:spLocks xmlns:a="http://schemas.openxmlformats.org/drawingml/2006/main" noChangeArrowheads="1"/>
        </cdr:cNvSpPr>
      </cdr:nvSpPr>
      <cdr:spPr bwMode="auto">
        <a:xfrm xmlns:a="http://schemas.openxmlformats.org/drawingml/2006/main">
          <a:off x="1421028" y="1985442"/>
          <a:ext cx="1059561" cy="1953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Underlying Sediment</a:t>
          </a:r>
        </a:p>
      </cdr:txBody>
    </cdr:sp>
  </cdr:relSizeAnchor>
  <cdr:relSizeAnchor xmlns:cdr="http://schemas.openxmlformats.org/drawingml/2006/chartDrawing">
    <cdr:from>
      <cdr:x>0.33678</cdr:x>
      <cdr:y>0.15946</cdr:y>
    </cdr:from>
    <cdr:to>
      <cdr:x>0.58796</cdr:x>
      <cdr:y>0.23572</cdr:y>
    </cdr:to>
    <cdr:sp macro="" textlink="">
      <cdr:nvSpPr>
        <cdr:cNvPr id="40962" name="Text Box 1026"/>
        <cdr:cNvSpPr txBox="1">
          <a:spLocks xmlns:a="http://schemas.openxmlformats.org/drawingml/2006/main" noChangeArrowheads="1"/>
        </cdr:cNvSpPr>
      </cdr:nvSpPr>
      <cdr:spPr bwMode="auto">
        <a:xfrm xmlns:a="http://schemas.openxmlformats.org/drawingml/2006/main">
          <a:off x="1421028" y="442113"/>
          <a:ext cx="1057504" cy="2099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Bioturbation Layer</a:t>
          </a:r>
        </a:p>
      </cdr:txBody>
    </cdr:sp>
  </cdr:relSizeAnchor>
  <cdr:relSizeAnchor xmlns:cdr="http://schemas.openxmlformats.org/drawingml/2006/chartDrawing">
    <cdr:from>
      <cdr:x>0.33678</cdr:x>
      <cdr:y>0.41504</cdr:y>
    </cdr:from>
    <cdr:to>
      <cdr:x>0.58796</cdr:x>
      <cdr:y>0.47031</cdr:y>
    </cdr:to>
    <cdr:sp macro="" textlink="">
      <cdr:nvSpPr>
        <cdr:cNvPr id="40963" name="Text Box 1027"/>
        <cdr:cNvSpPr txBox="1">
          <a:spLocks xmlns:a="http://schemas.openxmlformats.org/drawingml/2006/main" noChangeArrowheads="1"/>
        </cdr:cNvSpPr>
      </cdr:nvSpPr>
      <cdr:spPr bwMode="auto">
        <a:xfrm xmlns:a="http://schemas.openxmlformats.org/drawingml/2006/main">
          <a:off x="1421028" y="1145680"/>
          <a:ext cx="1057504" cy="15214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Containment Layer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78"/>
  <sheetViews>
    <sheetView tabSelected="1" topLeftCell="A3" zoomScaleNormal="100" workbookViewId="0">
      <selection activeCell="B20" sqref="B20"/>
    </sheetView>
  </sheetViews>
  <sheetFormatPr defaultRowHeight="12.75" x14ac:dyDescent="0.2"/>
  <cols>
    <col min="1" max="1" width="53" customWidth="1"/>
    <col min="2" max="2" width="12.42578125" bestFit="1" customWidth="1"/>
    <col min="3" max="4" width="9.5703125" customWidth="1"/>
    <col min="5" max="5" width="12" bestFit="1" customWidth="1"/>
    <col min="6" max="15" width="9.5703125" customWidth="1"/>
    <col min="16" max="16" width="9.28515625" customWidth="1"/>
    <col min="17" max="114" width="0.28515625" customWidth="1"/>
    <col min="115" max="115" width="5.5703125" bestFit="1" customWidth="1"/>
  </cols>
  <sheetData>
    <row r="1" spans="1:127" x14ac:dyDescent="0.2">
      <c r="A1" s="2" t="s">
        <v>11</v>
      </c>
    </row>
    <row r="2" spans="1:127" x14ac:dyDescent="0.2">
      <c r="A2" t="s">
        <v>88</v>
      </c>
    </row>
    <row r="3" spans="1:127" x14ac:dyDescent="0.2">
      <c r="A3" s="26" t="s">
        <v>120</v>
      </c>
    </row>
    <row r="4" spans="1:127" x14ac:dyDescent="0.2">
      <c r="A4" s="45">
        <v>41068</v>
      </c>
    </row>
    <row r="6" spans="1:127" ht="133.5" customHeight="1" x14ac:dyDescent="0.2">
      <c r="A6" s="73" t="s">
        <v>89</v>
      </c>
      <c r="B6" s="73"/>
      <c r="C6" s="73"/>
      <c r="D6" s="73"/>
    </row>
    <row r="8" spans="1:127" x14ac:dyDescent="0.2">
      <c r="A8" s="2" t="s">
        <v>41</v>
      </c>
    </row>
    <row r="9" spans="1:127" x14ac:dyDescent="0.2">
      <c r="A9" s="33" t="s">
        <v>36</v>
      </c>
      <c r="B9" s="52" t="s">
        <v>85</v>
      </c>
    </row>
    <row r="10" spans="1:127" ht="15.75" x14ac:dyDescent="0.3">
      <c r="A10" s="50" t="s">
        <v>92</v>
      </c>
      <c r="B10" s="53">
        <v>4.57</v>
      </c>
    </row>
    <row r="11" spans="1:127" ht="15.75" x14ac:dyDescent="0.3">
      <c r="A11" s="4" t="s">
        <v>19</v>
      </c>
      <c r="B11" s="54">
        <v>6.0000000000000002E-6</v>
      </c>
      <c r="C11" s="4" t="s">
        <v>104</v>
      </c>
      <c r="DL11" s="9"/>
      <c r="DM11" s="9"/>
      <c r="DN11" s="9"/>
      <c r="DO11" s="9"/>
      <c r="DP11" s="9"/>
      <c r="DQ11" s="9"/>
      <c r="DR11" s="9"/>
      <c r="DS11" s="9"/>
      <c r="DT11" s="9"/>
      <c r="DU11" s="9"/>
      <c r="DV11" s="9"/>
      <c r="DW11" s="9"/>
    </row>
    <row r="12" spans="1:127" ht="15" x14ac:dyDescent="0.25">
      <c r="A12" s="27" t="s">
        <v>24</v>
      </c>
      <c r="B12" s="55">
        <v>0</v>
      </c>
      <c r="C12" s="4" t="s">
        <v>105</v>
      </c>
      <c r="E12" s="40" t="s">
        <v>56</v>
      </c>
      <c r="F12" s="40"/>
      <c r="G12" s="40"/>
      <c r="H12" s="40"/>
      <c r="I12" s="40"/>
      <c r="J12" s="40"/>
      <c r="K12" s="40"/>
    </row>
    <row r="13" spans="1:127" ht="15" x14ac:dyDescent="0.25">
      <c r="A13" s="27" t="s">
        <v>25</v>
      </c>
      <c r="B13" s="55">
        <v>0</v>
      </c>
      <c r="C13" s="4" t="s">
        <v>105</v>
      </c>
      <c r="D13" s="19"/>
    </row>
    <row r="14" spans="1:127" x14ac:dyDescent="0.2">
      <c r="C14" s="4"/>
    </row>
    <row r="15" spans="1:127" x14ac:dyDescent="0.2">
      <c r="A15" s="2" t="s">
        <v>6</v>
      </c>
      <c r="C15" s="4"/>
      <c r="O15" s="70" t="s">
        <v>46</v>
      </c>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2"/>
    </row>
    <row r="16" spans="1:127" ht="15.75" x14ac:dyDescent="0.3">
      <c r="A16" s="27" t="s">
        <v>16</v>
      </c>
      <c r="B16" s="53">
        <v>1</v>
      </c>
      <c r="C16" s="4" t="s">
        <v>4</v>
      </c>
      <c r="O16" s="8">
        <v>0</v>
      </c>
      <c r="P16" s="9">
        <f>O16+0.01</f>
        <v>0.01</v>
      </c>
      <c r="Q16" s="9">
        <f t="shared" ref="Q16:CB16" si="0">P16+0.01</f>
        <v>0.02</v>
      </c>
      <c r="R16" s="9">
        <f t="shared" si="0"/>
        <v>0.03</v>
      </c>
      <c r="S16" s="9">
        <f t="shared" si="0"/>
        <v>0.04</v>
      </c>
      <c r="T16" s="9">
        <f t="shared" si="0"/>
        <v>0.05</v>
      </c>
      <c r="U16" s="9">
        <f t="shared" si="0"/>
        <v>6.0000000000000005E-2</v>
      </c>
      <c r="V16" s="9">
        <f t="shared" si="0"/>
        <v>7.0000000000000007E-2</v>
      </c>
      <c r="W16" s="9">
        <f t="shared" si="0"/>
        <v>0.08</v>
      </c>
      <c r="X16" s="9">
        <f t="shared" si="0"/>
        <v>0.09</v>
      </c>
      <c r="Y16" s="9">
        <f t="shared" si="0"/>
        <v>9.9999999999999992E-2</v>
      </c>
      <c r="Z16" s="9">
        <f t="shared" si="0"/>
        <v>0.10999999999999999</v>
      </c>
      <c r="AA16" s="9">
        <f t="shared" si="0"/>
        <v>0.11999999999999998</v>
      </c>
      <c r="AB16" s="9">
        <f t="shared" si="0"/>
        <v>0.12999999999999998</v>
      </c>
      <c r="AC16" s="9">
        <f t="shared" si="0"/>
        <v>0.13999999999999999</v>
      </c>
      <c r="AD16" s="9">
        <f t="shared" si="0"/>
        <v>0.15</v>
      </c>
      <c r="AE16" s="9">
        <f t="shared" si="0"/>
        <v>0.16</v>
      </c>
      <c r="AF16" s="9">
        <f t="shared" si="0"/>
        <v>0.17</v>
      </c>
      <c r="AG16" s="9">
        <f t="shared" si="0"/>
        <v>0.18000000000000002</v>
      </c>
      <c r="AH16" s="9">
        <f t="shared" si="0"/>
        <v>0.19000000000000003</v>
      </c>
      <c r="AI16" s="9">
        <f t="shared" si="0"/>
        <v>0.20000000000000004</v>
      </c>
      <c r="AJ16" s="9">
        <f t="shared" si="0"/>
        <v>0.21000000000000005</v>
      </c>
      <c r="AK16" s="9">
        <f t="shared" si="0"/>
        <v>0.22000000000000006</v>
      </c>
      <c r="AL16" s="9">
        <f t="shared" si="0"/>
        <v>0.23000000000000007</v>
      </c>
      <c r="AM16" s="9">
        <f t="shared" si="0"/>
        <v>0.24000000000000007</v>
      </c>
      <c r="AN16" s="9">
        <f t="shared" si="0"/>
        <v>0.25000000000000006</v>
      </c>
      <c r="AO16" s="9">
        <f t="shared" si="0"/>
        <v>0.26000000000000006</v>
      </c>
      <c r="AP16" s="9">
        <f t="shared" si="0"/>
        <v>0.27000000000000007</v>
      </c>
      <c r="AQ16" s="9">
        <f t="shared" si="0"/>
        <v>0.28000000000000008</v>
      </c>
      <c r="AR16" s="9">
        <f t="shared" si="0"/>
        <v>0.29000000000000009</v>
      </c>
      <c r="AS16" s="9">
        <f t="shared" si="0"/>
        <v>0.3000000000000001</v>
      </c>
      <c r="AT16" s="9">
        <f t="shared" si="0"/>
        <v>0.31000000000000011</v>
      </c>
      <c r="AU16" s="9">
        <f t="shared" si="0"/>
        <v>0.32000000000000012</v>
      </c>
      <c r="AV16" s="9">
        <f t="shared" si="0"/>
        <v>0.33000000000000013</v>
      </c>
      <c r="AW16" s="9">
        <f t="shared" si="0"/>
        <v>0.34000000000000014</v>
      </c>
      <c r="AX16" s="9">
        <f t="shared" si="0"/>
        <v>0.35000000000000014</v>
      </c>
      <c r="AY16" s="9">
        <f t="shared" si="0"/>
        <v>0.36000000000000015</v>
      </c>
      <c r="AZ16" s="9">
        <f t="shared" si="0"/>
        <v>0.37000000000000016</v>
      </c>
      <c r="BA16" s="9">
        <f t="shared" si="0"/>
        <v>0.38000000000000017</v>
      </c>
      <c r="BB16" s="9">
        <f t="shared" si="0"/>
        <v>0.39000000000000018</v>
      </c>
      <c r="BC16" s="9">
        <f t="shared" si="0"/>
        <v>0.40000000000000019</v>
      </c>
      <c r="BD16" s="9">
        <f t="shared" si="0"/>
        <v>0.4100000000000002</v>
      </c>
      <c r="BE16" s="9">
        <f t="shared" si="0"/>
        <v>0.42000000000000021</v>
      </c>
      <c r="BF16" s="9">
        <f t="shared" si="0"/>
        <v>0.43000000000000022</v>
      </c>
      <c r="BG16" s="9">
        <f t="shared" si="0"/>
        <v>0.44000000000000022</v>
      </c>
      <c r="BH16" s="9">
        <f t="shared" si="0"/>
        <v>0.45000000000000023</v>
      </c>
      <c r="BI16" s="9">
        <f t="shared" si="0"/>
        <v>0.46000000000000024</v>
      </c>
      <c r="BJ16" s="9">
        <f t="shared" si="0"/>
        <v>0.47000000000000025</v>
      </c>
      <c r="BK16" s="9">
        <f t="shared" si="0"/>
        <v>0.48000000000000026</v>
      </c>
      <c r="BL16" s="9">
        <f t="shared" si="0"/>
        <v>0.49000000000000027</v>
      </c>
      <c r="BM16" s="9">
        <f t="shared" si="0"/>
        <v>0.50000000000000022</v>
      </c>
      <c r="BN16" s="9">
        <f t="shared" si="0"/>
        <v>0.51000000000000023</v>
      </c>
      <c r="BO16" s="9">
        <f t="shared" si="0"/>
        <v>0.52000000000000024</v>
      </c>
      <c r="BP16" s="9">
        <f t="shared" si="0"/>
        <v>0.53000000000000025</v>
      </c>
      <c r="BQ16" s="9">
        <f t="shared" si="0"/>
        <v>0.54000000000000026</v>
      </c>
      <c r="BR16" s="9">
        <f t="shared" si="0"/>
        <v>0.55000000000000027</v>
      </c>
      <c r="BS16" s="9">
        <f t="shared" si="0"/>
        <v>0.56000000000000028</v>
      </c>
      <c r="BT16" s="9">
        <f t="shared" si="0"/>
        <v>0.57000000000000028</v>
      </c>
      <c r="BU16" s="9">
        <f t="shared" si="0"/>
        <v>0.58000000000000029</v>
      </c>
      <c r="BV16" s="9">
        <f t="shared" si="0"/>
        <v>0.5900000000000003</v>
      </c>
      <c r="BW16" s="9">
        <f t="shared" si="0"/>
        <v>0.60000000000000031</v>
      </c>
      <c r="BX16" s="9">
        <f t="shared" si="0"/>
        <v>0.61000000000000032</v>
      </c>
      <c r="BY16" s="9">
        <f t="shared" si="0"/>
        <v>0.62000000000000033</v>
      </c>
      <c r="BZ16" s="9">
        <f t="shared" si="0"/>
        <v>0.63000000000000034</v>
      </c>
      <c r="CA16" s="9">
        <f t="shared" si="0"/>
        <v>0.64000000000000035</v>
      </c>
      <c r="CB16" s="9">
        <f t="shared" si="0"/>
        <v>0.65000000000000036</v>
      </c>
      <c r="CC16" s="9">
        <f t="shared" ref="CC16:DK16" si="1">CB16+0.01</f>
        <v>0.66000000000000036</v>
      </c>
      <c r="CD16" s="9">
        <f t="shared" si="1"/>
        <v>0.67000000000000037</v>
      </c>
      <c r="CE16" s="9">
        <f t="shared" si="1"/>
        <v>0.68000000000000038</v>
      </c>
      <c r="CF16" s="9">
        <f t="shared" si="1"/>
        <v>0.69000000000000039</v>
      </c>
      <c r="CG16" s="9">
        <f t="shared" si="1"/>
        <v>0.7000000000000004</v>
      </c>
      <c r="CH16" s="9">
        <f t="shared" si="1"/>
        <v>0.71000000000000041</v>
      </c>
      <c r="CI16" s="9">
        <f t="shared" si="1"/>
        <v>0.72000000000000042</v>
      </c>
      <c r="CJ16" s="9">
        <f t="shared" si="1"/>
        <v>0.73000000000000043</v>
      </c>
      <c r="CK16" s="9">
        <f t="shared" si="1"/>
        <v>0.74000000000000044</v>
      </c>
      <c r="CL16" s="9">
        <f t="shared" si="1"/>
        <v>0.75000000000000044</v>
      </c>
      <c r="CM16" s="9">
        <f t="shared" si="1"/>
        <v>0.76000000000000045</v>
      </c>
      <c r="CN16" s="9">
        <f t="shared" si="1"/>
        <v>0.77000000000000046</v>
      </c>
      <c r="CO16" s="9">
        <f t="shared" si="1"/>
        <v>0.78000000000000047</v>
      </c>
      <c r="CP16" s="9">
        <f t="shared" si="1"/>
        <v>0.79000000000000048</v>
      </c>
      <c r="CQ16" s="9">
        <f t="shared" si="1"/>
        <v>0.80000000000000049</v>
      </c>
      <c r="CR16" s="9">
        <f t="shared" si="1"/>
        <v>0.8100000000000005</v>
      </c>
      <c r="CS16" s="9">
        <f t="shared" si="1"/>
        <v>0.82000000000000051</v>
      </c>
      <c r="CT16" s="9">
        <f t="shared" si="1"/>
        <v>0.83000000000000052</v>
      </c>
      <c r="CU16" s="9">
        <f t="shared" si="1"/>
        <v>0.84000000000000052</v>
      </c>
      <c r="CV16" s="9">
        <f t="shared" si="1"/>
        <v>0.85000000000000053</v>
      </c>
      <c r="CW16" s="9">
        <f t="shared" si="1"/>
        <v>0.86000000000000054</v>
      </c>
      <c r="CX16" s="9">
        <f t="shared" si="1"/>
        <v>0.87000000000000055</v>
      </c>
      <c r="CY16" s="9">
        <f t="shared" si="1"/>
        <v>0.88000000000000056</v>
      </c>
      <c r="CZ16" s="9">
        <f t="shared" si="1"/>
        <v>0.89000000000000057</v>
      </c>
      <c r="DA16" s="9">
        <f t="shared" si="1"/>
        <v>0.90000000000000058</v>
      </c>
      <c r="DB16" s="9">
        <f t="shared" si="1"/>
        <v>0.91000000000000059</v>
      </c>
      <c r="DC16" s="9">
        <f t="shared" si="1"/>
        <v>0.9200000000000006</v>
      </c>
      <c r="DD16" s="9">
        <f t="shared" si="1"/>
        <v>0.9300000000000006</v>
      </c>
      <c r="DE16" s="9">
        <f t="shared" si="1"/>
        <v>0.94000000000000061</v>
      </c>
      <c r="DF16" s="9">
        <f t="shared" si="1"/>
        <v>0.95000000000000062</v>
      </c>
      <c r="DG16" s="9">
        <f t="shared" si="1"/>
        <v>0.96000000000000063</v>
      </c>
      <c r="DH16" s="9">
        <f t="shared" si="1"/>
        <v>0.97000000000000064</v>
      </c>
      <c r="DI16" s="9">
        <f t="shared" si="1"/>
        <v>0.98000000000000065</v>
      </c>
      <c r="DJ16" s="9">
        <f t="shared" si="1"/>
        <v>0.99000000000000066</v>
      </c>
      <c r="DK16" s="10">
        <f t="shared" si="1"/>
        <v>1.0000000000000007</v>
      </c>
    </row>
    <row r="17" spans="1:127" ht="15.75" x14ac:dyDescent="0.3">
      <c r="A17" s="27" t="s">
        <v>37</v>
      </c>
      <c r="B17" s="53">
        <v>0.05</v>
      </c>
      <c r="C17" s="4"/>
      <c r="O17" s="12">
        <f t="shared" ref="O17:AT17" si="2">O16*hcap</f>
        <v>0</v>
      </c>
      <c r="P17" s="13">
        <f t="shared" si="2"/>
        <v>0.42314899513198662</v>
      </c>
      <c r="Q17" s="13">
        <f t="shared" si="2"/>
        <v>0.84629799026397323</v>
      </c>
      <c r="R17" s="13">
        <f t="shared" si="2"/>
        <v>1.2694469853959598</v>
      </c>
      <c r="S17" s="13">
        <f t="shared" si="2"/>
        <v>1.6925959805279465</v>
      </c>
      <c r="T17" s="13">
        <f t="shared" si="2"/>
        <v>2.1157449756599331</v>
      </c>
      <c r="U17" s="13">
        <f t="shared" si="2"/>
        <v>2.53889397079192</v>
      </c>
      <c r="V17" s="13">
        <f t="shared" si="2"/>
        <v>2.9620429659239065</v>
      </c>
      <c r="W17" s="13">
        <f t="shared" si="2"/>
        <v>3.3851919610558929</v>
      </c>
      <c r="X17" s="13">
        <f t="shared" si="2"/>
        <v>3.8083409561878794</v>
      </c>
      <c r="Y17" s="13">
        <f t="shared" si="2"/>
        <v>4.2314899513198654</v>
      </c>
      <c r="Z17" s="13">
        <f t="shared" si="2"/>
        <v>4.6546389464518523</v>
      </c>
      <c r="AA17" s="13">
        <f t="shared" si="2"/>
        <v>5.0777879415838383</v>
      </c>
      <c r="AB17" s="13">
        <f t="shared" si="2"/>
        <v>5.5009369367158252</v>
      </c>
      <c r="AC17" s="13">
        <f t="shared" si="2"/>
        <v>5.9240859318478121</v>
      </c>
      <c r="AD17" s="13">
        <f t="shared" si="2"/>
        <v>6.347234926979799</v>
      </c>
      <c r="AE17" s="13">
        <f t="shared" si="2"/>
        <v>6.7703839221117859</v>
      </c>
      <c r="AF17" s="13">
        <f t="shared" si="2"/>
        <v>7.1935329172437728</v>
      </c>
      <c r="AG17" s="13">
        <f t="shared" si="2"/>
        <v>7.6166819123757596</v>
      </c>
      <c r="AH17" s="13">
        <f t="shared" si="2"/>
        <v>8.0398309075077474</v>
      </c>
      <c r="AI17" s="13">
        <f t="shared" si="2"/>
        <v>8.4629799026397343</v>
      </c>
      <c r="AJ17" s="13">
        <f t="shared" si="2"/>
        <v>8.8861288977717212</v>
      </c>
      <c r="AK17" s="13">
        <f t="shared" si="2"/>
        <v>9.3092778929037081</v>
      </c>
      <c r="AL17" s="13">
        <f t="shared" si="2"/>
        <v>9.732426888035695</v>
      </c>
      <c r="AM17" s="13">
        <f t="shared" si="2"/>
        <v>10.155575883167682</v>
      </c>
      <c r="AN17" s="13">
        <f t="shared" si="2"/>
        <v>10.578724878299667</v>
      </c>
      <c r="AO17" s="13">
        <f t="shared" si="2"/>
        <v>11.001873873431654</v>
      </c>
      <c r="AP17" s="13">
        <f t="shared" si="2"/>
        <v>11.425022868563641</v>
      </c>
      <c r="AQ17" s="13">
        <f t="shared" si="2"/>
        <v>11.848171863695628</v>
      </c>
      <c r="AR17" s="13">
        <f t="shared" si="2"/>
        <v>12.271320858827616</v>
      </c>
      <c r="AS17" s="13">
        <f t="shared" si="2"/>
        <v>12.694469853959603</v>
      </c>
      <c r="AT17" s="13">
        <f t="shared" si="2"/>
        <v>13.11761884909159</v>
      </c>
      <c r="AU17" s="13">
        <f t="shared" ref="AU17:BZ17" si="3">AU16*hcap</f>
        <v>13.540767844223577</v>
      </c>
      <c r="AV17" s="13">
        <f t="shared" si="3"/>
        <v>13.963916839355564</v>
      </c>
      <c r="AW17" s="13">
        <f t="shared" si="3"/>
        <v>14.387065834487551</v>
      </c>
      <c r="AX17" s="13">
        <f t="shared" si="3"/>
        <v>14.810214829619538</v>
      </c>
      <c r="AY17" s="13">
        <f t="shared" si="3"/>
        <v>15.233363824751525</v>
      </c>
      <c r="AZ17" s="13">
        <f t="shared" si="3"/>
        <v>15.656512819883512</v>
      </c>
      <c r="BA17" s="13">
        <f t="shared" si="3"/>
        <v>16.079661815015498</v>
      </c>
      <c r="BB17" s="13">
        <f t="shared" si="3"/>
        <v>16.502810810147487</v>
      </c>
      <c r="BC17" s="13">
        <f t="shared" si="3"/>
        <v>16.925959805279472</v>
      </c>
      <c r="BD17" s="13">
        <f t="shared" si="3"/>
        <v>17.349108800411461</v>
      </c>
      <c r="BE17" s="13">
        <f t="shared" si="3"/>
        <v>17.772257795543446</v>
      </c>
      <c r="BF17" s="13">
        <f t="shared" si="3"/>
        <v>18.195406790675435</v>
      </c>
      <c r="BG17" s="13">
        <f t="shared" si="3"/>
        <v>18.61855578580742</v>
      </c>
      <c r="BH17" s="13">
        <f t="shared" si="3"/>
        <v>19.041704780939408</v>
      </c>
      <c r="BI17" s="13">
        <f t="shared" si="3"/>
        <v>19.464853776071394</v>
      </c>
      <c r="BJ17" s="13">
        <f t="shared" si="3"/>
        <v>19.888002771203382</v>
      </c>
      <c r="BK17" s="13">
        <f t="shared" si="3"/>
        <v>20.311151766335367</v>
      </c>
      <c r="BL17" s="13">
        <f t="shared" si="3"/>
        <v>20.734300761467356</v>
      </c>
      <c r="BM17" s="13">
        <f t="shared" si="3"/>
        <v>21.157449756599341</v>
      </c>
      <c r="BN17" s="13">
        <f t="shared" si="3"/>
        <v>21.580598751731326</v>
      </c>
      <c r="BO17" s="13">
        <f t="shared" si="3"/>
        <v>22.003747746863315</v>
      </c>
      <c r="BP17" s="13">
        <f t="shared" si="3"/>
        <v>22.4268967419953</v>
      </c>
      <c r="BQ17" s="13">
        <f t="shared" si="3"/>
        <v>22.850045737127289</v>
      </c>
      <c r="BR17" s="13">
        <f t="shared" si="3"/>
        <v>23.273194732259274</v>
      </c>
      <c r="BS17" s="13">
        <f t="shared" si="3"/>
        <v>23.696343727391262</v>
      </c>
      <c r="BT17" s="13">
        <f t="shared" si="3"/>
        <v>24.119492722523248</v>
      </c>
      <c r="BU17" s="13">
        <f t="shared" si="3"/>
        <v>24.542641717655236</v>
      </c>
      <c r="BV17" s="13">
        <f t="shared" si="3"/>
        <v>24.965790712787221</v>
      </c>
      <c r="BW17" s="13">
        <f t="shared" si="3"/>
        <v>25.38893970791921</v>
      </c>
      <c r="BX17" s="13">
        <f t="shared" si="3"/>
        <v>25.812088703051195</v>
      </c>
      <c r="BY17" s="13">
        <f t="shared" si="3"/>
        <v>26.235237698183184</v>
      </c>
      <c r="BZ17" s="13">
        <f t="shared" si="3"/>
        <v>26.658386693315169</v>
      </c>
      <c r="CA17" s="13">
        <f t="shared" ref="CA17:DF17" si="4">CA16*hcap</f>
        <v>27.081535688447158</v>
      </c>
      <c r="CB17" s="13">
        <f t="shared" si="4"/>
        <v>27.504684683579146</v>
      </c>
      <c r="CC17" s="13">
        <f t="shared" si="4"/>
        <v>27.927833678711131</v>
      </c>
      <c r="CD17" s="13">
        <f t="shared" si="4"/>
        <v>28.35098267384312</v>
      </c>
      <c r="CE17" s="13">
        <f t="shared" si="4"/>
        <v>28.774131668975105</v>
      </c>
      <c r="CF17" s="13">
        <f t="shared" si="4"/>
        <v>29.197280664107094</v>
      </c>
      <c r="CG17" s="13">
        <f t="shared" si="4"/>
        <v>29.620429659239079</v>
      </c>
      <c r="CH17" s="13">
        <f t="shared" si="4"/>
        <v>30.043578654371068</v>
      </c>
      <c r="CI17" s="13">
        <f t="shared" si="4"/>
        <v>30.466727649503053</v>
      </c>
      <c r="CJ17" s="13">
        <f t="shared" si="4"/>
        <v>30.889876644635041</v>
      </c>
      <c r="CK17" s="13">
        <f t="shared" si="4"/>
        <v>31.313025639767027</v>
      </c>
      <c r="CL17" s="13">
        <f t="shared" si="4"/>
        <v>31.736174634899015</v>
      </c>
      <c r="CM17" s="13">
        <f t="shared" si="4"/>
        <v>32.159323630031004</v>
      </c>
      <c r="CN17" s="13">
        <f t="shared" si="4"/>
        <v>32.582472625162985</v>
      </c>
      <c r="CO17" s="13">
        <f t="shared" si="4"/>
        <v>33.005621620294974</v>
      </c>
      <c r="CP17" s="13">
        <f t="shared" si="4"/>
        <v>33.428770615426963</v>
      </c>
      <c r="CQ17" s="13">
        <f t="shared" si="4"/>
        <v>33.851919610558951</v>
      </c>
      <c r="CR17" s="13">
        <f t="shared" si="4"/>
        <v>34.275068605690933</v>
      </c>
      <c r="CS17" s="13">
        <f t="shared" si="4"/>
        <v>34.698217600822922</v>
      </c>
      <c r="CT17" s="13">
        <f t="shared" si="4"/>
        <v>35.12136659595491</v>
      </c>
      <c r="CU17" s="13">
        <f t="shared" si="4"/>
        <v>35.544515591086899</v>
      </c>
      <c r="CV17" s="13">
        <f t="shared" si="4"/>
        <v>35.967664586218888</v>
      </c>
      <c r="CW17" s="13">
        <f t="shared" si="4"/>
        <v>36.390813581350869</v>
      </c>
      <c r="CX17" s="13">
        <f t="shared" si="4"/>
        <v>36.813962576482858</v>
      </c>
      <c r="CY17" s="13">
        <f t="shared" si="4"/>
        <v>37.237111571614847</v>
      </c>
      <c r="CZ17" s="13">
        <f t="shared" si="4"/>
        <v>37.660260566746835</v>
      </c>
      <c r="DA17" s="13">
        <f t="shared" si="4"/>
        <v>38.083409561878817</v>
      </c>
      <c r="DB17" s="13">
        <f t="shared" si="4"/>
        <v>38.506558557010806</v>
      </c>
      <c r="DC17" s="13">
        <f t="shared" si="4"/>
        <v>38.929707552142794</v>
      </c>
      <c r="DD17" s="13">
        <f t="shared" si="4"/>
        <v>39.352856547274783</v>
      </c>
      <c r="DE17" s="13">
        <f t="shared" si="4"/>
        <v>39.776005542406764</v>
      </c>
      <c r="DF17" s="13">
        <f t="shared" si="4"/>
        <v>40.199154537538753</v>
      </c>
      <c r="DG17" s="13">
        <f>DG16*hcap</f>
        <v>40.622303532670742</v>
      </c>
      <c r="DH17" s="13">
        <f>DH16*hcap</f>
        <v>41.04545252780273</v>
      </c>
      <c r="DI17" s="13">
        <f>DI16*hcap</f>
        <v>41.468601522934712</v>
      </c>
      <c r="DJ17" s="13">
        <f>DJ16*hcap</f>
        <v>41.891750518066701</v>
      </c>
      <c r="DK17" s="14">
        <f>DK16*hcap</f>
        <v>42.314899513198689</v>
      </c>
    </row>
    <row r="18" spans="1:127" ht="15.75" x14ac:dyDescent="0.3">
      <c r="A18" s="27" t="s">
        <v>43</v>
      </c>
      <c r="B18" s="53">
        <v>0</v>
      </c>
      <c r="C18" s="4" t="s">
        <v>44</v>
      </c>
      <c r="O18" s="12">
        <f t="shared" ref="O18:AT18" si="5">IF(O17&lt;hbio,(Cbl*EXP(-_Pe2/2)-Cbio*EXP(-G))/2/SINH(G)*EXP((_Pe2/2+G)*(hbio-O17)/hbio)+(Cbio*EXP(G)-Cbl*EXP(-_Pe2/2))/2/SINH(G)*EXP((_Pe2/2-G)*(hbio-O17)/hbio),(Cbio*EXP(-_Pe1/2)-EXP(-B))/2/SINH(B)*EXP((_Pe1/2+B)*(hcap-O17)/(heff))+(EXP(B)-Cbio*EXP(-_Pe1/2))/2/SINH(B)*EXP((_Pe1/2-B)*(hcap-O17)/(heff)))</f>
        <v>1.5657959735153604E-3</v>
      </c>
      <c r="P18" s="13">
        <f t="shared" si="5"/>
        <v>4.5050522704266349E-3</v>
      </c>
      <c r="Q18" s="13">
        <f t="shared" si="5"/>
        <v>7.4358800718368201E-3</v>
      </c>
      <c r="R18" s="13">
        <f t="shared" si="5"/>
        <v>1.0358303570359606E-2</v>
      </c>
      <c r="S18" s="13">
        <f t="shared" si="5"/>
        <v>1.3272346889168896E-2</v>
      </c>
      <c r="T18" s="13">
        <f t="shared" si="5"/>
        <v>1.6178034082196202E-2</v>
      </c>
      <c r="U18" s="13">
        <f t="shared" si="5"/>
        <v>1.9075389134330267E-2</v>
      </c>
      <c r="V18" s="13">
        <f t="shared" si="5"/>
        <v>2.1964435961616235E-2</v>
      </c>
      <c r="W18" s="13">
        <f t="shared" si="5"/>
        <v>2.4845198411450942E-2</v>
      </c>
      <c r="X18" s="13">
        <f t="shared" si="5"/>
        <v>2.7717700262781531E-2</v>
      </c>
      <c r="Y18" s="13">
        <f t="shared" si="5"/>
        <v>3.0581965226302299E-2</v>
      </c>
      <c r="Z18" s="13">
        <f t="shared" si="5"/>
        <v>3.3438016944649318E-2</v>
      </c>
      <c r="AA18" s="13">
        <f t="shared" si="5"/>
        <v>3.6285878992596499E-2</v>
      </c>
      <c r="AB18" s="13">
        <f t="shared" si="5"/>
        <v>3.9125574877250657E-2</v>
      </c>
      <c r="AC18" s="13">
        <f t="shared" si="5"/>
        <v>4.1957128038245139E-2</v>
      </c>
      <c r="AD18" s="13">
        <f t="shared" si="5"/>
        <v>4.4780561847933442E-2</v>
      </c>
      <c r="AE18" s="13">
        <f t="shared" si="5"/>
        <v>4.7595899611583281E-2</v>
      </c>
      <c r="AF18" s="13">
        <f t="shared" si="5"/>
        <v>5.0403164567567549E-2</v>
      </c>
      <c r="AG18" s="13">
        <f t="shared" si="5"/>
        <v>5.3202379887558382E-2</v>
      </c>
      <c r="AH18" s="13">
        <f t="shared" si="5"/>
        <v>5.5993568676716454E-2</v>
      </c>
      <c r="AI18" s="13">
        <f t="shared" si="5"/>
        <v>5.8776753973883489E-2</v>
      </c>
      <c r="AJ18" s="13">
        <f t="shared" si="5"/>
        <v>6.1551958751772329E-2</v>
      </c>
      <c r="AK18" s="13">
        <f t="shared" si="5"/>
        <v>6.4319205917155897E-2</v>
      </c>
      <c r="AL18" s="13">
        <f t="shared" si="5"/>
        <v>6.7078518311056823E-2</v>
      </c>
      <c r="AM18" s="13">
        <f t="shared" si="5"/>
        <v>6.9829918708937289E-2</v>
      </c>
      <c r="AN18" s="13">
        <f t="shared" si="5"/>
        <v>7.2573429820885771E-2</v>
      </c>
      <c r="AO18" s="13">
        <f t="shared" si="5"/>
        <v>7.5309074291805111E-2</v>
      </c>
      <c r="AP18" s="13">
        <f t="shared" si="5"/>
        <v>7.8036874701600256E-2</v>
      </c>
      <c r="AQ18" s="13">
        <f t="shared" si="5"/>
        <v>8.0756853565363551E-2</v>
      </c>
      <c r="AR18" s="13">
        <f t="shared" si="5"/>
        <v>8.3469033333561926E-2</v>
      </c>
      <c r="AS18" s="13">
        <f t="shared" si="5"/>
        <v>8.617343639222208E-2</v>
      </c>
      <c r="AT18" s="13">
        <f t="shared" si="5"/>
        <v>8.8870085063115445E-2</v>
      </c>
      <c r="AU18" s="13">
        <f t="shared" ref="AU18:BZ18" si="6">IF(AU17&lt;hbio,(Cbl*EXP(-_Pe2/2)-Cbio*EXP(-G))/2/SINH(G)*EXP((_Pe2/2+G)*(hbio-AU17)/hbio)+(Cbio*EXP(G)-Cbl*EXP(-_Pe2/2))/2/SINH(G)*EXP((_Pe2/2-G)*(hbio-AU17)/hbio),(Cbio*EXP(-_Pe1/2)-EXP(-B))/2/SINH(B)*EXP((_Pe1/2+B)*(hcap-AU17)/(heff))+(EXP(B)-Cbio*EXP(-_Pe1/2))/2/SINH(B)*EXP((_Pe1/2-B)*(hcap-AU17)/(heff)))</f>
        <v>9.1559001603942369E-2</v>
      </c>
      <c r="AV18" s="13">
        <f t="shared" si="6"/>
        <v>9.4240208208515641E-2</v>
      </c>
      <c r="AW18" s="13">
        <f t="shared" si="6"/>
        <v>9.6913727006944894E-2</v>
      </c>
      <c r="AX18" s="13">
        <f t="shared" si="6"/>
        <v>9.9579580065819795E-2</v>
      </c>
      <c r="AY18" s="13">
        <f t="shared" si="6"/>
        <v>0.12843696666433468</v>
      </c>
      <c r="AZ18" s="13">
        <f t="shared" si="6"/>
        <v>0.17650801653159109</v>
      </c>
      <c r="BA18" s="13">
        <f t="shared" si="6"/>
        <v>0.22200614165328181</v>
      </c>
      <c r="BB18" s="13">
        <f t="shared" si="6"/>
        <v>0.26506905364095923</v>
      </c>
      <c r="BC18" s="13">
        <f t="shared" si="6"/>
        <v>0.30582709331618996</v>
      </c>
      <c r="BD18" s="13">
        <f t="shared" si="6"/>
        <v>0.34440362522009516</v>
      </c>
      <c r="BE18" s="13">
        <f t="shared" si="6"/>
        <v>0.38091541100741244</v>
      </c>
      <c r="BF18" s="13">
        <f t="shared" si="6"/>
        <v>0.41547296285524959</v>
      </c>
      <c r="BG18" s="13">
        <f t="shared" si="6"/>
        <v>0.44818087795620765</v>
      </c>
      <c r="BH18" s="13">
        <f t="shared" si="6"/>
        <v>0.47913815510830593</v>
      </c>
      <c r="BI18" s="13">
        <f t="shared" si="6"/>
        <v>0.50843849435994304</v>
      </c>
      <c r="BJ18" s="13">
        <f t="shared" si="6"/>
        <v>0.53617058061685197</v>
      </c>
      <c r="BK18" s="13">
        <f t="shared" si="6"/>
        <v>0.56241835206945257</v>
      </c>
      <c r="BL18" s="13">
        <f t="shared" si="6"/>
        <v>0.58726125425306774</v>
      </c>
      <c r="BM18" s="13">
        <f t="shared" si="6"/>
        <v>0.61077448050997774</v>
      </c>
      <c r="BN18" s="13">
        <f t="shared" si="6"/>
        <v>0.63302919958113701</v>
      </c>
      <c r="BO18" s="13">
        <f t="shared" si="6"/>
        <v>0.65409277101641261</v>
      </c>
      <c r="BP18" s="13">
        <f t="shared" si="6"/>
        <v>0.6740289490553405</v>
      </c>
      <c r="BQ18" s="13">
        <f t="shared" si="6"/>
        <v>0.69289807559549677</v>
      </c>
      <c r="BR18" s="13">
        <f t="shared" si="6"/>
        <v>0.71075726283254892</v>
      </c>
      <c r="BS18" s="13">
        <f t="shared" si="6"/>
        <v>0.72766056612479846</v>
      </c>
      <c r="BT18" s="13">
        <f t="shared" si="6"/>
        <v>0.74365914760542617</v>
      </c>
      <c r="BU18" s="13">
        <f t="shared" si="6"/>
        <v>0.7588014310376624</v>
      </c>
      <c r="BV18" s="13">
        <f t="shared" si="6"/>
        <v>0.77313324838158159</v>
      </c>
      <c r="BW18" s="13">
        <f t="shared" si="6"/>
        <v>0.78669797851615253</v>
      </c>
      <c r="BX18" s="13">
        <f t="shared" si="6"/>
        <v>0.79953667853641242</v>
      </c>
      <c r="BY18" s="13">
        <f t="shared" si="6"/>
        <v>0.81168820802317543</v>
      </c>
      <c r="BZ18" s="13">
        <f t="shared" si="6"/>
        <v>0.82318934666140642</v>
      </c>
      <c r="CA18" s="13">
        <f t="shared" ref="CA18:DF18" si="7">IF(CA17&lt;hbio,(Cbl*EXP(-_Pe2/2)-Cbio*EXP(-G))/2/SINH(G)*EXP((_Pe2/2+G)*(hbio-CA17)/hbio)+(Cbio*EXP(G)-Cbl*EXP(-_Pe2/2))/2/SINH(G)*EXP((_Pe2/2-G)*(hbio-CA17)/hbio),(Cbio*EXP(-_Pe1/2)-EXP(-B))/2/SINH(B)*EXP((_Pe1/2+B)*(hcap-CA17)/(heff))+(EXP(B)-Cbio*EXP(-_Pe1/2))/2/SINH(B)*EXP((_Pe1/2-B)*(hcap-CA17)/(heff)))</f>
        <v>0.83407490556326369</v>
      </c>
      <c r="CB18" s="13">
        <f t="shared" si="7"/>
        <v>0.8443778326327549</v>
      </c>
      <c r="CC18" s="13">
        <f t="shared" si="7"/>
        <v>0.85412931229092326</v>
      </c>
      <c r="CD18" s="13">
        <f t="shared" si="7"/>
        <v>0.86335885986340433</v>
      </c>
      <c r="CE18" s="13">
        <f t="shared" si="7"/>
        <v>0.87209441091604223</v>
      </c>
      <c r="CF18" s="13">
        <f t="shared" si="7"/>
        <v>0.88036240580896341</v>
      </c>
      <c r="CG18" s="13">
        <f t="shared" si="7"/>
        <v>0.88818786972502894</v>
      </c>
      <c r="CH18" s="13">
        <f t="shared" si="7"/>
        <v>0.89559448841489742</v>
      </c>
      <c r="CI18" s="13">
        <f t="shared" si="7"/>
        <v>0.90260467988795312</v>
      </c>
      <c r="CJ18" s="13">
        <f t="shared" si="7"/>
        <v>0.90923966226609643</v>
      </c>
      <c r="CK18" s="13">
        <f t="shared" si="7"/>
        <v>0.91551951800576858</v>
      </c>
      <c r="CL18" s="13">
        <f t="shared" si="7"/>
        <v>0.92146325468259926</v>
      </c>
      <c r="CM18" s="13">
        <f t="shared" si="7"/>
        <v>0.92708886252265221</v>
      </c>
      <c r="CN18" s="13">
        <f t="shared" si="7"/>
        <v>0.93241336885440651</v>
      </c>
      <c r="CO18" s="13">
        <f t="shared" si="7"/>
        <v>0.93745288964628337</v>
      </c>
      <c r="CP18" s="13">
        <f t="shared" si="7"/>
        <v>0.94222267828571027</v>
      </c>
      <c r="CQ18" s="13">
        <f t="shared" si="7"/>
        <v>0.94673717174736616</v>
      </c>
      <c r="CR18" s="13">
        <f t="shared" si="7"/>
        <v>0.95101003429034481</v>
      </c>
      <c r="CS18" s="13">
        <f t="shared" si="7"/>
        <v>0.95505419881650067</v>
      </c>
      <c r="CT18" s="13">
        <f t="shared" si="7"/>
        <v>0.95888190601515433</v>
      </c>
      <c r="CU18" s="13">
        <f t="shared" si="7"/>
        <v>0.96250474141264286</v>
      </c>
      <c r="CV18" s="13">
        <f t="shared" si="7"/>
        <v>0.96593367043885281</v>
      </c>
      <c r="CW18" s="13">
        <f t="shared" si="7"/>
        <v>0.96917907161687356</v>
      </c>
      <c r="CX18" s="13">
        <f t="shared" si="7"/>
        <v>0.97225076797622945</v>
      </c>
      <c r="CY18" s="13">
        <f t="shared" si="7"/>
        <v>0.97515805678476875</v>
      </c>
      <c r="CZ18" s="13">
        <f t="shared" si="7"/>
        <v>0.97790973768920253</v>
      </c>
      <c r="DA18" s="13">
        <f t="shared" si="7"/>
        <v>0.98051413934946585</v>
      </c>
      <c r="DB18" s="13">
        <f t="shared" si="7"/>
        <v>0.98297914464751979</v>
      </c>
      <c r="DC18" s="13">
        <f t="shared" si="7"/>
        <v>0.98531221454689133</v>
      </c>
      <c r="DD18" s="13">
        <f t="shared" si="7"/>
        <v>0.98752041067517182</v>
      </c>
      <c r="DE18" s="13">
        <f t="shared" si="7"/>
        <v>0.98961041669782301</v>
      </c>
      <c r="DF18" s="13">
        <f t="shared" si="7"/>
        <v>0.99158855854798555</v>
      </c>
      <c r="DG18" s="13">
        <f>IF(DG17&lt;hbio,(Cbl*EXP(-_Pe2/2)-Cbio*EXP(-G))/2/SINH(G)*EXP((_Pe2/2+G)*(hbio-DG17)/hbio)+(Cbio*EXP(G)-Cbl*EXP(-_Pe2/2))/2/SINH(G)*EXP((_Pe2/2-G)*(hbio-DG17)/hbio),(Cbio*EXP(-_Pe1/2)-EXP(-B))/2/SINH(B)*EXP((_Pe1/2+B)*(hcap-DG17)/(heff))+(EXP(B)-Cbio*EXP(-_Pe1/2))/2/SINH(B)*EXP((_Pe1/2-B)*(hcap-DG17)/(heff)))</f>
        <v>0.99346082357351917</v>
      </c>
      <c r="DH18" s="13">
        <f>IF(DH17&lt;hbio,(Cbl*EXP(-_Pe2/2)-Cbio*EXP(-G))/2/SINH(G)*EXP((_Pe2/2+G)*(hbio-DH17)/hbio)+(Cbio*EXP(G)-Cbl*EXP(-_Pe2/2))/2/SINH(G)*EXP((_Pe2/2-G)*(hbio-DH17)/hbio),(Cbio*EXP(-_Pe1/2)-EXP(-B))/2/SINH(B)*EXP((_Pe1/2+B)*(hcap-DH17)/(heff))+(EXP(B)-Cbio*EXP(-_Pe1/2))/2/SINH(B)*EXP((_Pe1/2-B)*(hcap-DH17)/(heff)))</f>
        <v>0.99523287865922916</v>
      </c>
      <c r="DI18" s="13">
        <f>IF(DI17&lt;hbio,(Cbl*EXP(-_Pe2/2)-Cbio*EXP(-G))/2/SINH(G)*EXP((_Pe2/2+G)*(hbio-DI17)/hbio)+(Cbio*EXP(G)-Cbl*EXP(-_Pe2/2))/2/SINH(G)*EXP((_Pe2/2-G)*(hbio-DI17)/hbio),(Cbio*EXP(-_Pe1/2)-EXP(-B))/2/SINH(B)*EXP((_Pe1/2+B)*(hcap-DI17)/(heff))+(EXP(B)-Cbio*EXP(-_Pe1/2))/2/SINH(B)*EXP((_Pe1/2-B)*(hcap-DI17)/(heff)))</f>
        <v>0.99691008737913012</v>
      </c>
      <c r="DJ18" s="13">
        <f>IF(DJ17&lt;hbio,(Cbl*EXP(-_Pe2/2)-Cbio*EXP(-G))/2/SINH(G)*EXP((_Pe2/2+G)*(hbio-DJ17)/hbio)+(Cbio*EXP(G)-Cbl*EXP(-_Pe2/2))/2/SINH(G)*EXP((_Pe2/2-G)*(hbio-DJ17)/hbio),(Cbio*EXP(-_Pe1/2)-EXP(-B))/2/SINH(B)*EXP((_Pe1/2+B)*(hcap-DJ17)/(heff))+(EXP(B)-Cbio*EXP(-_Pe1/2))/2/SINH(B)*EXP((_Pe1/2-B)*(hcap-DJ17)/(heff)))</f>
        <v>0.99849752623066268</v>
      </c>
      <c r="DK18" s="14">
        <f>IF(DK17&lt;hbio,(Cbl*EXP(-_Pe2/2)-Cbio*EXP(-G))/2/SINH(G)*EXP((_Pe2/2+G)*(hbio-DK17)/hbio)+(Cbio*EXP(G)-Cbl*EXP(-_Pe2/2))/2/SINH(G)*EXP((_Pe2/2-G)*(hbio-DK17)/hbio),(Cbio*EXP(-_Pe1/2)-EXP(-B))/2/SINH(B)*EXP((_Pe1/2+B)*(hcap-DK17)/(heff))+(EXP(B)-Cbio*EXP(-_Pe1/2))/2/SINH(B)*EXP((_Pe1/2-B)*(hcap-DK17)/(heff)))</f>
        <v>1</v>
      </c>
    </row>
    <row r="19" spans="1:127" x14ac:dyDescent="0.2">
      <c r="A19" s="4" t="s">
        <v>84</v>
      </c>
      <c r="B19" s="53">
        <v>10</v>
      </c>
      <c r="C19" s="4" t="s">
        <v>1</v>
      </c>
      <c r="O19" s="46">
        <f t="shared" ref="O19:AT19" si="8">O18*C0</f>
        <v>1.5657959735153604E-3</v>
      </c>
      <c r="P19" s="47">
        <f t="shared" si="8"/>
        <v>4.5050522704266349E-3</v>
      </c>
      <c r="Q19" s="47">
        <f t="shared" si="8"/>
        <v>7.4358800718368201E-3</v>
      </c>
      <c r="R19" s="47">
        <f t="shared" si="8"/>
        <v>1.0358303570359606E-2</v>
      </c>
      <c r="S19" s="47">
        <f t="shared" si="8"/>
        <v>1.3272346889168896E-2</v>
      </c>
      <c r="T19" s="47">
        <f t="shared" si="8"/>
        <v>1.6178034082196202E-2</v>
      </c>
      <c r="U19" s="47">
        <f t="shared" si="8"/>
        <v>1.9075389134330267E-2</v>
      </c>
      <c r="V19" s="47">
        <f t="shared" si="8"/>
        <v>2.1964435961616235E-2</v>
      </c>
      <c r="W19" s="47">
        <f t="shared" si="8"/>
        <v>2.4845198411450942E-2</v>
      </c>
      <c r="X19" s="47">
        <f t="shared" si="8"/>
        <v>2.7717700262781531E-2</v>
      </c>
      <c r="Y19" s="47">
        <f t="shared" si="8"/>
        <v>3.0581965226302299E-2</v>
      </c>
      <c r="Z19" s="47">
        <f t="shared" si="8"/>
        <v>3.3438016944649318E-2</v>
      </c>
      <c r="AA19" s="47">
        <f t="shared" si="8"/>
        <v>3.6285878992596499E-2</v>
      </c>
      <c r="AB19" s="47">
        <f t="shared" si="8"/>
        <v>3.9125574877250657E-2</v>
      </c>
      <c r="AC19" s="47">
        <f t="shared" si="8"/>
        <v>4.1957128038245139E-2</v>
      </c>
      <c r="AD19" s="47">
        <f t="shared" si="8"/>
        <v>4.4780561847933442E-2</v>
      </c>
      <c r="AE19" s="47">
        <f t="shared" si="8"/>
        <v>4.7595899611583281E-2</v>
      </c>
      <c r="AF19" s="47">
        <f t="shared" si="8"/>
        <v>5.0403164567567549E-2</v>
      </c>
      <c r="AG19" s="47">
        <f t="shared" si="8"/>
        <v>5.3202379887558382E-2</v>
      </c>
      <c r="AH19" s="47">
        <f t="shared" si="8"/>
        <v>5.5993568676716454E-2</v>
      </c>
      <c r="AI19" s="47">
        <f t="shared" si="8"/>
        <v>5.8776753973883489E-2</v>
      </c>
      <c r="AJ19" s="47">
        <f t="shared" si="8"/>
        <v>6.1551958751772329E-2</v>
      </c>
      <c r="AK19" s="47">
        <f t="shared" si="8"/>
        <v>6.4319205917155897E-2</v>
      </c>
      <c r="AL19" s="47">
        <f t="shared" si="8"/>
        <v>6.7078518311056823E-2</v>
      </c>
      <c r="AM19" s="47">
        <f t="shared" si="8"/>
        <v>6.9829918708937289E-2</v>
      </c>
      <c r="AN19" s="47">
        <f t="shared" si="8"/>
        <v>7.2573429820885771E-2</v>
      </c>
      <c r="AO19" s="47">
        <f t="shared" si="8"/>
        <v>7.5309074291805111E-2</v>
      </c>
      <c r="AP19" s="47">
        <f t="shared" si="8"/>
        <v>7.8036874701600256E-2</v>
      </c>
      <c r="AQ19" s="47">
        <f t="shared" si="8"/>
        <v>8.0756853565363551E-2</v>
      </c>
      <c r="AR19" s="47">
        <f t="shared" si="8"/>
        <v>8.3469033333561926E-2</v>
      </c>
      <c r="AS19" s="47">
        <f t="shared" si="8"/>
        <v>8.617343639222208E-2</v>
      </c>
      <c r="AT19" s="47">
        <f t="shared" si="8"/>
        <v>8.8870085063115445E-2</v>
      </c>
      <c r="AU19" s="47">
        <f t="shared" ref="AU19:BZ19" si="9">AU18*C0</f>
        <v>9.1559001603942369E-2</v>
      </c>
      <c r="AV19" s="47">
        <f t="shared" si="9"/>
        <v>9.4240208208515641E-2</v>
      </c>
      <c r="AW19" s="47">
        <f t="shared" si="9"/>
        <v>9.6913727006944894E-2</v>
      </c>
      <c r="AX19" s="47">
        <f t="shared" si="9"/>
        <v>9.9579580065819795E-2</v>
      </c>
      <c r="AY19" s="47">
        <f t="shared" si="9"/>
        <v>0.12843696666433468</v>
      </c>
      <c r="AZ19" s="47">
        <f t="shared" si="9"/>
        <v>0.17650801653159109</v>
      </c>
      <c r="BA19" s="47">
        <f t="shared" si="9"/>
        <v>0.22200614165328181</v>
      </c>
      <c r="BB19" s="47">
        <f t="shared" si="9"/>
        <v>0.26506905364095923</v>
      </c>
      <c r="BC19" s="47">
        <f t="shared" si="9"/>
        <v>0.30582709331618996</v>
      </c>
      <c r="BD19" s="47">
        <f t="shared" si="9"/>
        <v>0.34440362522009516</v>
      </c>
      <c r="BE19" s="47">
        <f t="shared" si="9"/>
        <v>0.38091541100741244</v>
      </c>
      <c r="BF19" s="47">
        <f t="shared" si="9"/>
        <v>0.41547296285524959</v>
      </c>
      <c r="BG19" s="47">
        <f t="shared" si="9"/>
        <v>0.44818087795620765</v>
      </c>
      <c r="BH19" s="47">
        <f t="shared" si="9"/>
        <v>0.47913815510830593</v>
      </c>
      <c r="BI19" s="47">
        <f t="shared" si="9"/>
        <v>0.50843849435994304</v>
      </c>
      <c r="BJ19" s="47">
        <f t="shared" si="9"/>
        <v>0.53617058061685197</v>
      </c>
      <c r="BK19" s="47">
        <f t="shared" si="9"/>
        <v>0.56241835206945257</v>
      </c>
      <c r="BL19" s="47">
        <f t="shared" si="9"/>
        <v>0.58726125425306774</v>
      </c>
      <c r="BM19" s="47">
        <f t="shared" si="9"/>
        <v>0.61077448050997774</v>
      </c>
      <c r="BN19" s="47">
        <f t="shared" si="9"/>
        <v>0.63302919958113701</v>
      </c>
      <c r="BO19" s="47">
        <f t="shared" si="9"/>
        <v>0.65409277101641261</v>
      </c>
      <c r="BP19" s="47">
        <f t="shared" si="9"/>
        <v>0.6740289490553405</v>
      </c>
      <c r="BQ19" s="47">
        <f t="shared" si="9"/>
        <v>0.69289807559549677</v>
      </c>
      <c r="BR19" s="47">
        <f t="shared" si="9"/>
        <v>0.71075726283254892</v>
      </c>
      <c r="BS19" s="47">
        <f t="shared" si="9"/>
        <v>0.72766056612479846</v>
      </c>
      <c r="BT19" s="47">
        <f t="shared" si="9"/>
        <v>0.74365914760542617</v>
      </c>
      <c r="BU19" s="47">
        <f t="shared" si="9"/>
        <v>0.7588014310376624</v>
      </c>
      <c r="BV19" s="47">
        <f t="shared" si="9"/>
        <v>0.77313324838158159</v>
      </c>
      <c r="BW19" s="47">
        <f t="shared" si="9"/>
        <v>0.78669797851615253</v>
      </c>
      <c r="BX19" s="47">
        <f t="shared" si="9"/>
        <v>0.79953667853641242</v>
      </c>
      <c r="BY19" s="47">
        <f t="shared" si="9"/>
        <v>0.81168820802317543</v>
      </c>
      <c r="BZ19" s="47">
        <f t="shared" si="9"/>
        <v>0.82318934666140642</v>
      </c>
      <c r="CA19" s="47">
        <f t="shared" ref="CA19:DF19" si="10">CA18*C0</f>
        <v>0.83407490556326369</v>
      </c>
      <c r="CB19" s="47">
        <f t="shared" si="10"/>
        <v>0.8443778326327549</v>
      </c>
      <c r="CC19" s="47">
        <f t="shared" si="10"/>
        <v>0.85412931229092326</v>
      </c>
      <c r="CD19" s="47">
        <f t="shared" si="10"/>
        <v>0.86335885986340433</v>
      </c>
      <c r="CE19" s="47">
        <f t="shared" si="10"/>
        <v>0.87209441091604223</v>
      </c>
      <c r="CF19" s="47">
        <f t="shared" si="10"/>
        <v>0.88036240580896341</v>
      </c>
      <c r="CG19" s="47">
        <f t="shared" si="10"/>
        <v>0.88818786972502894</v>
      </c>
      <c r="CH19" s="47">
        <f t="shared" si="10"/>
        <v>0.89559448841489742</v>
      </c>
      <c r="CI19" s="47">
        <f t="shared" si="10"/>
        <v>0.90260467988795312</v>
      </c>
      <c r="CJ19" s="47">
        <f t="shared" si="10"/>
        <v>0.90923966226609643</v>
      </c>
      <c r="CK19" s="47">
        <f t="shared" si="10"/>
        <v>0.91551951800576858</v>
      </c>
      <c r="CL19" s="47">
        <f t="shared" si="10"/>
        <v>0.92146325468259926</v>
      </c>
      <c r="CM19" s="47">
        <f t="shared" si="10"/>
        <v>0.92708886252265221</v>
      </c>
      <c r="CN19" s="47">
        <f t="shared" si="10"/>
        <v>0.93241336885440651</v>
      </c>
      <c r="CO19" s="47">
        <f t="shared" si="10"/>
        <v>0.93745288964628337</v>
      </c>
      <c r="CP19" s="47">
        <f t="shared" si="10"/>
        <v>0.94222267828571027</v>
      </c>
      <c r="CQ19" s="47">
        <f t="shared" si="10"/>
        <v>0.94673717174736616</v>
      </c>
      <c r="CR19" s="47">
        <f t="shared" si="10"/>
        <v>0.95101003429034481</v>
      </c>
      <c r="CS19" s="47">
        <f t="shared" si="10"/>
        <v>0.95505419881650067</v>
      </c>
      <c r="CT19" s="47">
        <f t="shared" si="10"/>
        <v>0.95888190601515433</v>
      </c>
      <c r="CU19" s="47">
        <f t="shared" si="10"/>
        <v>0.96250474141264286</v>
      </c>
      <c r="CV19" s="47">
        <f t="shared" si="10"/>
        <v>0.96593367043885281</v>
      </c>
      <c r="CW19" s="47">
        <f t="shared" si="10"/>
        <v>0.96917907161687356</v>
      </c>
      <c r="CX19" s="47">
        <f t="shared" si="10"/>
        <v>0.97225076797622945</v>
      </c>
      <c r="CY19" s="47">
        <f t="shared" si="10"/>
        <v>0.97515805678476875</v>
      </c>
      <c r="CZ19" s="47">
        <f t="shared" si="10"/>
        <v>0.97790973768920253</v>
      </c>
      <c r="DA19" s="47">
        <f t="shared" si="10"/>
        <v>0.98051413934946585</v>
      </c>
      <c r="DB19" s="47">
        <f t="shared" si="10"/>
        <v>0.98297914464751979</v>
      </c>
      <c r="DC19" s="47">
        <f t="shared" si="10"/>
        <v>0.98531221454689133</v>
      </c>
      <c r="DD19" s="47">
        <f t="shared" si="10"/>
        <v>0.98752041067517182</v>
      </c>
      <c r="DE19" s="47">
        <f t="shared" si="10"/>
        <v>0.98961041669782301</v>
      </c>
      <c r="DF19" s="47">
        <f t="shared" si="10"/>
        <v>0.99158855854798555</v>
      </c>
      <c r="DG19" s="47">
        <f>DG18*C0</f>
        <v>0.99346082357351917</v>
      </c>
      <c r="DH19" s="47">
        <f>DH18*C0</f>
        <v>0.99523287865922916</v>
      </c>
      <c r="DI19" s="47">
        <f>DI18*C0</f>
        <v>0.99691008737913012</v>
      </c>
      <c r="DJ19" s="47">
        <f>DJ18*C0</f>
        <v>0.99849752623066268</v>
      </c>
      <c r="DK19" s="48">
        <f>DK18*C0</f>
        <v>1</v>
      </c>
    </row>
    <row r="20" spans="1:127" ht="15.75" x14ac:dyDescent="0.3">
      <c r="A20" s="4" t="s">
        <v>87</v>
      </c>
      <c r="B20" s="53">
        <v>0</v>
      </c>
      <c r="C20" s="4" t="s">
        <v>1</v>
      </c>
    </row>
    <row r="21" spans="1:127" ht="15.75" x14ac:dyDescent="0.3">
      <c r="A21" s="4" t="s">
        <v>42</v>
      </c>
      <c r="B21" s="53">
        <v>15</v>
      </c>
      <c r="C21" s="4" t="s">
        <v>0</v>
      </c>
    </row>
    <row r="22" spans="1:127" ht="15.75" x14ac:dyDescent="0.3">
      <c r="A22" s="27" t="s">
        <v>22</v>
      </c>
      <c r="B22" s="53">
        <v>100</v>
      </c>
      <c r="C22" s="4" t="s">
        <v>106</v>
      </c>
    </row>
    <row r="23" spans="1:127" ht="15.75" x14ac:dyDescent="0.3">
      <c r="A23" s="27" t="s">
        <v>23</v>
      </c>
      <c r="B23" s="53">
        <v>1</v>
      </c>
      <c r="C23" s="4" t="s">
        <v>106</v>
      </c>
    </row>
    <row r="24" spans="1:127" x14ac:dyDescent="0.2">
      <c r="A24" s="27"/>
      <c r="B24" s="23"/>
      <c r="C24" s="4"/>
    </row>
    <row r="25" spans="1:127" ht="13.5" customHeight="1" x14ac:dyDescent="0.2">
      <c r="A25" s="2" t="s">
        <v>7</v>
      </c>
      <c r="C25" s="4"/>
    </row>
    <row r="26" spans="1:127" x14ac:dyDescent="0.2">
      <c r="A26" t="s">
        <v>78</v>
      </c>
      <c r="B26" s="53">
        <v>45</v>
      </c>
      <c r="C26" s="4" t="s">
        <v>0</v>
      </c>
    </row>
    <row r="27" spans="1:127" x14ac:dyDescent="0.2">
      <c r="A27" s="4" t="s">
        <v>79</v>
      </c>
      <c r="B27" s="52" t="s">
        <v>80</v>
      </c>
      <c r="C27" s="4"/>
    </row>
    <row r="28" spans="1:127" x14ac:dyDescent="0.2">
      <c r="A28" t="s">
        <v>81</v>
      </c>
      <c r="B28" s="53">
        <v>0</v>
      </c>
      <c r="C28" s="4" t="s">
        <v>0</v>
      </c>
    </row>
    <row r="29" spans="1:127" x14ac:dyDescent="0.2">
      <c r="A29" t="s">
        <v>82</v>
      </c>
      <c r="B29" s="53">
        <v>15</v>
      </c>
      <c r="C29" s="4" t="s">
        <v>0</v>
      </c>
    </row>
    <row r="30" spans="1:127" x14ac:dyDescent="0.2">
      <c r="A30" s="4" t="s">
        <v>20</v>
      </c>
      <c r="B30" s="53">
        <v>0.4</v>
      </c>
      <c r="C30" s="4"/>
      <c r="DL30" s="9"/>
      <c r="DM30" s="9"/>
      <c r="DN30" s="9"/>
      <c r="DO30" s="9"/>
      <c r="DP30" s="9"/>
      <c r="DQ30" s="9"/>
      <c r="DR30" s="9"/>
      <c r="DS30" s="9"/>
      <c r="DT30" s="9"/>
      <c r="DU30" s="9"/>
      <c r="DV30" s="9"/>
      <c r="DW30" s="9"/>
    </row>
    <row r="31" spans="1:127" ht="15.75" x14ac:dyDescent="0.3">
      <c r="A31" s="27" t="s">
        <v>21</v>
      </c>
      <c r="B31" s="53">
        <v>2.6</v>
      </c>
      <c r="C31" s="4" t="s">
        <v>107</v>
      </c>
      <c r="DL31" s="11"/>
      <c r="DM31" s="11"/>
      <c r="DN31" s="11"/>
      <c r="DO31" s="11"/>
      <c r="DP31" s="11"/>
      <c r="DQ31" s="11"/>
      <c r="DR31" s="11"/>
      <c r="DS31" s="11"/>
      <c r="DT31" s="11"/>
      <c r="DU31" s="11"/>
      <c r="DV31" s="11"/>
      <c r="DW31" s="11"/>
    </row>
    <row r="32" spans="1:127" ht="15.75" x14ac:dyDescent="0.3">
      <c r="A32" s="27" t="s">
        <v>38</v>
      </c>
      <c r="B32" s="53">
        <v>2.0000000000000001E-4</v>
      </c>
      <c r="C32" s="4"/>
      <c r="DL32" s="11"/>
      <c r="DM32" s="11"/>
      <c r="DN32" s="11"/>
      <c r="DO32" s="11"/>
      <c r="DP32" s="11"/>
      <c r="DQ32" s="11"/>
      <c r="DR32" s="11"/>
      <c r="DS32" s="11"/>
      <c r="DT32" s="11"/>
      <c r="DU32" s="11"/>
      <c r="DV32" s="11"/>
      <c r="DW32" s="11"/>
    </row>
    <row r="33" spans="1:4" x14ac:dyDescent="0.2">
      <c r="A33" s="27" t="s">
        <v>17</v>
      </c>
      <c r="B33" s="53">
        <v>15</v>
      </c>
      <c r="C33" s="4" t="s">
        <v>0</v>
      </c>
    </row>
    <row r="34" spans="1:4" ht="15.75" x14ac:dyDescent="0.3">
      <c r="A34" s="27" t="s">
        <v>12</v>
      </c>
      <c r="B34" s="53">
        <v>0.05</v>
      </c>
      <c r="C34" s="4"/>
    </row>
    <row r="35" spans="1:4" x14ac:dyDescent="0.2">
      <c r="B35" s="7"/>
      <c r="C35" s="4"/>
    </row>
    <row r="36" spans="1:4" x14ac:dyDescent="0.2">
      <c r="A36" s="2" t="s">
        <v>90</v>
      </c>
      <c r="B36" s="7"/>
      <c r="C36" s="4"/>
    </row>
    <row r="37" spans="1:4" ht="15.75" x14ac:dyDescent="0.3">
      <c r="A37" s="27" t="s">
        <v>18</v>
      </c>
      <c r="B37" s="51">
        <f>0.903*logKow+0.094</f>
        <v>4.2207100000000004</v>
      </c>
      <c r="C37" s="4" t="s">
        <v>3</v>
      </c>
    </row>
    <row r="38" spans="1:4" ht="15.75" x14ac:dyDescent="0.3">
      <c r="A38" s="27" t="s">
        <v>40</v>
      </c>
      <c r="B38" s="51">
        <f>logKoc-0.37</f>
        <v>3.8507100000000003</v>
      </c>
      <c r="C38" s="4" t="s">
        <v>3</v>
      </c>
    </row>
    <row r="39" spans="1:4" ht="15.75" x14ac:dyDescent="0.3">
      <c r="A39" s="27" t="s">
        <v>35</v>
      </c>
      <c r="B39" s="51">
        <f>SQRT(0.02*0.01)/100^(2/3)/10^(1/2)*3600</f>
        <v>0.74728138720047343</v>
      </c>
      <c r="C39" s="4" t="s">
        <v>2</v>
      </c>
    </row>
    <row r="40" spans="1:4" ht="12.75" customHeight="1" x14ac:dyDescent="0.2">
      <c r="A40" s="27" t="s">
        <v>9</v>
      </c>
      <c r="B40" s="51">
        <f>IF(0.05*hcap&lt;1,1,0.05*hcap)</f>
        <v>2.1157449756599331</v>
      </c>
      <c r="C40" s="4" t="s">
        <v>0</v>
      </c>
      <c r="D40" s="4" t="s">
        <v>117</v>
      </c>
    </row>
    <row r="41" spans="1:4" ht="15.75" x14ac:dyDescent="0.3">
      <c r="A41" s="27" t="s">
        <v>27</v>
      </c>
      <c r="B41" s="64">
        <f>IF(B27="G",Dw*86400*365*e^(4/3)+alpha*ABS(Vdar),Dw*e/(1-LN(e^2))*86400*365+alpha*ABS(Vdar))</f>
        <v>76.923666080338492</v>
      </c>
      <c r="C41" s="4" t="s">
        <v>106</v>
      </c>
    </row>
    <row r="42" spans="1:4" ht="15.75" x14ac:dyDescent="0.3">
      <c r="A42" s="27" t="s">
        <v>28</v>
      </c>
      <c r="B42" s="65">
        <f>Dbiopw+Dbiop*(1-e)*rhop*focbio*10^logKoc+Deff</f>
        <v>1473.5194428243351</v>
      </c>
      <c r="C42" s="4" t="s">
        <v>106</v>
      </c>
    </row>
    <row r="43" spans="1:4" x14ac:dyDescent="0.2">
      <c r="A43" s="27"/>
      <c r="B43" s="51"/>
      <c r="C43" s="4"/>
    </row>
    <row r="44" spans="1:4" x14ac:dyDescent="0.2">
      <c r="A44" s="2" t="s">
        <v>10</v>
      </c>
      <c r="B44" s="6"/>
      <c r="C44" s="4"/>
    </row>
    <row r="45" spans="1:4" x14ac:dyDescent="0.2">
      <c r="A45" s="4" t="s">
        <v>13</v>
      </c>
      <c r="B45" s="36">
        <f>C0*IF(z&lt;hbio,(Cbl*EXP(-_Pe2/2)-Cbio*EXP(-G))/2/SINH(G)*EXP((_Pe2/2+G)*(hbio-z)/hbio)+(Cbio*EXP(G)-Cbl*EXP(-_Pe2/2))/2/SINH(G)*EXP((_Pe2/2-G)*(hbio-z)/hbio),(Cbio*EXP(-_Pe1/2)-EXP(-B))/2/SINH(B)*EXP((_Pe1/2+B)*(hcap-z)/(heff))+(EXP(B)-Cbio*EXP(-_Pe1/2))/2/SINH(B)*EXP((_Pe1/2-B)*(hcap-z)/(heff)))</f>
        <v>0.10077274884741694</v>
      </c>
      <c r="C45" s="66" t="s">
        <v>4</v>
      </c>
    </row>
    <row r="46" spans="1:4" x14ac:dyDescent="0.2">
      <c r="A46" s="4" t="s">
        <v>14</v>
      </c>
      <c r="B46" s="42">
        <f>Cz*10^logKoc*focz</f>
        <v>83.757384978489895</v>
      </c>
      <c r="C46" s="67" t="s">
        <v>5</v>
      </c>
    </row>
    <row r="47" spans="1:4" ht="15.75" x14ac:dyDescent="0.3">
      <c r="A47" s="4" t="s">
        <v>29</v>
      </c>
      <c r="B47" s="24">
        <f>focbio*10^logKoc*Cbioavg*C0</f>
        <v>43.228724252247801</v>
      </c>
      <c r="C47" s="67" t="s">
        <v>5</v>
      </c>
    </row>
    <row r="48" spans="1:4" ht="14.25" x14ac:dyDescent="0.2">
      <c r="A48" s="4" t="s">
        <v>15</v>
      </c>
      <c r="B48" s="18">
        <f>(kbl*24*365+Ueff)*Cbl*C0*10</f>
        <v>102.65648014928178</v>
      </c>
      <c r="C48" s="67" t="s">
        <v>108</v>
      </c>
    </row>
    <row r="49" spans="1:7" ht="15.75" x14ac:dyDescent="0.3">
      <c r="A49" s="4" t="s">
        <v>75</v>
      </c>
      <c r="B49" s="41">
        <f>_Pe2/_Pe1*EXP(_Pe1/2)*B*SINH(G)/(_Pe2/_Pe1*B*COSH(B)*SINH(G)+G*SINH(B)*COSH(G)-G^2*SINH(B)/((Sh+_Pe2/2)*SINH(G)+G*COSH(G)))</f>
        <v>0.10077274884741753</v>
      </c>
      <c r="C49" s="4"/>
      <c r="D49" s="28"/>
    </row>
    <row r="50" spans="1:7" ht="15.75" x14ac:dyDescent="0.3">
      <c r="A50" s="4" t="s">
        <v>76</v>
      </c>
      <c r="B50" s="41">
        <f>EXP((_Pe1+_Pe2)/2)/((_Pe1/2+Sh*_Pe1/_Pe2)*SINH(B)*COSH(G)/B+(_Pe2/2+Sh)*COSH(B)*SINH(G)/G+_Pe1*G*SINH(G)*SINH(B)/_Pe2/B+COSH(B)*COSH(G))</f>
        <v>1.5657959735154445E-3</v>
      </c>
      <c r="C50" s="4"/>
    </row>
    <row r="51" spans="1:7" ht="15.75" x14ac:dyDescent="0.3">
      <c r="A51" s="4" t="s">
        <v>77</v>
      </c>
      <c r="B51" s="41">
        <f>(Cbl*EXP(-_Pe2/2)-Cbio*EXP(-G))/2/SINH(G)*(EXP(_Pe2/2+G)-1)/(_Pe2/2+G)+(Cbio*EXP(G)-Cbl*EXP(-_Pe2/2))/2/SINH(G)*(EXP(_Pe2/2-G)-1)/(_Pe2/2-G)</f>
        <v>5.20106659631836E-2</v>
      </c>
      <c r="C51" s="4"/>
      <c r="D51" s="35"/>
    </row>
    <row r="52" spans="1:7" ht="15.75" x14ac:dyDescent="0.3">
      <c r="A52" s="4" t="s">
        <v>86</v>
      </c>
      <c r="B52" s="43">
        <f>1/(1/tadv+1/tdiff)</f>
        <v>2.771423572050955</v>
      </c>
      <c r="C52" s="67" t="s">
        <v>31</v>
      </c>
    </row>
    <row r="53" spans="1:7" x14ac:dyDescent="0.2">
      <c r="A53" s="5"/>
      <c r="B53" s="17"/>
      <c r="C53" s="4"/>
    </row>
    <row r="54" spans="1:7" x14ac:dyDescent="0.2">
      <c r="A54" s="2" t="s">
        <v>30</v>
      </c>
      <c r="B54" s="19"/>
      <c r="C54" s="4"/>
    </row>
    <row r="55" spans="1:7" ht="15.75" x14ac:dyDescent="0.3">
      <c r="A55" s="4" t="s">
        <v>57</v>
      </c>
      <c r="B55" s="20">
        <f>IF(Ueff=0,0.000001,Ueff*heff/Deff)</f>
        <v>3.5509132910502044</v>
      </c>
      <c r="C55" s="4"/>
    </row>
    <row r="56" spans="1:7" ht="15.75" x14ac:dyDescent="0.3">
      <c r="A56" s="4" t="s">
        <v>58</v>
      </c>
      <c r="B56" s="20">
        <f>e*_lam1*heff^2/Deff</f>
        <v>0</v>
      </c>
      <c r="C56" s="4"/>
    </row>
    <row r="57" spans="1:7" ht="15.75" x14ac:dyDescent="0.3">
      <c r="A57" s="15" t="s">
        <v>97</v>
      </c>
      <c r="B57" s="20">
        <f>SQRT(_Pe1^2/4+_Dam1)</f>
        <v>1.7754566455251022</v>
      </c>
      <c r="C57" s="4"/>
    </row>
    <row r="58" spans="1:7" ht="15.75" x14ac:dyDescent="0.3">
      <c r="A58" s="4" t="s">
        <v>59</v>
      </c>
      <c r="B58" s="20">
        <f>IF(Ueff=0,0.00001,Ueff*hbio/Dbio)</f>
        <v>0.10179719767558044</v>
      </c>
      <c r="C58" s="4"/>
    </row>
    <row r="59" spans="1:7" ht="15.75" x14ac:dyDescent="0.3">
      <c r="A59" s="4" t="s">
        <v>60</v>
      </c>
      <c r="B59" s="20">
        <f>IF(_lam2&gt;0,e*_lam2*hbio^2/Dbio,0.00001)</f>
        <v>1.0000000000000001E-5</v>
      </c>
      <c r="C59" s="4"/>
    </row>
    <row r="60" spans="1:7" ht="15.75" x14ac:dyDescent="0.3">
      <c r="A60" s="22" t="s">
        <v>96</v>
      </c>
      <c r="B60" s="21">
        <f>SQRT(_Pe2^2/4+_Dam2)</f>
        <v>5.0996738755044915E-2</v>
      </c>
      <c r="C60" s="4"/>
    </row>
    <row r="61" spans="1:7" x14ac:dyDescent="0.2">
      <c r="A61" s="4" t="s">
        <v>63</v>
      </c>
      <c r="B61" s="32">
        <f>kbl*24*365*hbio/Dbio</f>
        <v>66.638261718442905</v>
      </c>
      <c r="C61" s="4"/>
      <c r="E61" s="29"/>
      <c r="G61" s="28"/>
    </row>
    <row r="62" spans="1:7" x14ac:dyDescent="0.2">
      <c r="A62" s="5"/>
      <c r="B62" s="3"/>
      <c r="C62" s="4"/>
      <c r="E62" s="29"/>
      <c r="G62" s="28"/>
    </row>
    <row r="63" spans="1:7" ht="12.75" customHeight="1" x14ac:dyDescent="0.2">
      <c r="A63" s="2" t="s">
        <v>26</v>
      </c>
      <c r="B63" s="19"/>
      <c r="C63" s="4"/>
    </row>
    <row r="64" spans="1:7" ht="15.75" x14ac:dyDescent="0.3">
      <c r="A64" s="4" t="s">
        <v>91</v>
      </c>
      <c r="B64" s="49">
        <f>B26-B28-B29/_Rf1</f>
        <v>42.314899513198661</v>
      </c>
      <c r="C64" s="4" t="s">
        <v>0</v>
      </c>
    </row>
    <row r="65" spans="1:14" ht="15.75" customHeight="1" x14ac:dyDescent="0.3">
      <c r="A65" s="26" t="s">
        <v>119</v>
      </c>
      <c r="B65" s="18">
        <f>IF(hcap-hbio&gt;0,hcap-hbio,0.001)</f>
        <v>27.314899513198661</v>
      </c>
      <c r="C65" s="4" t="s">
        <v>0</v>
      </c>
    </row>
    <row r="66" spans="1:14" ht="15.75" x14ac:dyDescent="0.3">
      <c r="A66" s="27" t="s">
        <v>39</v>
      </c>
      <c r="B66" s="18">
        <f>(e+e*rhoDOC*10^(logKDOC-6)+(1-e)*rhop*foceff*10^logKoc)/(1+rhoDOC*10^(logKDOC-6))</f>
        <v>5.5863831069759868</v>
      </c>
      <c r="C66" s="4"/>
    </row>
    <row r="67" spans="1:14" ht="15.75" x14ac:dyDescent="0.3">
      <c r="A67" s="27" t="s">
        <v>45</v>
      </c>
      <c r="B67" s="18">
        <f>(e+e*rhoDOC*10^(logKDOC-6)+(1-e)*rhop*focbio*10^logKoc)/(1+rhoDOC*10^(logKDOC-6))</f>
        <v>1296.9957767439967</v>
      </c>
      <c r="C67" s="4"/>
    </row>
    <row r="68" spans="1:14" x14ac:dyDescent="0.2">
      <c r="A68" s="4" t="s">
        <v>68</v>
      </c>
      <c r="B68" s="20">
        <f>MAX(Vdar-((1-e)*rhop*foceff*10^logKoc*Vdep)+0.00001,-_Rf1*heff/(_Rf1*heff^2/16/Deff)+0.00001)</f>
        <v>10.00001</v>
      </c>
      <c r="C68" s="4" t="s">
        <v>1</v>
      </c>
      <c r="D68" s="4" t="s">
        <v>118</v>
      </c>
    </row>
    <row r="69" spans="1:14" ht="15.75" x14ac:dyDescent="0.3">
      <c r="A69" s="27" t="s">
        <v>65</v>
      </c>
      <c r="B69" s="32">
        <f>_Rf1*heff/Ueff</f>
        <v>15.259134061793899</v>
      </c>
      <c r="C69" s="4" t="s">
        <v>31</v>
      </c>
    </row>
    <row r="70" spans="1:14" ht="15.75" x14ac:dyDescent="0.3">
      <c r="A70" s="27" t="s">
        <v>66</v>
      </c>
      <c r="B70" s="32">
        <f>_Rf1*heff^2/16/Deff</f>
        <v>3.386491371871303</v>
      </c>
      <c r="C70" s="4" t="s">
        <v>31</v>
      </c>
    </row>
    <row r="71" spans="1:14" ht="15.75" x14ac:dyDescent="0.3">
      <c r="A71" s="27" t="s">
        <v>67</v>
      </c>
      <c r="B71" s="57" t="str">
        <f>IF(_lam1&gt;0,_Rf1/_lam1,"infinity")</f>
        <v>infinity</v>
      </c>
      <c r="C71" s="4" t="s">
        <v>31</v>
      </c>
    </row>
    <row r="72" spans="1:14" x14ac:dyDescent="0.2">
      <c r="B72" s="6"/>
    </row>
    <row r="73" spans="1:14" ht="26.25" customHeight="1" x14ac:dyDescent="0.2">
      <c r="A73" s="74" t="s">
        <v>103</v>
      </c>
      <c r="B73" s="75"/>
      <c r="C73" s="75"/>
      <c r="D73" s="75"/>
    </row>
    <row r="77" spans="1:14" x14ac:dyDescent="0.2">
      <c r="A77" s="1"/>
      <c r="B77" s="1"/>
      <c r="C77" s="1"/>
    </row>
    <row r="78" spans="1:14" x14ac:dyDescent="0.2">
      <c r="D78" s="1"/>
      <c r="E78" s="1"/>
      <c r="F78" s="1"/>
      <c r="G78" s="1"/>
      <c r="H78" s="1"/>
      <c r="I78" s="1"/>
      <c r="J78" s="1"/>
      <c r="K78" s="1"/>
      <c r="L78" s="1"/>
      <c r="M78" s="1"/>
      <c r="N78" s="1"/>
    </row>
  </sheetData>
  <sortState ref="A8:C15">
    <sortCondition sortBy="cellColor" ref="A10"/>
  </sortState>
  <mergeCells count="3">
    <mergeCell ref="O15:DK15"/>
    <mergeCell ref="A6:D6"/>
    <mergeCell ref="A73:D73"/>
  </mergeCells>
  <phoneticPr fontId="2" type="noConversion"/>
  <pageMargins left="0.75" right="0.75" top="1" bottom="1" header="0.5" footer="0.5"/>
  <pageSetup paperSize="25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9"/>
  <sheetViews>
    <sheetView topLeftCell="A4" workbookViewId="0">
      <selection activeCell="C9" sqref="C9"/>
    </sheetView>
  </sheetViews>
  <sheetFormatPr defaultRowHeight="12.75" x14ac:dyDescent="0.2"/>
  <cols>
    <col min="1" max="1" width="11.28515625" customWidth="1"/>
    <col min="2" max="9" width="8.140625" customWidth="1"/>
    <col min="13" max="13" width="12.42578125" bestFit="1" customWidth="1"/>
    <col min="14" max="15" width="10.42578125" bestFit="1" customWidth="1"/>
  </cols>
  <sheetData>
    <row r="1" spans="1:12" x14ac:dyDescent="0.2">
      <c r="A1" s="2" t="s">
        <v>70</v>
      </c>
    </row>
    <row r="2" spans="1:12" x14ac:dyDescent="0.2">
      <c r="A2" s="4" t="s">
        <v>71</v>
      </c>
    </row>
    <row r="3" spans="1:12" x14ac:dyDescent="0.2">
      <c r="A3" s="16" t="s">
        <v>72</v>
      </c>
    </row>
    <row r="4" spans="1:12" x14ac:dyDescent="0.2">
      <c r="A4" t="s">
        <v>102</v>
      </c>
    </row>
    <row r="5" spans="1:12" x14ac:dyDescent="0.2">
      <c r="A5" t="s">
        <v>34</v>
      </c>
    </row>
    <row r="6" spans="1:12" x14ac:dyDescent="0.2">
      <c r="F6" s="76" t="s">
        <v>73</v>
      </c>
      <c r="G6" s="76"/>
      <c r="H6" s="76"/>
      <c r="I6" s="76"/>
      <c r="J6" s="76"/>
      <c r="K6" s="76"/>
    </row>
    <row r="8" spans="1:12" x14ac:dyDescent="0.2">
      <c r="A8" s="2" t="s">
        <v>32</v>
      </c>
    </row>
    <row r="9" spans="1:12" ht="15.75" x14ac:dyDescent="0.3">
      <c r="A9" s="5" t="s">
        <v>64</v>
      </c>
      <c r="B9" s="63">
        <f>D9</f>
        <v>2.771423572050955</v>
      </c>
      <c r="C9" s="25" t="s">
        <v>31</v>
      </c>
      <c r="D9" s="9">
        <f>tss</f>
        <v>2.771423572050955</v>
      </c>
      <c r="E9" s="9" t="s">
        <v>83</v>
      </c>
      <c r="F9" s="9"/>
      <c r="G9" s="9"/>
      <c r="H9" s="9"/>
    </row>
    <row r="10" spans="1:12" x14ac:dyDescent="0.2">
      <c r="A10" s="5" t="s">
        <v>48</v>
      </c>
      <c r="B10" s="32">
        <f>Ueff*hcap/Deff</f>
        <v>5.5009003060130759</v>
      </c>
      <c r="C10" s="19"/>
      <c r="D10" s="9"/>
      <c r="E10" s="9"/>
      <c r="F10" s="9"/>
      <c r="G10" s="9"/>
      <c r="H10" s="9"/>
    </row>
    <row r="11" spans="1:12" x14ac:dyDescent="0.2">
      <c r="A11" s="5" t="s">
        <v>49</v>
      </c>
      <c r="B11" s="32">
        <f>e*_lam1*hcap^2/Deff</f>
        <v>0</v>
      </c>
      <c r="C11" s="19"/>
      <c r="D11" s="9"/>
      <c r="E11" s="9"/>
      <c r="F11" s="9"/>
      <c r="G11" s="9"/>
      <c r="H11" s="9"/>
    </row>
    <row r="12" spans="1:12" x14ac:dyDescent="0.2">
      <c r="A12" s="31" t="s">
        <v>33</v>
      </c>
      <c r="B12" s="18">
        <f>SQRT(Pe^2/4+Da)</f>
        <v>2.7504501530065379</v>
      </c>
      <c r="C12" s="19"/>
    </row>
    <row r="13" spans="1:12" x14ac:dyDescent="0.2">
      <c r="B13" s="9"/>
      <c r="C13" s="9"/>
      <c r="D13" s="9"/>
      <c r="E13" s="9"/>
      <c r="F13" s="9"/>
      <c r="G13" s="9"/>
      <c r="H13" s="9"/>
    </row>
    <row r="14" spans="1:12" x14ac:dyDescent="0.2">
      <c r="B14" s="9"/>
      <c r="C14" s="9"/>
      <c r="D14" s="9"/>
      <c r="E14" s="9"/>
      <c r="F14" s="9"/>
      <c r="G14" s="9"/>
      <c r="H14" s="9"/>
    </row>
    <row r="15" spans="1:12" x14ac:dyDescent="0.2">
      <c r="A15" s="78" t="s">
        <v>52</v>
      </c>
      <c r="B15" s="78"/>
      <c r="C15" s="78"/>
      <c r="D15" s="78"/>
      <c r="E15" s="78"/>
      <c r="F15" s="78"/>
      <c r="G15" s="78"/>
      <c r="H15" s="78"/>
      <c r="I15" s="78"/>
      <c r="J15" s="78"/>
      <c r="K15" s="78"/>
      <c r="L15" s="78"/>
    </row>
    <row r="16" spans="1:12" x14ac:dyDescent="0.2">
      <c r="A16" s="30"/>
      <c r="B16" s="77" t="s">
        <v>50</v>
      </c>
      <c r="C16" s="77"/>
      <c r="D16" s="77"/>
      <c r="E16" s="77"/>
      <c r="F16" s="77"/>
      <c r="G16" s="77"/>
      <c r="H16" s="77"/>
      <c r="I16" s="77"/>
      <c r="J16" s="77"/>
      <c r="K16" s="77"/>
      <c r="L16" s="77"/>
    </row>
    <row r="17" spans="1:13" x14ac:dyDescent="0.2">
      <c r="A17" s="37" t="s">
        <v>53</v>
      </c>
      <c r="B17" s="60">
        <v>1E-8</v>
      </c>
      <c r="C17" s="61">
        <f>Deff*Calctime/hcap^2/_Rf1*0.1</f>
        <v>2.1313046720031425E-3</v>
      </c>
      <c r="D17" s="61">
        <f t="shared" ref="D17:L17" si="0">C17+Deff*Calctime/hcap^2/_Rf1*0.1</f>
        <v>4.2626093440062849E-3</v>
      </c>
      <c r="E17" s="61">
        <f t="shared" si="0"/>
        <v>6.393914016009427E-3</v>
      </c>
      <c r="F17" s="61">
        <f t="shared" si="0"/>
        <v>8.5252186880125699E-3</v>
      </c>
      <c r="G17" s="61">
        <f t="shared" si="0"/>
        <v>1.0656523360015713E-2</v>
      </c>
      <c r="H17" s="61">
        <f t="shared" si="0"/>
        <v>1.2787828032018856E-2</v>
      </c>
      <c r="I17" s="61">
        <f t="shared" si="0"/>
        <v>1.4919132704021999E-2</v>
      </c>
      <c r="J17" s="61">
        <f t="shared" si="0"/>
        <v>1.705043737602514E-2</v>
      </c>
      <c r="K17" s="61">
        <f t="shared" si="0"/>
        <v>1.9181742048028281E-2</v>
      </c>
      <c r="L17" s="61">
        <f t="shared" si="0"/>
        <v>2.1313046720031422E-2</v>
      </c>
      <c r="M17" s="34"/>
    </row>
    <row r="18" spans="1:13" x14ac:dyDescent="0.2">
      <c r="A18" s="62">
        <v>1</v>
      </c>
      <c r="B18" s="20">
        <f t="shared" ref="B18:L27" si="1">0.5*(EXP((Pe/2-u)*$A18)*IF($A18-2*u*B$17&gt;0,ERFC(1/2/B$17^0.5*($A18-2*u*B$17)),2-ERFC(1/2/B$17^0.5*ABS($A18-2*u*B$17)))+EXP((Pe/2+u)*$A18)*ERFC(1/2/B$17^0.5*($A18+2*u*B$17)))</f>
        <v>0</v>
      </c>
      <c r="C18" s="20">
        <f t="shared" si="1"/>
        <v>9.1238897392786188E-52</v>
      </c>
      <c r="D18" s="20">
        <f t="shared" si="1"/>
        <v>3.7431093647448192E-26</v>
      </c>
      <c r="E18" s="20">
        <f t="shared" si="1"/>
        <v>1.3905316929842084E-17</v>
      </c>
      <c r="F18" s="20">
        <f t="shared" si="1"/>
        <v>2.7700822474121347E-13</v>
      </c>
      <c r="G18" s="20">
        <f t="shared" si="1"/>
        <v>1.0711231956883279E-10</v>
      </c>
      <c r="H18" s="20">
        <f t="shared" si="1"/>
        <v>5.7465067344950611E-9</v>
      </c>
      <c r="I18" s="20">
        <f t="shared" si="1"/>
        <v>9.9495082573730367E-8</v>
      </c>
      <c r="J18" s="20">
        <f t="shared" si="1"/>
        <v>8.4840698516439727E-7</v>
      </c>
      <c r="K18" s="20">
        <f t="shared" si="1"/>
        <v>4.5075544995619293E-6</v>
      </c>
      <c r="L18" s="20">
        <f t="shared" si="1"/>
        <v>1.7186028192717435E-5</v>
      </c>
    </row>
    <row r="19" spans="1:13" x14ac:dyDescent="0.2">
      <c r="A19" s="62">
        <f>A18-0.05</f>
        <v>0.95</v>
      </c>
      <c r="B19" s="20">
        <f t="shared" si="1"/>
        <v>0</v>
      </c>
      <c r="C19" s="20">
        <f t="shared" si="1"/>
        <v>7.7520865214941465E-47</v>
      </c>
      <c r="D19" s="20">
        <f t="shared" si="1"/>
        <v>1.0443899539596349E-23</v>
      </c>
      <c r="E19" s="20">
        <f t="shared" si="1"/>
        <v>5.765617198797513E-16</v>
      </c>
      <c r="F19" s="20">
        <f t="shared" si="1"/>
        <v>4.4270512904777272E-12</v>
      </c>
      <c r="G19" s="20">
        <f t="shared" si="1"/>
        <v>9.6604027274155559E-10</v>
      </c>
      <c r="H19" s="20">
        <f t="shared" si="1"/>
        <v>3.5390610745134299E-8</v>
      </c>
      <c r="I19" s="20">
        <f t="shared" si="1"/>
        <v>4.6658386695469225E-7</v>
      </c>
      <c r="J19" s="20">
        <f t="shared" si="1"/>
        <v>3.2430387432695409E-6</v>
      </c>
      <c r="K19" s="20">
        <f t="shared" si="1"/>
        <v>1.4697002558196032E-5</v>
      </c>
      <c r="L19" s="20">
        <f t="shared" si="1"/>
        <v>4.9341184641481515E-5</v>
      </c>
    </row>
    <row r="20" spans="1:13" x14ac:dyDescent="0.2">
      <c r="A20" s="62">
        <f t="shared" ref="A20:A37" si="2">A19-0.05</f>
        <v>0.89999999999999991</v>
      </c>
      <c r="B20" s="20">
        <f t="shared" si="1"/>
        <v>0</v>
      </c>
      <c r="C20" s="20">
        <f t="shared" si="1"/>
        <v>3.6738237973976089E-42</v>
      </c>
      <c r="D20" s="20">
        <f t="shared" si="1"/>
        <v>2.1791242272321189E-21</v>
      </c>
      <c r="E20" s="20">
        <f t="shared" si="1"/>
        <v>1.9711853562243318E-14</v>
      </c>
      <c r="F20" s="20">
        <f t="shared" si="1"/>
        <v>6.1257294877904354E-11</v>
      </c>
      <c r="G20" s="20">
        <f t="shared" si="1"/>
        <v>7.7676423539760849E-9</v>
      </c>
      <c r="H20" s="20">
        <f t="shared" si="1"/>
        <v>1.9814550859732387E-7</v>
      </c>
      <c r="I20" s="20">
        <f t="shared" si="1"/>
        <v>2.0170647984346864E-6</v>
      </c>
      <c r="J20" s="20">
        <f t="shared" si="1"/>
        <v>1.1547757385496629E-5</v>
      </c>
      <c r="K20" s="20">
        <f t="shared" si="1"/>
        <v>4.5002901878029479E-5</v>
      </c>
      <c r="L20" s="20">
        <f t="shared" si="1"/>
        <v>1.3390221932246485E-4</v>
      </c>
    </row>
    <row r="21" spans="1:13" x14ac:dyDescent="0.2">
      <c r="A21" s="62">
        <f t="shared" si="2"/>
        <v>0.84999999999999987</v>
      </c>
      <c r="B21" s="20">
        <f t="shared" si="1"/>
        <v>0</v>
      </c>
      <c r="C21" s="20">
        <f t="shared" si="1"/>
        <v>9.7142523941473977E-38</v>
      </c>
      <c r="D21" s="20">
        <f t="shared" si="1"/>
        <v>3.4010601396527392E-19</v>
      </c>
      <c r="E21" s="20">
        <f t="shared" si="1"/>
        <v>5.5583308769324727E-13</v>
      </c>
      <c r="F21" s="20">
        <f t="shared" si="1"/>
        <v>7.3406817932221347E-10</v>
      </c>
      <c r="G21" s="20">
        <f t="shared" si="1"/>
        <v>5.5696949869986295E-8</v>
      </c>
      <c r="H21" s="20">
        <f t="shared" si="1"/>
        <v>1.0087860434384116E-6</v>
      </c>
      <c r="I21" s="20">
        <f t="shared" si="1"/>
        <v>8.0403633451625452E-6</v>
      </c>
      <c r="J21" s="20">
        <f t="shared" si="1"/>
        <v>3.8312620203771446E-5</v>
      </c>
      <c r="K21" s="20">
        <f t="shared" si="1"/>
        <v>1.2944194869122638E-4</v>
      </c>
      <c r="L21" s="20">
        <f t="shared" si="1"/>
        <v>3.4356343687596581E-4</v>
      </c>
    </row>
    <row r="22" spans="1:13" x14ac:dyDescent="0.2">
      <c r="A22" s="62">
        <f t="shared" si="2"/>
        <v>0.79999999999999982</v>
      </c>
      <c r="B22" s="20">
        <f t="shared" si="1"/>
        <v>0</v>
      </c>
      <c r="C22" s="20">
        <f t="shared" si="1"/>
        <v>1.433655224184471E-33</v>
      </c>
      <c r="D22" s="20">
        <f t="shared" si="1"/>
        <v>3.9719553968892115E-17</v>
      </c>
      <c r="E22" s="20">
        <f t="shared" si="1"/>
        <v>1.2931068812644374E-11</v>
      </c>
      <c r="F22" s="20">
        <f t="shared" si="1"/>
        <v>7.6204794545254782E-9</v>
      </c>
      <c r="G22" s="20">
        <f t="shared" si="1"/>
        <v>3.5624503019086993E-7</v>
      </c>
      <c r="H22" s="20">
        <f t="shared" si="1"/>
        <v>4.6714883948038149E-6</v>
      </c>
      <c r="I22" s="20">
        <f t="shared" si="1"/>
        <v>2.9560800808740366E-5</v>
      </c>
      <c r="J22" s="20">
        <f t="shared" si="1"/>
        <v>1.1846785101538495E-4</v>
      </c>
      <c r="K22" s="20">
        <f t="shared" si="1"/>
        <v>3.498205070579426E-4</v>
      </c>
      <c r="L22" s="20">
        <f t="shared" si="1"/>
        <v>8.3363797170353461E-4</v>
      </c>
    </row>
    <row r="23" spans="1:13" x14ac:dyDescent="0.2">
      <c r="A23" s="62">
        <f t="shared" si="2"/>
        <v>0.74999999999999978</v>
      </c>
      <c r="B23" s="20">
        <f t="shared" si="1"/>
        <v>0</v>
      </c>
      <c r="C23" s="20">
        <f t="shared" si="1"/>
        <v>1.1814232604753708E-29</v>
      </c>
      <c r="D23" s="20">
        <f t="shared" si="1"/>
        <v>3.4723421588005208E-15</v>
      </c>
      <c r="E23" s="20">
        <f t="shared" si="1"/>
        <v>2.4828984513950025E-10</v>
      </c>
      <c r="F23" s="20">
        <f t="shared" si="1"/>
        <v>6.8556620939596702E-8</v>
      </c>
      <c r="G23" s="20">
        <f t="shared" si="1"/>
        <v>2.0332414020168868E-6</v>
      </c>
      <c r="H23" s="20">
        <f t="shared" si="1"/>
        <v>1.9683164330740518E-5</v>
      </c>
      <c r="I23" s="20">
        <f t="shared" si="1"/>
        <v>1.0027178766706723E-4</v>
      </c>
      <c r="J23" s="20">
        <f t="shared" si="1"/>
        <v>3.415127114756658E-4</v>
      </c>
      <c r="K23" s="20">
        <f t="shared" si="1"/>
        <v>8.8854793347029125E-4</v>
      </c>
      <c r="L23" s="20">
        <f t="shared" si="1"/>
        <v>1.9134889160602642E-3</v>
      </c>
    </row>
    <row r="24" spans="1:13" x14ac:dyDescent="0.2">
      <c r="A24" s="62">
        <f t="shared" si="2"/>
        <v>0.69999999999999973</v>
      </c>
      <c r="B24" s="20">
        <f t="shared" si="1"/>
        <v>0</v>
      </c>
      <c r="C24" s="20">
        <f t="shared" si="1"/>
        <v>5.4388678554993655E-26</v>
      </c>
      <c r="D24" s="20">
        <f t="shared" si="1"/>
        <v>2.2733749809204843E-13</v>
      </c>
      <c r="E24" s="20">
        <f t="shared" si="1"/>
        <v>3.9364842222640105E-9</v>
      </c>
      <c r="F24" s="20">
        <f t="shared" si="1"/>
        <v>5.3471015490106637E-7</v>
      </c>
      <c r="G24" s="20">
        <f t="shared" si="1"/>
        <v>1.035915343999959E-5</v>
      </c>
      <c r="H24" s="20">
        <f t="shared" si="1"/>
        <v>7.5488960203793368E-5</v>
      </c>
      <c r="I24" s="20">
        <f t="shared" si="1"/>
        <v>3.139227453811263E-4</v>
      </c>
      <c r="J24" s="20">
        <f t="shared" si="1"/>
        <v>9.1815318793952256E-4</v>
      </c>
      <c r="K24" s="20">
        <f t="shared" si="1"/>
        <v>2.121932108527705E-3</v>
      </c>
      <c r="L24" s="20">
        <f t="shared" si="1"/>
        <v>4.1562147946835395E-3</v>
      </c>
    </row>
    <row r="25" spans="1:13" x14ac:dyDescent="0.2">
      <c r="A25" s="62">
        <f t="shared" si="2"/>
        <v>0.64999999999999969</v>
      </c>
      <c r="B25" s="20">
        <f t="shared" si="1"/>
        <v>0</v>
      </c>
      <c r="C25" s="20">
        <f t="shared" si="1"/>
        <v>1.3996381956071211E-22</v>
      </c>
      <c r="D25" s="20">
        <f t="shared" si="1"/>
        <v>1.1153022666483451E-11</v>
      </c>
      <c r="E25" s="20">
        <f t="shared" si="1"/>
        <v>5.1559638835515963E-8</v>
      </c>
      <c r="F25" s="20">
        <f t="shared" si="1"/>
        <v>3.6174556158730497E-6</v>
      </c>
      <c r="G25" s="20">
        <f t="shared" si="1"/>
        <v>4.7136552802582956E-5</v>
      </c>
      <c r="H25" s="20">
        <f t="shared" si="1"/>
        <v>2.6364210902564297E-4</v>
      </c>
      <c r="I25" s="20">
        <f t="shared" si="1"/>
        <v>9.0747447988523194E-4</v>
      </c>
      <c r="J25" s="20">
        <f t="shared" si="1"/>
        <v>2.3030574394759338E-3</v>
      </c>
      <c r="K25" s="20">
        <f t="shared" si="1"/>
        <v>4.7661833040523564E-3</v>
      </c>
      <c r="L25" s="20">
        <f t="shared" si="1"/>
        <v>8.5459841099248604E-3</v>
      </c>
    </row>
    <row r="26" spans="1:13" x14ac:dyDescent="0.2">
      <c r="A26" s="62">
        <f t="shared" si="2"/>
        <v>0.59999999999999964</v>
      </c>
      <c r="B26" s="20">
        <f t="shared" si="1"/>
        <v>0</v>
      </c>
      <c r="C26" s="20">
        <f t="shared" si="1"/>
        <v>2.0148752425496911E-19</v>
      </c>
      <c r="D26" s="20">
        <f t="shared" si="1"/>
        <v>4.1028046525931601E-10</v>
      </c>
      <c r="E26" s="20">
        <f t="shared" si="1"/>
        <v>5.5825861411168873E-7</v>
      </c>
      <c r="F26" s="20">
        <f t="shared" si="1"/>
        <v>2.1240212026121107E-5</v>
      </c>
      <c r="G26" s="20">
        <f t="shared" si="1"/>
        <v>1.9165953325148027E-4</v>
      </c>
      <c r="H26" s="20">
        <f t="shared" si="1"/>
        <v>8.3891465822855159E-4</v>
      </c>
      <c r="I26" s="20">
        <f t="shared" si="1"/>
        <v>2.4234406290917672E-3</v>
      </c>
      <c r="J26" s="20">
        <f t="shared" si="1"/>
        <v>5.3924453763989494E-3</v>
      </c>
      <c r="K26" s="20">
        <f t="shared" si="1"/>
        <v>1.0073980377751927E-2</v>
      </c>
      <c r="L26" s="20">
        <f t="shared" si="1"/>
        <v>1.6642329595983305E-2</v>
      </c>
    </row>
    <row r="27" spans="1:13" x14ac:dyDescent="0.2">
      <c r="A27" s="62">
        <f t="shared" si="2"/>
        <v>0.5499999999999996</v>
      </c>
      <c r="B27" s="20">
        <f t="shared" si="1"/>
        <v>0</v>
      </c>
      <c r="C27" s="20">
        <f t="shared" si="1"/>
        <v>1.6240661117000699E-16</v>
      </c>
      <c r="D27" s="20">
        <f t="shared" si="1"/>
        <v>1.1326503782305637E-8</v>
      </c>
      <c r="E27" s="20">
        <f t="shared" si="1"/>
        <v>5.0005268917383527E-6</v>
      </c>
      <c r="F27" s="20">
        <f t="shared" si="1"/>
        <v>1.083159455063246E-4</v>
      </c>
      <c r="G27" s="20">
        <f t="shared" si="1"/>
        <v>6.9683506813837291E-4</v>
      </c>
      <c r="H27" s="20">
        <f t="shared" si="1"/>
        <v>2.433685705376918E-3</v>
      </c>
      <c r="I27" s="20">
        <f t="shared" si="1"/>
        <v>5.9823984831454922E-3</v>
      </c>
      <c r="J27" s="20">
        <f t="shared" si="1"/>
        <v>1.1792485772287892E-2</v>
      </c>
      <c r="K27" s="20">
        <f t="shared" si="1"/>
        <v>2.0047489169379887E-2</v>
      </c>
      <c r="L27" s="20">
        <f t="shared" si="1"/>
        <v>3.0710221703702807E-2</v>
      </c>
    </row>
    <row r="28" spans="1:13" x14ac:dyDescent="0.2">
      <c r="A28" s="62">
        <f t="shared" si="2"/>
        <v>0.49999999999999961</v>
      </c>
      <c r="B28" s="20">
        <f t="shared" ref="B28:L40" si="3">0.5*(EXP((Pe/2-u)*$A28)*IF($A28-2*u*B$17&gt;0,ERFC(1/2/B$17^0.5*($A28-2*u*B$17)),2-ERFC(1/2/B$17^0.5*ABS($A28-2*u*B$17)))+EXP((Pe/2+u)*$A28)*ERFC(1/2/B$17^0.5*($A28+2*u*B$17)))</f>
        <v>0</v>
      </c>
      <c r="C28" s="20">
        <f t="shared" si="3"/>
        <v>7.3381073799935769E-14</v>
      </c>
      <c r="D28" s="20">
        <f t="shared" si="3"/>
        <v>2.3490083693578533E-7</v>
      </c>
      <c r="E28" s="20">
        <f t="shared" si="3"/>
        <v>3.7089958452353477E-5</v>
      </c>
      <c r="F28" s="20">
        <f t="shared" si="3"/>
        <v>4.8015001973823149E-4</v>
      </c>
      <c r="G28" s="20">
        <f t="shared" si="3"/>
        <v>2.2672720218899879E-3</v>
      </c>
      <c r="H28" s="20">
        <f t="shared" si="3"/>
        <v>6.441405927308159E-3</v>
      </c>
      <c r="I28" s="20">
        <f t="shared" si="3"/>
        <v>1.3660646271631535E-2</v>
      </c>
      <c r="J28" s="20">
        <f t="shared" si="3"/>
        <v>2.4102188382291497E-2</v>
      </c>
      <c r="K28" s="20">
        <f t="shared" si="3"/>
        <v>3.7586107540600038E-2</v>
      </c>
      <c r="L28" s="20">
        <f t="shared" si="3"/>
        <v>5.3732531607658271E-2</v>
      </c>
    </row>
    <row r="29" spans="1:13" x14ac:dyDescent="0.2">
      <c r="A29" s="62">
        <f t="shared" si="2"/>
        <v>0.44999999999999962</v>
      </c>
      <c r="B29" s="20">
        <f t="shared" si="3"/>
        <v>0</v>
      </c>
      <c r="C29" s="20">
        <f t="shared" si="3"/>
        <v>1.8613697009724978E-11</v>
      </c>
      <c r="D29" s="20">
        <f t="shared" si="3"/>
        <v>3.6644557046929014E-6</v>
      </c>
      <c r="E29" s="20">
        <f t="shared" si="3"/>
        <v>2.2806595916222735E-4</v>
      </c>
      <c r="F29" s="20">
        <f t="shared" si="3"/>
        <v>1.8521257249573886E-3</v>
      </c>
      <c r="G29" s="20">
        <f t="shared" si="3"/>
        <v>6.6080520425878669E-3</v>
      </c>
      <c r="H29" s="20">
        <f t="shared" si="3"/>
        <v>1.5568954840702594E-2</v>
      </c>
      <c r="I29" s="20">
        <f t="shared" si="3"/>
        <v>2.887947539524207E-2</v>
      </c>
      <c r="J29" s="20">
        <f t="shared" si="3"/>
        <v>4.6077421068544469E-2</v>
      </c>
      <c r="K29" s="20">
        <f t="shared" si="3"/>
        <v>6.6440836981504992E-2</v>
      </c>
      <c r="L29" s="20">
        <f t="shared" si="3"/>
        <v>8.9206038650354924E-2</v>
      </c>
    </row>
    <row r="30" spans="1:13" x14ac:dyDescent="0.2">
      <c r="A30" s="62">
        <f t="shared" si="2"/>
        <v>0.39999999999999963</v>
      </c>
      <c r="B30" s="20">
        <f t="shared" si="3"/>
        <v>0</v>
      </c>
      <c r="C30" s="20">
        <f t="shared" si="3"/>
        <v>2.6557762539937076E-9</v>
      </c>
      <c r="D30" s="20">
        <f t="shared" si="3"/>
        <v>4.3071501743266802E-5</v>
      </c>
      <c r="E30" s="20">
        <f t="shared" si="3"/>
        <v>1.1642891665249308E-3</v>
      </c>
      <c r="F30" s="20">
        <f t="shared" si="3"/>
        <v>6.2250244639809622E-3</v>
      </c>
      <c r="G30" s="20">
        <f t="shared" si="3"/>
        <v>1.7272594651521429E-2</v>
      </c>
      <c r="H30" s="20">
        <f t="shared" si="3"/>
        <v>3.4401634208212829E-2</v>
      </c>
      <c r="I30" s="20">
        <f t="shared" si="3"/>
        <v>5.6581588758898203E-2</v>
      </c>
      <c r="J30" s="20">
        <f t="shared" si="3"/>
        <v>8.2474358055864894E-2</v>
      </c>
      <c r="K30" s="20">
        <f t="shared" si="3"/>
        <v>0.11083547555495485</v>
      </c>
      <c r="L30" s="20">
        <f t="shared" si="3"/>
        <v>0.14064674423494961</v>
      </c>
    </row>
    <row r="31" spans="1:13" x14ac:dyDescent="0.2">
      <c r="A31" s="62">
        <f t="shared" si="2"/>
        <v>0.34999999999999964</v>
      </c>
      <c r="B31" s="20">
        <f t="shared" si="3"/>
        <v>0</v>
      </c>
      <c r="C31" s="20">
        <f t="shared" si="3"/>
        <v>2.136921129735985E-7</v>
      </c>
      <c r="D31" s="20">
        <f t="shared" si="3"/>
        <v>3.8226294020770262E-4</v>
      </c>
      <c r="E31" s="20">
        <f t="shared" si="3"/>
        <v>4.9438340189452788E-3</v>
      </c>
      <c r="F31" s="20">
        <f t="shared" si="3"/>
        <v>1.826002881575722E-2</v>
      </c>
      <c r="G31" s="20">
        <f t="shared" si="3"/>
        <v>4.0550651414321709E-2</v>
      </c>
      <c r="H31" s="20">
        <f t="shared" si="3"/>
        <v>6.9586627138850443E-2</v>
      </c>
      <c r="I31" s="20">
        <f t="shared" si="3"/>
        <v>0.10286562997828239</v>
      </c>
      <c r="J31" s="20">
        <f t="shared" si="3"/>
        <v>0.13837368311017267</v>
      </c>
      <c r="K31" s="20">
        <f t="shared" si="3"/>
        <v>0.17467558657432258</v>
      </c>
      <c r="L31" s="20">
        <f t="shared" si="3"/>
        <v>0.21080991258563603</v>
      </c>
    </row>
    <row r="32" spans="1:13" x14ac:dyDescent="0.2">
      <c r="A32" s="62">
        <f t="shared" si="2"/>
        <v>0.29999999999999966</v>
      </c>
      <c r="B32" s="20">
        <f t="shared" si="3"/>
        <v>0</v>
      </c>
      <c r="C32" s="20">
        <f t="shared" si="3"/>
        <v>9.7314037352788519E-6</v>
      </c>
      <c r="D32" s="20">
        <f t="shared" si="3"/>
        <v>2.5690182010978278E-3</v>
      </c>
      <c r="E32" s="20">
        <f t="shared" si="3"/>
        <v>1.7502984211564841E-2</v>
      </c>
      <c r="F32" s="20">
        <f t="shared" si="3"/>
        <v>4.6844215232201253E-2</v>
      </c>
      <c r="G32" s="20">
        <f t="shared" si="3"/>
        <v>8.5663668114597524E-2</v>
      </c>
      <c r="H32" s="20">
        <f t="shared" si="3"/>
        <v>0.1290695550494716</v>
      </c>
      <c r="I32" s="20">
        <f t="shared" si="3"/>
        <v>0.17379486572295069</v>
      </c>
      <c r="J32" s="20">
        <f t="shared" si="3"/>
        <v>0.21792325472115237</v>
      </c>
      <c r="K32" s="20">
        <f t="shared" si="3"/>
        <v>0.26041453230769318</v>
      </c>
      <c r="L32" s="20">
        <f t="shared" si="3"/>
        <v>0.30075493069751941</v>
      </c>
    </row>
    <row r="33" spans="1:13" x14ac:dyDescent="0.2">
      <c r="A33" s="62">
        <f t="shared" si="2"/>
        <v>0.24999999999999967</v>
      </c>
      <c r="B33" s="20">
        <f t="shared" si="3"/>
        <v>0</v>
      </c>
      <c r="C33" s="20">
        <f t="shared" si="3"/>
        <v>2.5208936837654421E-4</v>
      </c>
      <c r="D33" s="20">
        <f t="shared" si="3"/>
        <v>1.3124560308089842E-2</v>
      </c>
      <c r="E33" s="20">
        <f t="shared" si="3"/>
        <v>5.1829083961199847E-2</v>
      </c>
      <c r="F33" s="20">
        <f t="shared" si="3"/>
        <v>0.10538164326958294</v>
      </c>
      <c r="G33" s="20">
        <f t="shared" si="3"/>
        <v>0.16321728382573453</v>
      </c>
      <c r="H33" s="20">
        <f t="shared" si="3"/>
        <v>0.21997530917819844</v>
      </c>
      <c r="I33" s="20">
        <f t="shared" si="3"/>
        <v>0.27339415307511739</v>
      </c>
      <c r="J33" s="20">
        <f t="shared" si="3"/>
        <v>0.32271104805707096</v>
      </c>
      <c r="K33" s="20">
        <f t="shared" si="3"/>
        <v>0.36784551331794846</v>
      </c>
      <c r="L33" s="20">
        <f t="shared" si="3"/>
        <v>0.40901084734650328</v>
      </c>
    </row>
    <row r="34" spans="1:13" x14ac:dyDescent="0.2">
      <c r="A34" s="62">
        <f t="shared" si="2"/>
        <v>0.19999999999999968</v>
      </c>
      <c r="B34" s="20">
        <f t="shared" si="3"/>
        <v>0</v>
      </c>
      <c r="C34" s="20">
        <f t="shared" si="3"/>
        <v>3.7425080209793245E-3</v>
      </c>
      <c r="D34" s="20">
        <f t="shared" si="3"/>
        <v>5.1243373643918073E-2</v>
      </c>
      <c r="E34" s="20">
        <f t="shared" si="3"/>
        <v>0.12890494753724682</v>
      </c>
      <c r="F34" s="20">
        <f t="shared" si="3"/>
        <v>0.20860897369746695</v>
      </c>
      <c r="G34" s="20">
        <f t="shared" si="3"/>
        <v>0.28131474557504382</v>
      </c>
      <c r="H34" s="20">
        <f t="shared" si="3"/>
        <v>0.34538451370024792</v>
      </c>
      <c r="I34" s="20">
        <f t="shared" si="3"/>
        <v>0.40135818711101012</v>
      </c>
      <c r="J34" s="20">
        <f t="shared" si="3"/>
        <v>0.45029101368483626</v>
      </c>
      <c r="K34" s="20">
        <f t="shared" si="3"/>
        <v>0.49324674441162542</v>
      </c>
      <c r="L34" s="20">
        <f t="shared" si="3"/>
        <v>0.53115857179802584</v>
      </c>
    </row>
    <row r="35" spans="1:13" x14ac:dyDescent="0.2">
      <c r="A35" s="62">
        <f t="shared" si="2"/>
        <v>0.14999999999999969</v>
      </c>
      <c r="B35" s="20">
        <f t="shared" si="3"/>
        <v>0</v>
      </c>
      <c r="C35" s="20">
        <f t="shared" si="3"/>
        <v>3.2207019472765386E-2</v>
      </c>
      <c r="D35" s="20">
        <f t="shared" si="3"/>
        <v>0.154066126009201</v>
      </c>
      <c r="E35" s="20">
        <f t="shared" si="3"/>
        <v>0.27080551486396998</v>
      </c>
      <c r="F35" s="20">
        <f t="shared" si="3"/>
        <v>0.36502918744503376</v>
      </c>
      <c r="G35" s="20">
        <f t="shared" si="3"/>
        <v>0.4402704570692676</v>
      </c>
      <c r="H35" s="20">
        <f t="shared" si="3"/>
        <v>0.50121586479676339</v>
      </c>
      <c r="I35" s="20">
        <f t="shared" si="3"/>
        <v>0.55145318883797634</v>
      </c>
      <c r="J35" s="20">
        <f t="shared" si="3"/>
        <v>0.59354313656606517</v>
      </c>
      <c r="K35" s="20">
        <f t="shared" si="3"/>
        <v>0.62931206183314436</v>
      </c>
      <c r="L35" s="20">
        <f t="shared" si="3"/>
        <v>0.66008356573514337</v>
      </c>
    </row>
    <row r="36" spans="1:13" x14ac:dyDescent="0.2">
      <c r="A36" s="62">
        <f t="shared" si="2"/>
        <v>9.9999999999999686E-2</v>
      </c>
      <c r="B36" s="20">
        <f t="shared" si="3"/>
        <v>0</v>
      </c>
      <c r="C36" s="20">
        <f t="shared" si="3"/>
        <v>0.16361022121606358</v>
      </c>
      <c r="D36" s="20">
        <f t="shared" si="3"/>
        <v>0.36059218631825696</v>
      </c>
      <c r="E36" s="20">
        <f t="shared" si="3"/>
        <v>0.48426737346140936</v>
      </c>
      <c r="F36" s="20">
        <f t="shared" si="3"/>
        <v>0.5679827366091782</v>
      </c>
      <c r="G36" s="20">
        <f t="shared" si="3"/>
        <v>0.62871354560209203</v>
      </c>
      <c r="H36" s="20">
        <f t="shared" si="3"/>
        <v>0.67501794521110126</v>
      </c>
      <c r="I36" s="20">
        <f t="shared" si="3"/>
        <v>0.71163005804336943</v>
      </c>
      <c r="J36" s="20">
        <f t="shared" si="3"/>
        <v>0.74138537230131729</v>
      </c>
      <c r="K36" s="20">
        <f t="shared" si="3"/>
        <v>0.76609200994706006</v>
      </c>
      <c r="L36" s="20">
        <f t="shared" si="3"/>
        <v>0.78696159078835981</v>
      </c>
    </row>
    <row r="37" spans="1:13" x14ac:dyDescent="0.2">
      <c r="A37" s="62">
        <f t="shared" si="2"/>
        <v>4.9999999999999684E-2</v>
      </c>
      <c r="B37" s="20">
        <f t="shared" si="3"/>
        <v>0</v>
      </c>
      <c r="C37" s="20">
        <f t="shared" si="3"/>
        <v>0.50560336364883218</v>
      </c>
      <c r="D37" s="20">
        <f t="shared" si="3"/>
        <v>0.66749292086918999</v>
      </c>
      <c r="E37" s="20">
        <f t="shared" si="3"/>
        <v>0.74495460211918929</v>
      </c>
      <c r="F37" s="20">
        <f t="shared" si="3"/>
        <v>0.79205078983161026</v>
      </c>
      <c r="G37" s="20">
        <f t="shared" si="3"/>
        <v>0.82429181067749857</v>
      </c>
      <c r="H37" s="20">
        <f t="shared" si="3"/>
        <v>0.84799502010135352</v>
      </c>
      <c r="I37" s="20">
        <f t="shared" si="3"/>
        <v>0.86627347952349409</v>
      </c>
      <c r="J37" s="20">
        <f t="shared" si="3"/>
        <v>0.88085970071665376</v>
      </c>
      <c r="K37" s="20">
        <f t="shared" si="3"/>
        <v>0.89280343561805253</v>
      </c>
      <c r="L37" s="20">
        <f t="shared" si="3"/>
        <v>0.90278209027658018</v>
      </c>
    </row>
    <row r="38" spans="1:13" x14ac:dyDescent="0.2">
      <c r="A38" s="62">
        <v>0.01</v>
      </c>
      <c r="B38" s="20">
        <f t="shared" si="3"/>
        <v>0</v>
      </c>
      <c r="C38" s="20">
        <f t="shared" si="3"/>
        <v>0.90110397651209617</v>
      </c>
      <c r="D38" s="20">
        <f t="shared" si="3"/>
        <v>0.93675795688698682</v>
      </c>
      <c r="E38" s="20">
        <f t="shared" si="3"/>
        <v>0.95235060481045852</v>
      </c>
      <c r="F38" s="20">
        <f t="shared" si="3"/>
        <v>0.96150808682969169</v>
      </c>
      <c r="G38" s="20">
        <f t="shared" si="3"/>
        <v>0.96766148400646967</v>
      </c>
      <c r="H38" s="20">
        <f t="shared" si="3"/>
        <v>0.97213289262458702</v>
      </c>
      <c r="I38" s="20">
        <f t="shared" si="3"/>
        <v>0.97555343632992442</v>
      </c>
      <c r="J38" s="20">
        <f t="shared" si="3"/>
        <v>0.97826710730285704</v>
      </c>
      <c r="K38" s="20">
        <f t="shared" si="3"/>
        <v>0.98047927092386877</v>
      </c>
      <c r="L38" s="20">
        <f t="shared" si="3"/>
        <v>0.98232098766084819</v>
      </c>
    </row>
    <row r="39" spans="1:13" x14ac:dyDescent="0.2">
      <c r="A39" s="62">
        <v>1E-3</v>
      </c>
      <c r="B39" s="20">
        <f t="shared" si="3"/>
        <v>1.5416942093415727E-12</v>
      </c>
      <c r="C39" s="20">
        <f t="shared" si="3"/>
        <v>0.99030689690079521</v>
      </c>
      <c r="D39" s="20">
        <f t="shared" si="3"/>
        <v>0.99381498504348698</v>
      </c>
      <c r="E39" s="20">
        <f t="shared" si="3"/>
        <v>0.9953434574122928</v>
      </c>
      <c r="F39" s="20">
        <f t="shared" si="3"/>
        <v>0.99623983708967223</v>
      </c>
      <c r="G39" s="20">
        <f t="shared" si="3"/>
        <v>0.99684169937483347</v>
      </c>
      <c r="H39" s="20">
        <f t="shared" si="3"/>
        <v>0.99727883616729973</v>
      </c>
      <c r="I39" s="20">
        <f t="shared" si="3"/>
        <v>0.99761312702076332</v>
      </c>
      <c r="J39" s="20">
        <f t="shared" si="3"/>
        <v>0.99787827095807269</v>
      </c>
      <c r="K39" s="20">
        <f t="shared" si="3"/>
        <v>0.99809437447586413</v>
      </c>
      <c r="L39" s="20">
        <f t="shared" si="3"/>
        <v>0.99827426341608572</v>
      </c>
    </row>
    <row r="40" spans="1:13" x14ac:dyDescent="0.2">
      <c r="A40" s="62">
        <v>0</v>
      </c>
      <c r="B40" s="20">
        <f t="shared" si="3"/>
        <v>1</v>
      </c>
      <c r="C40" s="20">
        <f t="shared" si="3"/>
        <v>1</v>
      </c>
      <c r="D40" s="20">
        <f t="shared" si="3"/>
        <v>1</v>
      </c>
      <c r="E40" s="20">
        <f t="shared" si="3"/>
        <v>1</v>
      </c>
      <c r="F40" s="20">
        <f t="shared" si="3"/>
        <v>1</v>
      </c>
      <c r="G40" s="20">
        <f t="shared" si="3"/>
        <v>1</v>
      </c>
      <c r="H40" s="20">
        <f t="shared" si="3"/>
        <v>1</v>
      </c>
      <c r="I40" s="20">
        <f t="shared" si="3"/>
        <v>1</v>
      </c>
      <c r="J40" s="20">
        <f t="shared" si="3"/>
        <v>1</v>
      </c>
      <c r="K40" s="20">
        <f t="shared" si="3"/>
        <v>1</v>
      </c>
      <c r="L40" s="20">
        <f t="shared" si="3"/>
        <v>1</v>
      </c>
    </row>
    <row r="42" spans="1:13" x14ac:dyDescent="0.2">
      <c r="A42" s="78" t="s">
        <v>54</v>
      </c>
      <c r="B42" s="78"/>
      <c r="C42" s="78"/>
      <c r="D42" s="78"/>
      <c r="E42" s="78"/>
      <c r="F42" s="78"/>
      <c r="G42" s="78"/>
      <c r="H42" s="78"/>
      <c r="I42" s="78"/>
      <c r="J42" s="78"/>
      <c r="K42" s="78"/>
      <c r="L42" s="78"/>
    </row>
    <row r="43" spans="1:13" x14ac:dyDescent="0.2">
      <c r="A43" s="30"/>
      <c r="B43" s="77" t="s">
        <v>51</v>
      </c>
      <c r="C43" s="77"/>
      <c r="D43" s="77"/>
      <c r="E43" s="77"/>
      <c r="F43" s="77"/>
      <c r="G43" s="77"/>
      <c r="H43" s="77"/>
      <c r="I43" s="77"/>
      <c r="J43" s="77"/>
      <c r="K43" s="77"/>
      <c r="L43" s="77"/>
    </row>
    <row r="44" spans="1:13" x14ac:dyDescent="0.2">
      <c r="A44" s="37" t="s">
        <v>55</v>
      </c>
      <c r="B44" s="38">
        <f t="shared" ref="B44:L44" si="4">B17*hcap^2*_Rf1/Deff</f>
        <v>1.3003413394886364E-6</v>
      </c>
      <c r="C44" s="38">
        <f t="shared" si="4"/>
        <v>0.2771423572050955</v>
      </c>
      <c r="D44" s="38">
        <f t="shared" si="4"/>
        <v>0.554284714410191</v>
      </c>
      <c r="E44" s="38">
        <f t="shared" si="4"/>
        <v>0.83142707161528651</v>
      </c>
      <c r="F44" s="38">
        <f t="shared" si="4"/>
        <v>1.108569428820382</v>
      </c>
      <c r="G44" s="38">
        <f t="shared" si="4"/>
        <v>1.3857117860254775</v>
      </c>
      <c r="H44" s="38">
        <f t="shared" si="4"/>
        <v>1.6628541432305732</v>
      </c>
      <c r="I44" s="38">
        <f t="shared" si="4"/>
        <v>1.9399965004356687</v>
      </c>
      <c r="J44" s="38">
        <f t="shared" si="4"/>
        <v>2.217138857640764</v>
      </c>
      <c r="K44" s="38">
        <f t="shared" si="4"/>
        <v>2.4942812148458597</v>
      </c>
      <c r="L44" s="38">
        <f t="shared" si="4"/>
        <v>2.7714235720509546</v>
      </c>
      <c r="M44" s="34"/>
    </row>
    <row r="45" spans="1:13" x14ac:dyDescent="0.2">
      <c r="A45" s="39">
        <f t="shared" ref="A45:A67" si="5">(1-A18)*hcap</f>
        <v>0</v>
      </c>
      <c r="B45" s="20">
        <f t="shared" ref="B45:L45" si="6">B18*C0</f>
        <v>0</v>
      </c>
      <c r="C45" s="20">
        <f t="shared" si="6"/>
        <v>9.1238897392786188E-52</v>
      </c>
      <c r="D45" s="20">
        <f t="shared" si="6"/>
        <v>3.7431093647448192E-26</v>
      </c>
      <c r="E45" s="20">
        <f t="shared" si="6"/>
        <v>1.3905316929842084E-17</v>
      </c>
      <c r="F45" s="20">
        <f t="shared" si="6"/>
        <v>2.7700822474121347E-13</v>
      </c>
      <c r="G45" s="20">
        <f t="shared" si="6"/>
        <v>1.0711231956883279E-10</v>
      </c>
      <c r="H45" s="20">
        <f t="shared" si="6"/>
        <v>5.7465067344950611E-9</v>
      </c>
      <c r="I45" s="20">
        <f t="shared" si="6"/>
        <v>9.9495082573730367E-8</v>
      </c>
      <c r="J45" s="20">
        <f t="shared" si="6"/>
        <v>8.4840698516439727E-7</v>
      </c>
      <c r="K45" s="20">
        <f t="shared" si="6"/>
        <v>4.5075544995619293E-6</v>
      </c>
      <c r="L45" s="20">
        <f t="shared" si="6"/>
        <v>1.7186028192717435E-5</v>
      </c>
    </row>
    <row r="46" spans="1:13" x14ac:dyDescent="0.2">
      <c r="A46" s="39">
        <f t="shared" si="5"/>
        <v>2.1157449756599349</v>
      </c>
      <c r="B46" s="20">
        <f t="shared" ref="B46:L46" si="7">B19*C0</f>
        <v>0</v>
      </c>
      <c r="C46" s="20">
        <f t="shared" si="7"/>
        <v>7.7520865214941465E-47</v>
      </c>
      <c r="D46" s="20">
        <f t="shared" si="7"/>
        <v>1.0443899539596349E-23</v>
      </c>
      <c r="E46" s="20">
        <f t="shared" si="7"/>
        <v>5.765617198797513E-16</v>
      </c>
      <c r="F46" s="20">
        <f t="shared" si="7"/>
        <v>4.4270512904777272E-12</v>
      </c>
      <c r="G46" s="20">
        <f t="shared" si="7"/>
        <v>9.6604027274155559E-10</v>
      </c>
      <c r="H46" s="20">
        <f t="shared" si="7"/>
        <v>3.5390610745134299E-8</v>
      </c>
      <c r="I46" s="20">
        <f t="shared" si="7"/>
        <v>4.6658386695469225E-7</v>
      </c>
      <c r="J46" s="20">
        <f t="shared" si="7"/>
        <v>3.2430387432695409E-6</v>
      </c>
      <c r="K46" s="20">
        <f t="shared" si="7"/>
        <v>1.4697002558196032E-5</v>
      </c>
      <c r="L46" s="20">
        <f t="shared" si="7"/>
        <v>4.9341184641481515E-5</v>
      </c>
    </row>
    <row r="47" spans="1:13" x14ac:dyDescent="0.2">
      <c r="A47" s="39">
        <f t="shared" si="5"/>
        <v>4.2314899513198698</v>
      </c>
      <c r="B47" s="20">
        <f t="shared" ref="B47:L47" si="8">B20*C0</f>
        <v>0</v>
      </c>
      <c r="C47" s="20">
        <f t="shared" si="8"/>
        <v>3.6738237973976089E-42</v>
      </c>
      <c r="D47" s="20">
        <f t="shared" si="8"/>
        <v>2.1791242272321189E-21</v>
      </c>
      <c r="E47" s="20">
        <f t="shared" si="8"/>
        <v>1.9711853562243318E-14</v>
      </c>
      <c r="F47" s="20">
        <f t="shared" si="8"/>
        <v>6.1257294877904354E-11</v>
      </c>
      <c r="G47" s="20">
        <f t="shared" si="8"/>
        <v>7.7676423539760849E-9</v>
      </c>
      <c r="H47" s="20">
        <f t="shared" si="8"/>
        <v>1.9814550859732387E-7</v>
      </c>
      <c r="I47" s="20">
        <f t="shared" si="8"/>
        <v>2.0170647984346864E-6</v>
      </c>
      <c r="J47" s="20">
        <f t="shared" si="8"/>
        <v>1.1547757385496629E-5</v>
      </c>
      <c r="K47" s="20">
        <f t="shared" si="8"/>
        <v>4.5002901878029479E-5</v>
      </c>
      <c r="L47" s="20">
        <f t="shared" si="8"/>
        <v>1.3390221932246485E-4</v>
      </c>
    </row>
    <row r="48" spans="1:13" x14ac:dyDescent="0.2">
      <c r="A48" s="39">
        <f t="shared" si="5"/>
        <v>6.3472349269798052</v>
      </c>
      <c r="B48" s="20">
        <f t="shared" ref="B48:L48" si="9">B21*C0</f>
        <v>0</v>
      </c>
      <c r="C48" s="20">
        <f t="shared" si="9"/>
        <v>9.7142523941473977E-38</v>
      </c>
      <c r="D48" s="20">
        <f t="shared" si="9"/>
        <v>3.4010601396527392E-19</v>
      </c>
      <c r="E48" s="20">
        <f t="shared" si="9"/>
        <v>5.5583308769324727E-13</v>
      </c>
      <c r="F48" s="20">
        <f t="shared" si="9"/>
        <v>7.3406817932221347E-10</v>
      </c>
      <c r="G48" s="20">
        <f t="shared" si="9"/>
        <v>5.5696949869986295E-8</v>
      </c>
      <c r="H48" s="20">
        <f t="shared" si="9"/>
        <v>1.0087860434384116E-6</v>
      </c>
      <c r="I48" s="20">
        <f t="shared" si="9"/>
        <v>8.0403633451625452E-6</v>
      </c>
      <c r="J48" s="20">
        <f t="shared" si="9"/>
        <v>3.8312620203771446E-5</v>
      </c>
      <c r="K48" s="20">
        <f t="shared" si="9"/>
        <v>1.2944194869122638E-4</v>
      </c>
      <c r="L48" s="20">
        <f t="shared" si="9"/>
        <v>3.4356343687596581E-4</v>
      </c>
    </row>
    <row r="49" spans="1:14" x14ac:dyDescent="0.2">
      <c r="A49" s="39">
        <f t="shared" si="5"/>
        <v>8.4629799026397396</v>
      </c>
      <c r="B49" s="20">
        <f t="shared" ref="B49:L49" si="10">B22*C0</f>
        <v>0</v>
      </c>
      <c r="C49" s="20">
        <f t="shared" si="10"/>
        <v>1.433655224184471E-33</v>
      </c>
      <c r="D49" s="20">
        <f t="shared" si="10"/>
        <v>3.9719553968892115E-17</v>
      </c>
      <c r="E49" s="20">
        <f t="shared" si="10"/>
        <v>1.2931068812644374E-11</v>
      </c>
      <c r="F49" s="20">
        <f t="shared" si="10"/>
        <v>7.6204794545254782E-9</v>
      </c>
      <c r="G49" s="20">
        <f t="shared" si="10"/>
        <v>3.5624503019086993E-7</v>
      </c>
      <c r="H49" s="20">
        <f t="shared" si="10"/>
        <v>4.6714883948038149E-6</v>
      </c>
      <c r="I49" s="20">
        <f t="shared" si="10"/>
        <v>2.9560800808740366E-5</v>
      </c>
      <c r="J49" s="20">
        <f t="shared" si="10"/>
        <v>1.1846785101538495E-4</v>
      </c>
      <c r="K49" s="20">
        <f t="shared" si="10"/>
        <v>3.498205070579426E-4</v>
      </c>
      <c r="L49" s="20">
        <f t="shared" si="10"/>
        <v>8.3363797170353461E-4</v>
      </c>
    </row>
    <row r="50" spans="1:14" x14ac:dyDescent="0.2">
      <c r="A50" s="39">
        <f t="shared" si="5"/>
        <v>10.578724878299674</v>
      </c>
      <c r="B50" s="20">
        <f t="shared" ref="B50:L50" si="11">B23*C0</f>
        <v>0</v>
      </c>
      <c r="C50" s="20">
        <f t="shared" si="11"/>
        <v>1.1814232604753708E-29</v>
      </c>
      <c r="D50" s="20">
        <f t="shared" si="11"/>
        <v>3.4723421588005208E-15</v>
      </c>
      <c r="E50" s="20">
        <f t="shared" si="11"/>
        <v>2.4828984513950025E-10</v>
      </c>
      <c r="F50" s="20">
        <f t="shared" si="11"/>
        <v>6.8556620939596702E-8</v>
      </c>
      <c r="G50" s="20">
        <f t="shared" si="11"/>
        <v>2.0332414020168868E-6</v>
      </c>
      <c r="H50" s="20">
        <f t="shared" si="11"/>
        <v>1.9683164330740518E-5</v>
      </c>
      <c r="I50" s="20">
        <f t="shared" si="11"/>
        <v>1.0027178766706723E-4</v>
      </c>
      <c r="J50" s="20">
        <f t="shared" si="11"/>
        <v>3.415127114756658E-4</v>
      </c>
      <c r="K50" s="20">
        <f t="shared" si="11"/>
        <v>8.8854793347029125E-4</v>
      </c>
      <c r="L50" s="20">
        <f t="shared" si="11"/>
        <v>1.9134889160602642E-3</v>
      </c>
    </row>
    <row r="51" spans="1:14" x14ac:dyDescent="0.2">
      <c r="A51" s="39">
        <f t="shared" si="5"/>
        <v>12.69446985395961</v>
      </c>
      <c r="B51" s="20">
        <f t="shared" ref="B51:L51" si="12">B24*C0</f>
        <v>0</v>
      </c>
      <c r="C51" s="20">
        <f t="shared" si="12"/>
        <v>5.4388678554993655E-26</v>
      </c>
      <c r="D51" s="20">
        <f t="shared" si="12"/>
        <v>2.2733749809204843E-13</v>
      </c>
      <c r="E51" s="20">
        <f t="shared" si="12"/>
        <v>3.9364842222640105E-9</v>
      </c>
      <c r="F51" s="20">
        <f t="shared" si="12"/>
        <v>5.3471015490106637E-7</v>
      </c>
      <c r="G51" s="20">
        <f t="shared" si="12"/>
        <v>1.035915343999959E-5</v>
      </c>
      <c r="H51" s="20">
        <f t="shared" si="12"/>
        <v>7.5488960203793368E-5</v>
      </c>
      <c r="I51" s="20">
        <f t="shared" si="12"/>
        <v>3.139227453811263E-4</v>
      </c>
      <c r="J51" s="20">
        <f t="shared" si="12"/>
        <v>9.1815318793952256E-4</v>
      </c>
      <c r="K51" s="20">
        <f t="shared" si="12"/>
        <v>2.121932108527705E-3</v>
      </c>
      <c r="L51" s="20">
        <f t="shared" si="12"/>
        <v>4.1562147946835395E-3</v>
      </c>
      <c r="M51" s="20"/>
      <c r="N51" s="44"/>
    </row>
    <row r="52" spans="1:14" x14ac:dyDescent="0.2">
      <c r="A52" s="39">
        <f t="shared" si="5"/>
        <v>14.810214829619545</v>
      </c>
      <c r="B52" s="20">
        <f t="shared" ref="B52:L52" si="13">B25*C0</f>
        <v>0</v>
      </c>
      <c r="C52" s="20">
        <f t="shared" si="13"/>
        <v>1.3996381956071211E-22</v>
      </c>
      <c r="D52" s="20">
        <f t="shared" si="13"/>
        <v>1.1153022666483451E-11</v>
      </c>
      <c r="E52" s="20">
        <f t="shared" si="13"/>
        <v>5.1559638835515963E-8</v>
      </c>
      <c r="F52" s="20">
        <f t="shared" si="13"/>
        <v>3.6174556158730497E-6</v>
      </c>
      <c r="G52" s="20">
        <f t="shared" si="13"/>
        <v>4.7136552802582956E-5</v>
      </c>
      <c r="H52" s="20">
        <f t="shared" si="13"/>
        <v>2.6364210902564297E-4</v>
      </c>
      <c r="I52" s="20">
        <f t="shared" si="13"/>
        <v>9.0747447988523194E-4</v>
      </c>
      <c r="J52" s="20">
        <f t="shared" si="13"/>
        <v>2.3030574394759338E-3</v>
      </c>
      <c r="K52" s="20">
        <f t="shared" si="13"/>
        <v>4.7661833040523564E-3</v>
      </c>
      <c r="L52" s="20">
        <f t="shared" si="13"/>
        <v>8.5459841099248604E-3</v>
      </c>
      <c r="M52" s="20"/>
      <c r="N52" s="44"/>
    </row>
    <row r="53" spans="1:14" x14ac:dyDescent="0.2">
      <c r="A53" s="39">
        <f t="shared" si="5"/>
        <v>16.925959805279479</v>
      </c>
      <c r="B53" s="20">
        <f t="shared" ref="B53:L53" si="14">B26*C0</f>
        <v>0</v>
      </c>
      <c r="C53" s="20">
        <f t="shared" si="14"/>
        <v>2.0148752425496911E-19</v>
      </c>
      <c r="D53" s="20">
        <f t="shared" si="14"/>
        <v>4.1028046525931601E-10</v>
      </c>
      <c r="E53" s="20">
        <f t="shared" si="14"/>
        <v>5.5825861411168873E-7</v>
      </c>
      <c r="F53" s="20">
        <f t="shared" si="14"/>
        <v>2.1240212026121107E-5</v>
      </c>
      <c r="G53" s="20">
        <f t="shared" si="14"/>
        <v>1.9165953325148027E-4</v>
      </c>
      <c r="H53" s="20">
        <f t="shared" si="14"/>
        <v>8.3891465822855159E-4</v>
      </c>
      <c r="I53" s="20">
        <f t="shared" si="14"/>
        <v>2.4234406290917672E-3</v>
      </c>
      <c r="J53" s="20">
        <f t="shared" si="14"/>
        <v>5.3924453763989494E-3</v>
      </c>
      <c r="K53" s="20">
        <f t="shared" si="14"/>
        <v>1.0073980377751927E-2</v>
      </c>
      <c r="L53" s="20">
        <f t="shared" si="14"/>
        <v>1.6642329595983305E-2</v>
      </c>
      <c r="M53" s="20"/>
      <c r="N53" s="44"/>
    </row>
    <row r="54" spans="1:14" x14ac:dyDescent="0.2">
      <c r="A54" s="39">
        <f t="shared" si="5"/>
        <v>19.041704780939416</v>
      </c>
      <c r="B54" s="20">
        <f t="shared" ref="B54:L54" si="15">B27*C0</f>
        <v>0</v>
      </c>
      <c r="C54" s="20">
        <f t="shared" si="15"/>
        <v>1.6240661117000699E-16</v>
      </c>
      <c r="D54" s="20">
        <f t="shared" si="15"/>
        <v>1.1326503782305637E-8</v>
      </c>
      <c r="E54" s="20">
        <f t="shared" si="15"/>
        <v>5.0005268917383527E-6</v>
      </c>
      <c r="F54" s="20">
        <f t="shared" si="15"/>
        <v>1.083159455063246E-4</v>
      </c>
      <c r="G54" s="20">
        <f t="shared" si="15"/>
        <v>6.9683506813837291E-4</v>
      </c>
      <c r="H54" s="20">
        <f t="shared" si="15"/>
        <v>2.433685705376918E-3</v>
      </c>
      <c r="I54" s="20">
        <f t="shared" si="15"/>
        <v>5.9823984831454922E-3</v>
      </c>
      <c r="J54" s="20">
        <f t="shared" si="15"/>
        <v>1.1792485772287892E-2</v>
      </c>
      <c r="K54" s="20">
        <f t="shared" si="15"/>
        <v>2.0047489169379887E-2</v>
      </c>
      <c r="L54" s="20">
        <f t="shared" si="15"/>
        <v>3.0710221703702807E-2</v>
      </c>
      <c r="M54" s="20"/>
      <c r="N54" s="44"/>
    </row>
    <row r="55" spans="1:14" x14ac:dyDescent="0.2">
      <c r="A55" s="39">
        <f t="shared" si="5"/>
        <v>21.157449756599348</v>
      </c>
      <c r="B55" s="20">
        <f t="shared" ref="B55:L55" si="16">B28*C0</f>
        <v>0</v>
      </c>
      <c r="C55" s="20">
        <f t="shared" si="16"/>
        <v>7.3381073799935769E-14</v>
      </c>
      <c r="D55" s="20">
        <f t="shared" si="16"/>
        <v>2.3490083693578533E-7</v>
      </c>
      <c r="E55" s="20">
        <f t="shared" si="16"/>
        <v>3.7089958452353477E-5</v>
      </c>
      <c r="F55" s="20">
        <f t="shared" si="16"/>
        <v>4.8015001973823149E-4</v>
      </c>
      <c r="G55" s="20">
        <f t="shared" si="16"/>
        <v>2.2672720218899879E-3</v>
      </c>
      <c r="H55" s="20">
        <f t="shared" si="16"/>
        <v>6.441405927308159E-3</v>
      </c>
      <c r="I55" s="20">
        <f t="shared" si="16"/>
        <v>1.3660646271631535E-2</v>
      </c>
      <c r="J55" s="20">
        <f t="shared" si="16"/>
        <v>2.4102188382291497E-2</v>
      </c>
      <c r="K55" s="20">
        <f t="shared" si="16"/>
        <v>3.7586107540600038E-2</v>
      </c>
      <c r="L55" s="20">
        <f t="shared" si="16"/>
        <v>5.3732531607658271E-2</v>
      </c>
    </row>
    <row r="56" spans="1:14" x14ac:dyDescent="0.2">
      <c r="A56" s="39">
        <f t="shared" si="5"/>
        <v>23.273194732259281</v>
      </c>
      <c r="B56" s="20">
        <f t="shared" ref="B56:L56" si="17">B29*C0</f>
        <v>0</v>
      </c>
      <c r="C56" s="20">
        <f t="shared" si="17"/>
        <v>1.8613697009724978E-11</v>
      </c>
      <c r="D56" s="20">
        <f t="shared" si="17"/>
        <v>3.6644557046929014E-6</v>
      </c>
      <c r="E56" s="20">
        <f t="shared" si="17"/>
        <v>2.2806595916222735E-4</v>
      </c>
      <c r="F56" s="20">
        <f t="shared" si="17"/>
        <v>1.8521257249573886E-3</v>
      </c>
      <c r="G56" s="20">
        <f t="shared" si="17"/>
        <v>6.6080520425878669E-3</v>
      </c>
      <c r="H56" s="20">
        <f t="shared" si="17"/>
        <v>1.5568954840702594E-2</v>
      </c>
      <c r="I56" s="20">
        <f t="shared" si="17"/>
        <v>2.887947539524207E-2</v>
      </c>
      <c r="J56" s="20">
        <f t="shared" si="17"/>
        <v>4.6077421068544469E-2</v>
      </c>
      <c r="K56" s="20">
        <f t="shared" si="17"/>
        <v>6.6440836981504992E-2</v>
      </c>
      <c r="L56" s="20">
        <f t="shared" si="17"/>
        <v>8.9206038650354924E-2</v>
      </c>
    </row>
    <row r="57" spans="1:14" x14ac:dyDescent="0.2">
      <c r="A57" s="39">
        <f t="shared" si="5"/>
        <v>25.38893970791921</v>
      </c>
      <c r="B57" s="20">
        <f t="shared" ref="B57:L57" si="18">B30*C0</f>
        <v>0</v>
      </c>
      <c r="C57" s="20">
        <f t="shared" si="18"/>
        <v>2.6557762539937076E-9</v>
      </c>
      <c r="D57" s="20">
        <f t="shared" si="18"/>
        <v>4.3071501743266802E-5</v>
      </c>
      <c r="E57" s="20">
        <f t="shared" si="18"/>
        <v>1.1642891665249308E-3</v>
      </c>
      <c r="F57" s="20">
        <f t="shared" si="18"/>
        <v>6.2250244639809622E-3</v>
      </c>
      <c r="G57" s="20">
        <f t="shared" si="18"/>
        <v>1.7272594651521429E-2</v>
      </c>
      <c r="H57" s="20">
        <f t="shared" si="18"/>
        <v>3.4401634208212829E-2</v>
      </c>
      <c r="I57" s="20">
        <f t="shared" si="18"/>
        <v>5.6581588758898203E-2</v>
      </c>
      <c r="J57" s="20">
        <f t="shared" si="18"/>
        <v>8.2474358055864894E-2</v>
      </c>
      <c r="K57" s="20">
        <f t="shared" si="18"/>
        <v>0.11083547555495485</v>
      </c>
      <c r="L57" s="20">
        <f t="shared" si="18"/>
        <v>0.14064674423494961</v>
      </c>
    </row>
    <row r="58" spans="1:14" x14ac:dyDescent="0.2">
      <c r="A58" s="39">
        <f t="shared" si="5"/>
        <v>27.504684683579146</v>
      </c>
      <c r="B58" s="20">
        <f t="shared" ref="B58:L58" si="19">B31*C0</f>
        <v>0</v>
      </c>
      <c r="C58" s="20">
        <f t="shared" si="19"/>
        <v>2.136921129735985E-7</v>
      </c>
      <c r="D58" s="20">
        <f t="shared" si="19"/>
        <v>3.8226294020770262E-4</v>
      </c>
      <c r="E58" s="20">
        <f t="shared" si="19"/>
        <v>4.9438340189452788E-3</v>
      </c>
      <c r="F58" s="20">
        <f t="shared" si="19"/>
        <v>1.826002881575722E-2</v>
      </c>
      <c r="G58" s="20">
        <f t="shared" si="19"/>
        <v>4.0550651414321709E-2</v>
      </c>
      <c r="H58" s="20">
        <f t="shared" si="19"/>
        <v>6.9586627138850443E-2</v>
      </c>
      <c r="I58" s="20">
        <f t="shared" si="19"/>
        <v>0.10286562997828239</v>
      </c>
      <c r="J58" s="20">
        <f t="shared" si="19"/>
        <v>0.13837368311017267</v>
      </c>
      <c r="K58" s="20">
        <f t="shared" si="19"/>
        <v>0.17467558657432258</v>
      </c>
      <c r="L58" s="20">
        <f t="shared" si="19"/>
        <v>0.21080991258563603</v>
      </c>
    </row>
    <row r="59" spans="1:14" x14ac:dyDescent="0.2">
      <c r="A59" s="39">
        <f t="shared" si="5"/>
        <v>29.620429659239079</v>
      </c>
      <c r="B59" s="20">
        <f t="shared" ref="B59:L59" si="20">B32*C0</f>
        <v>0</v>
      </c>
      <c r="C59" s="20">
        <f t="shared" si="20"/>
        <v>9.7314037352788519E-6</v>
      </c>
      <c r="D59" s="20">
        <f t="shared" si="20"/>
        <v>2.5690182010978278E-3</v>
      </c>
      <c r="E59" s="20">
        <f t="shared" si="20"/>
        <v>1.7502984211564841E-2</v>
      </c>
      <c r="F59" s="20">
        <f t="shared" si="20"/>
        <v>4.6844215232201253E-2</v>
      </c>
      <c r="G59" s="20">
        <f t="shared" si="20"/>
        <v>8.5663668114597524E-2</v>
      </c>
      <c r="H59" s="20">
        <f t="shared" si="20"/>
        <v>0.1290695550494716</v>
      </c>
      <c r="I59" s="20">
        <f t="shared" si="20"/>
        <v>0.17379486572295069</v>
      </c>
      <c r="J59" s="20">
        <f t="shared" si="20"/>
        <v>0.21792325472115237</v>
      </c>
      <c r="K59" s="20">
        <f t="shared" si="20"/>
        <v>0.26041453230769318</v>
      </c>
      <c r="L59" s="20">
        <f t="shared" si="20"/>
        <v>0.30075493069751941</v>
      </c>
    </row>
    <row r="60" spans="1:14" x14ac:dyDescent="0.2">
      <c r="A60" s="39">
        <f t="shared" si="5"/>
        <v>31.736174634899008</v>
      </c>
      <c r="B60" s="20">
        <f t="shared" ref="B60:L60" si="21">B33*C0</f>
        <v>0</v>
      </c>
      <c r="C60" s="20">
        <f t="shared" si="21"/>
        <v>2.5208936837654421E-4</v>
      </c>
      <c r="D60" s="20">
        <f t="shared" si="21"/>
        <v>1.3124560308089842E-2</v>
      </c>
      <c r="E60" s="20">
        <f t="shared" si="21"/>
        <v>5.1829083961199847E-2</v>
      </c>
      <c r="F60" s="20">
        <f t="shared" si="21"/>
        <v>0.10538164326958294</v>
      </c>
      <c r="G60" s="20">
        <f t="shared" si="21"/>
        <v>0.16321728382573453</v>
      </c>
      <c r="H60" s="20">
        <f t="shared" si="21"/>
        <v>0.21997530917819844</v>
      </c>
      <c r="I60" s="20">
        <f t="shared" si="21"/>
        <v>0.27339415307511739</v>
      </c>
      <c r="J60" s="20">
        <f t="shared" si="21"/>
        <v>0.32271104805707096</v>
      </c>
      <c r="K60" s="20">
        <f t="shared" si="21"/>
        <v>0.36784551331794846</v>
      </c>
      <c r="L60" s="20">
        <f t="shared" si="21"/>
        <v>0.40901084734650328</v>
      </c>
    </row>
    <row r="61" spans="1:14" x14ac:dyDescent="0.2">
      <c r="A61" s="39">
        <f t="shared" si="5"/>
        <v>33.851919610558937</v>
      </c>
      <c r="B61" s="20">
        <f t="shared" ref="B61:L61" si="22">B34*C0</f>
        <v>0</v>
      </c>
      <c r="C61" s="20">
        <f t="shared" si="22"/>
        <v>3.7425080209793245E-3</v>
      </c>
      <c r="D61" s="20">
        <f t="shared" si="22"/>
        <v>5.1243373643918073E-2</v>
      </c>
      <c r="E61" s="20">
        <f t="shared" si="22"/>
        <v>0.12890494753724682</v>
      </c>
      <c r="F61" s="20">
        <f t="shared" si="22"/>
        <v>0.20860897369746695</v>
      </c>
      <c r="G61" s="20">
        <f t="shared" si="22"/>
        <v>0.28131474557504382</v>
      </c>
      <c r="H61" s="20">
        <f t="shared" si="22"/>
        <v>0.34538451370024792</v>
      </c>
      <c r="I61" s="20">
        <f t="shared" si="22"/>
        <v>0.40135818711101012</v>
      </c>
      <c r="J61" s="20">
        <f t="shared" si="22"/>
        <v>0.45029101368483626</v>
      </c>
      <c r="K61" s="20">
        <f t="shared" si="22"/>
        <v>0.49324674441162542</v>
      </c>
      <c r="L61" s="20">
        <f t="shared" si="22"/>
        <v>0.53115857179802584</v>
      </c>
    </row>
    <row r="62" spans="1:14" x14ac:dyDescent="0.2">
      <c r="A62" s="39">
        <f t="shared" si="5"/>
        <v>35.967664586218874</v>
      </c>
      <c r="B62" s="20">
        <f t="shared" ref="B62:L62" si="23">B35*C0</f>
        <v>0</v>
      </c>
      <c r="C62" s="20">
        <f t="shared" si="23"/>
        <v>3.2207019472765386E-2</v>
      </c>
      <c r="D62" s="20">
        <f t="shared" si="23"/>
        <v>0.154066126009201</v>
      </c>
      <c r="E62" s="20">
        <f t="shared" si="23"/>
        <v>0.27080551486396998</v>
      </c>
      <c r="F62" s="20">
        <f t="shared" si="23"/>
        <v>0.36502918744503376</v>
      </c>
      <c r="G62" s="20">
        <f t="shared" si="23"/>
        <v>0.4402704570692676</v>
      </c>
      <c r="H62" s="20">
        <f t="shared" si="23"/>
        <v>0.50121586479676339</v>
      </c>
      <c r="I62" s="20">
        <f t="shared" si="23"/>
        <v>0.55145318883797634</v>
      </c>
      <c r="J62" s="20">
        <f t="shared" si="23"/>
        <v>0.59354313656606517</v>
      </c>
      <c r="K62" s="20">
        <f t="shared" si="23"/>
        <v>0.62931206183314436</v>
      </c>
      <c r="L62" s="20">
        <f t="shared" si="23"/>
        <v>0.66008356573514337</v>
      </c>
    </row>
    <row r="63" spans="1:14" x14ac:dyDescent="0.2">
      <c r="A63" s="39">
        <f t="shared" si="5"/>
        <v>38.08340956187881</v>
      </c>
      <c r="B63" s="20">
        <f t="shared" ref="B63:L63" si="24">B36*C0</f>
        <v>0</v>
      </c>
      <c r="C63" s="20">
        <f t="shared" si="24"/>
        <v>0.16361022121606358</v>
      </c>
      <c r="D63" s="20">
        <f t="shared" si="24"/>
        <v>0.36059218631825696</v>
      </c>
      <c r="E63" s="20">
        <f t="shared" si="24"/>
        <v>0.48426737346140936</v>
      </c>
      <c r="F63" s="20">
        <f t="shared" si="24"/>
        <v>0.5679827366091782</v>
      </c>
      <c r="G63" s="20">
        <f t="shared" si="24"/>
        <v>0.62871354560209203</v>
      </c>
      <c r="H63" s="20">
        <f t="shared" si="24"/>
        <v>0.67501794521110126</v>
      </c>
      <c r="I63" s="20">
        <f t="shared" si="24"/>
        <v>0.71163005804336943</v>
      </c>
      <c r="J63" s="20">
        <f t="shared" si="24"/>
        <v>0.74138537230131729</v>
      </c>
      <c r="K63" s="20">
        <f t="shared" si="24"/>
        <v>0.76609200994706006</v>
      </c>
      <c r="L63" s="20">
        <f t="shared" si="24"/>
        <v>0.78696159078835981</v>
      </c>
    </row>
    <row r="64" spans="1:14" x14ac:dyDescent="0.2">
      <c r="A64" s="39">
        <f t="shared" si="5"/>
        <v>40.199154537538739</v>
      </c>
      <c r="B64" s="20">
        <f t="shared" ref="B64:L64" si="25">B37*C0</f>
        <v>0</v>
      </c>
      <c r="C64" s="20">
        <f t="shared" si="25"/>
        <v>0.50560336364883218</v>
      </c>
      <c r="D64" s="20">
        <f t="shared" si="25"/>
        <v>0.66749292086918999</v>
      </c>
      <c r="E64" s="20">
        <f t="shared" si="25"/>
        <v>0.74495460211918929</v>
      </c>
      <c r="F64" s="20">
        <f t="shared" si="25"/>
        <v>0.79205078983161026</v>
      </c>
      <c r="G64" s="20">
        <f t="shared" si="25"/>
        <v>0.82429181067749857</v>
      </c>
      <c r="H64" s="20">
        <f t="shared" si="25"/>
        <v>0.84799502010135352</v>
      </c>
      <c r="I64" s="20">
        <f t="shared" si="25"/>
        <v>0.86627347952349409</v>
      </c>
      <c r="J64" s="20">
        <f t="shared" si="25"/>
        <v>0.88085970071665376</v>
      </c>
      <c r="K64" s="20">
        <f t="shared" si="25"/>
        <v>0.89280343561805253</v>
      </c>
      <c r="L64" s="20">
        <f t="shared" si="25"/>
        <v>0.90278209027658018</v>
      </c>
    </row>
    <row r="65" spans="1:12" x14ac:dyDescent="0.2">
      <c r="A65" s="39">
        <f t="shared" si="5"/>
        <v>41.891750518066672</v>
      </c>
      <c r="B65" s="20">
        <f t="shared" ref="B65:L65" si="26">B38*C0</f>
        <v>0</v>
      </c>
      <c r="C65" s="20">
        <f t="shared" si="26"/>
        <v>0.90110397651209617</v>
      </c>
      <c r="D65" s="20">
        <f t="shared" si="26"/>
        <v>0.93675795688698682</v>
      </c>
      <c r="E65" s="20">
        <f t="shared" si="26"/>
        <v>0.95235060481045852</v>
      </c>
      <c r="F65" s="20">
        <f t="shared" si="26"/>
        <v>0.96150808682969169</v>
      </c>
      <c r="G65" s="20">
        <f t="shared" si="26"/>
        <v>0.96766148400646967</v>
      </c>
      <c r="H65" s="20">
        <f t="shared" si="26"/>
        <v>0.97213289262458702</v>
      </c>
      <c r="I65" s="20">
        <f t="shared" si="26"/>
        <v>0.97555343632992442</v>
      </c>
      <c r="J65" s="20">
        <f t="shared" si="26"/>
        <v>0.97826710730285704</v>
      </c>
      <c r="K65" s="20">
        <f t="shared" si="26"/>
        <v>0.98047927092386877</v>
      </c>
      <c r="L65" s="20">
        <f t="shared" si="26"/>
        <v>0.98232098766084819</v>
      </c>
    </row>
    <row r="66" spans="1:12" x14ac:dyDescent="0.2">
      <c r="A66" s="39">
        <f t="shared" si="5"/>
        <v>42.27258461368546</v>
      </c>
      <c r="B66" s="20">
        <f t="shared" ref="B66:L66" si="27">B39*C0</f>
        <v>1.5416942093415727E-12</v>
      </c>
      <c r="C66" s="20">
        <f t="shared" si="27"/>
        <v>0.99030689690079521</v>
      </c>
      <c r="D66" s="20">
        <f t="shared" si="27"/>
        <v>0.99381498504348698</v>
      </c>
      <c r="E66" s="20">
        <f t="shared" si="27"/>
        <v>0.9953434574122928</v>
      </c>
      <c r="F66" s="20">
        <f t="shared" si="27"/>
        <v>0.99623983708967223</v>
      </c>
      <c r="G66" s="20">
        <f t="shared" si="27"/>
        <v>0.99684169937483347</v>
      </c>
      <c r="H66" s="20">
        <f t="shared" si="27"/>
        <v>0.99727883616729973</v>
      </c>
      <c r="I66" s="20">
        <f t="shared" si="27"/>
        <v>0.99761312702076332</v>
      </c>
      <c r="J66" s="20">
        <f t="shared" si="27"/>
        <v>0.99787827095807269</v>
      </c>
      <c r="K66" s="20">
        <f t="shared" si="27"/>
        <v>0.99809437447586413</v>
      </c>
      <c r="L66" s="20">
        <f t="shared" si="27"/>
        <v>0.99827426341608572</v>
      </c>
    </row>
    <row r="67" spans="1:12" x14ac:dyDescent="0.2">
      <c r="A67" s="39">
        <f t="shared" si="5"/>
        <v>42.314899513198661</v>
      </c>
      <c r="B67" s="20">
        <f t="shared" ref="B67:L67" si="28">B40*C0</f>
        <v>1</v>
      </c>
      <c r="C67" s="20">
        <f t="shared" si="28"/>
        <v>1</v>
      </c>
      <c r="D67" s="20">
        <f t="shared" si="28"/>
        <v>1</v>
      </c>
      <c r="E67" s="20">
        <f t="shared" si="28"/>
        <v>1</v>
      </c>
      <c r="F67" s="20">
        <f t="shared" si="28"/>
        <v>1</v>
      </c>
      <c r="G67" s="20">
        <f t="shared" si="28"/>
        <v>1</v>
      </c>
      <c r="H67" s="20">
        <f t="shared" si="28"/>
        <v>1</v>
      </c>
      <c r="I67" s="20">
        <f t="shared" si="28"/>
        <v>1</v>
      </c>
      <c r="J67" s="20">
        <f t="shared" si="28"/>
        <v>1</v>
      </c>
      <c r="K67" s="20">
        <f t="shared" si="28"/>
        <v>1</v>
      </c>
      <c r="L67" s="20">
        <f t="shared" si="28"/>
        <v>1</v>
      </c>
    </row>
    <row r="69" spans="1:12" ht="26.25" customHeight="1" x14ac:dyDescent="0.2">
      <c r="A69" s="74" t="s">
        <v>69</v>
      </c>
      <c r="B69" s="74"/>
      <c r="C69" s="74"/>
      <c r="D69" s="74"/>
      <c r="E69" s="74"/>
      <c r="F69" s="74"/>
      <c r="G69" s="74"/>
      <c r="H69" s="74"/>
      <c r="I69" s="74"/>
      <c r="J69" s="74"/>
      <c r="K69" s="74"/>
      <c r="L69" s="74"/>
    </row>
  </sheetData>
  <mergeCells count="6">
    <mergeCell ref="A69:L69"/>
    <mergeCell ref="F6:K6"/>
    <mergeCell ref="B16:L16"/>
    <mergeCell ref="B43:L43"/>
    <mergeCell ref="A15:L15"/>
    <mergeCell ref="A42:L42"/>
  </mergeCells>
  <phoneticPr fontId="2" type="noConversion"/>
  <pageMargins left="0.75" right="0.75" top="1" bottom="1" header="0.5" footer="0.5"/>
  <pageSetup orientation="portrait" horizontalDpi="300" verticalDpi="300" r:id="rId1"/>
  <headerFooter alignWithMargins="0"/>
  <drawing r:id="rId2"/>
  <legacyDrawing r:id="rId3"/>
  <oleObjects>
    <mc:AlternateContent xmlns:mc="http://schemas.openxmlformats.org/markup-compatibility/2006">
      <mc:Choice Requires="x14">
        <oleObject progId="Equation.3" shapeId="33796" r:id="rId4">
          <objectPr defaultSize="0" autoPict="0" r:id="rId5">
            <anchor moveWithCells="1">
              <from>
                <xdr:col>5</xdr:col>
                <xdr:colOff>133350</xdr:colOff>
                <xdr:row>6</xdr:row>
                <xdr:rowOff>9525</xdr:rowOff>
              </from>
              <to>
                <xdr:col>10</xdr:col>
                <xdr:colOff>581025</xdr:colOff>
                <xdr:row>13</xdr:row>
                <xdr:rowOff>123825</xdr:rowOff>
              </to>
            </anchor>
          </objectPr>
        </oleObject>
      </mc:Choice>
      <mc:Fallback>
        <oleObject progId="Equation.3" shapeId="3379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B11" sqref="B11"/>
    </sheetView>
  </sheetViews>
  <sheetFormatPr defaultRowHeight="12.75" x14ac:dyDescent="0.2"/>
  <cols>
    <col min="1" max="1" width="50.42578125" customWidth="1"/>
    <col min="2" max="16" width="9" customWidth="1"/>
    <col min="17" max="17" width="9.5703125" style="26" customWidth="1"/>
  </cols>
  <sheetData>
    <row r="1" spans="1:17" x14ac:dyDescent="0.2">
      <c r="A1" s="2" t="s">
        <v>47</v>
      </c>
    </row>
    <row r="2" spans="1:17" x14ac:dyDescent="0.2">
      <c r="A2" s="16" t="s">
        <v>74</v>
      </c>
    </row>
    <row r="3" spans="1:17" x14ac:dyDescent="0.2">
      <c r="A3" t="s">
        <v>100</v>
      </c>
    </row>
    <row r="5" spans="1:17" x14ac:dyDescent="0.2">
      <c r="A5" s="2" t="s">
        <v>114</v>
      </c>
    </row>
    <row r="6" spans="1:17" x14ac:dyDescent="0.2">
      <c r="A6" s="33" t="s">
        <v>36</v>
      </c>
      <c r="B6" s="58" t="str">
        <f>'Steady State Conditions'!B9</f>
        <v>PHE</v>
      </c>
      <c r="C6" s="52" t="str">
        <f>B6</f>
        <v>PHE</v>
      </c>
      <c r="D6" s="52" t="str">
        <f>C6</f>
        <v>PHE</v>
      </c>
      <c r="E6" s="52" t="str">
        <f>D6</f>
        <v>PHE</v>
      </c>
      <c r="F6" s="52" t="str">
        <f>E6</f>
        <v>PHE</v>
      </c>
      <c r="G6" s="52" t="str">
        <f>F6</f>
        <v>PHE</v>
      </c>
      <c r="H6" s="52" t="str">
        <f t="shared" ref="H6:P6" si="0">G6</f>
        <v>PHE</v>
      </c>
      <c r="I6" s="52" t="str">
        <f t="shared" si="0"/>
        <v>PHE</v>
      </c>
      <c r="J6" s="52" t="str">
        <f t="shared" si="0"/>
        <v>PHE</v>
      </c>
      <c r="K6" s="52" t="str">
        <f t="shared" si="0"/>
        <v>PHE</v>
      </c>
      <c r="L6" s="52" t="str">
        <f t="shared" si="0"/>
        <v>PHE</v>
      </c>
      <c r="M6" s="52" t="str">
        <f t="shared" si="0"/>
        <v>PHE</v>
      </c>
      <c r="N6" s="52" t="str">
        <f t="shared" si="0"/>
        <v>PHE</v>
      </c>
      <c r="O6" s="52" t="str">
        <f t="shared" si="0"/>
        <v>PHE</v>
      </c>
      <c r="P6" s="52" t="str">
        <f t="shared" si="0"/>
        <v>PHE</v>
      </c>
    </row>
    <row r="7" spans="1:17" ht="15.75" x14ac:dyDescent="0.3">
      <c r="A7" s="50" t="s">
        <v>92</v>
      </c>
      <c r="B7" s="58">
        <f>'Steady State Conditions'!B10</f>
        <v>4.57</v>
      </c>
      <c r="C7" s="53">
        <f>B7+0.01</f>
        <v>4.58</v>
      </c>
      <c r="D7" s="53">
        <f t="shared" ref="D7:P7" si="1">C7+0.01</f>
        <v>4.59</v>
      </c>
      <c r="E7" s="53">
        <f t="shared" si="1"/>
        <v>4.5999999999999996</v>
      </c>
      <c r="F7" s="53">
        <f t="shared" si="1"/>
        <v>4.6099999999999994</v>
      </c>
      <c r="G7" s="53">
        <f t="shared" si="1"/>
        <v>4.6199999999999992</v>
      </c>
      <c r="H7" s="53">
        <f t="shared" si="1"/>
        <v>4.629999999999999</v>
      </c>
      <c r="I7" s="53">
        <f t="shared" si="1"/>
        <v>4.6399999999999988</v>
      </c>
      <c r="J7" s="53">
        <f t="shared" si="1"/>
        <v>4.6499999999999986</v>
      </c>
      <c r="K7" s="53">
        <f t="shared" si="1"/>
        <v>4.6599999999999984</v>
      </c>
      <c r="L7" s="53">
        <f t="shared" si="1"/>
        <v>4.6699999999999982</v>
      </c>
      <c r="M7" s="53">
        <f t="shared" si="1"/>
        <v>4.6799999999999979</v>
      </c>
      <c r="N7" s="53">
        <f t="shared" si="1"/>
        <v>4.6899999999999977</v>
      </c>
      <c r="O7" s="53">
        <f t="shared" si="1"/>
        <v>4.6999999999999975</v>
      </c>
      <c r="P7" s="53">
        <f t="shared" si="1"/>
        <v>4.7099999999999973</v>
      </c>
    </row>
    <row r="8" spans="1:17" ht="15.75" x14ac:dyDescent="0.3">
      <c r="A8" s="4" t="s">
        <v>19</v>
      </c>
      <c r="B8" s="58">
        <f>'Steady State Conditions'!B11</f>
        <v>6.0000000000000002E-6</v>
      </c>
      <c r="C8" s="53">
        <f t="shared" ref="C8:F27" si="2">B8</f>
        <v>6.0000000000000002E-6</v>
      </c>
      <c r="D8" s="53">
        <f t="shared" si="2"/>
        <v>6.0000000000000002E-6</v>
      </c>
      <c r="E8" s="53">
        <f t="shared" si="2"/>
        <v>6.0000000000000002E-6</v>
      </c>
      <c r="F8" s="53">
        <f t="shared" si="2"/>
        <v>6.0000000000000002E-6</v>
      </c>
      <c r="G8" s="53">
        <f t="shared" ref="G8:P8" si="3">F8</f>
        <v>6.0000000000000002E-6</v>
      </c>
      <c r="H8" s="53">
        <f t="shared" si="3"/>
        <v>6.0000000000000002E-6</v>
      </c>
      <c r="I8" s="53">
        <f t="shared" si="3"/>
        <v>6.0000000000000002E-6</v>
      </c>
      <c r="J8" s="53">
        <f t="shared" si="3"/>
        <v>6.0000000000000002E-6</v>
      </c>
      <c r="K8" s="53">
        <f t="shared" si="3"/>
        <v>6.0000000000000002E-6</v>
      </c>
      <c r="L8" s="53">
        <f t="shared" si="3"/>
        <v>6.0000000000000002E-6</v>
      </c>
      <c r="M8" s="53">
        <f t="shared" si="3"/>
        <v>6.0000000000000002E-6</v>
      </c>
      <c r="N8" s="53">
        <f t="shared" si="3"/>
        <v>6.0000000000000002E-6</v>
      </c>
      <c r="O8" s="53">
        <f t="shared" si="3"/>
        <v>6.0000000000000002E-6</v>
      </c>
      <c r="P8" s="53">
        <f t="shared" si="3"/>
        <v>6.0000000000000002E-6</v>
      </c>
      <c r="Q8" s="26" t="s">
        <v>109</v>
      </c>
    </row>
    <row r="9" spans="1:17" ht="15" x14ac:dyDescent="0.25">
      <c r="A9" s="27" t="s">
        <v>24</v>
      </c>
      <c r="B9" s="58">
        <f>'Steady State Conditions'!B12</f>
        <v>0</v>
      </c>
      <c r="C9" s="53">
        <f t="shared" si="2"/>
        <v>0</v>
      </c>
      <c r="D9" s="53">
        <f t="shared" si="2"/>
        <v>0</v>
      </c>
      <c r="E9" s="53">
        <f t="shared" si="2"/>
        <v>0</v>
      </c>
      <c r="F9" s="53">
        <f t="shared" si="2"/>
        <v>0</v>
      </c>
      <c r="G9" s="53">
        <f t="shared" ref="G9:P9" si="4">F9</f>
        <v>0</v>
      </c>
      <c r="H9" s="53">
        <f t="shared" si="4"/>
        <v>0</v>
      </c>
      <c r="I9" s="53">
        <f t="shared" si="4"/>
        <v>0</v>
      </c>
      <c r="J9" s="53">
        <f t="shared" si="4"/>
        <v>0</v>
      </c>
      <c r="K9" s="53">
        <f t="shared" si="4"/>
        <v>0</v>
      </c>
      <c r="L9" s="53">
        <f t="shared" si="4"/>
        <v>0</v>
      </c>
      <c r="M9" s="53">
        <f t="shared" si="4"/>
        <v>0</v>
      </c>
      <c r="N9" s="53">
        <f t="shared" si="4"/>
        <v>0</v>
      </c>
      <c r="O9" s="53">
        <f t="shared" si="4"/>
        <v>0</v>
      </c>
      <c r="P9" s="53">
        <f t="shared" si="4"/>
        <v>0</v>
      </c>
      <c r="Q9" s="26" t="s">
        <v>110</v>
      </c>
    </row>
    <row r="10" spans="1:17" ht="15" x14ac:dyDescent="0.25">
      <c r="A10" s="27" t="s">
        <v>25</v>
      </c>
      <c r="B10" s="58">
        <f>'Steady State Conditions'!B13</f>
        <v>0</v>
      </c>
      <c r="C10" s="53">
        <f t="shared" si="2"/>
        <v>0</v>
      </c>
      <c r="D10" s="53">
        <f t="shared" si="2"/>
        <v>0</v>
      </c>
      <c r="E10" s="53">
        <f t="shared" si="2"/>
        <v>0</v>
      </c>
      <c r="F10" s="53">
        <f t="shared" si="2"/>
        <v>0</v>
      </c>
      <c r="G10" s="53">
        <f t="shared" ref="G10:P10" si="5">F10</f>
        <v>0</v>
      </c>
      <c r="H10" s="53">
        <f t="shared" si="5"/>
        <v>0</v>
      </c>
      <c r="I10" s="53">
        <f t="shared" si="5"/>
        <v>0</v>
      </c>
      <c r="J10" s="53">
        <f t="shared" si="5"/>
        <v>0</v>
      </c>
      <c r="K10" s="53">
        <f t="shared" si="5"/>
        <v>0</v>
      </c>
      <c r="L10" s="53">
        <f t="shared" si="5"/>
        <v>0</v>
      </c>
      <c r="M10" s="53">
        <f t="shared" si="5"/>
        <v>0</v>
      </c>
      <c r="N10" s="53">
        <f t="shared" si="5"/>
        <v>0</v>
      </c>
      <c r="O10" s="53">
        <f t="shared" si="5"/>
        <v>0</v>
      </c>
      <c r="P10" s="53">
        <f t="shared" si="5"/>
        <v>0</v>
      </c>
      <c r="Q10" s="26" t="s">
        <v>110</v>
      </c>
    </row>
    <row r="11" spans="1:17" ht="15.75" x14ac:dyDescent="0.3">
      <c r="A11" s="27" t="s">
        <v>16</v>
      </c>
      <c r="B11" s="58">
        <f>'Steady State Conditions'!B16</f>
        <v>1</v>
      </c>
      <c r="C11" s="53">
        <f t="shared" si="2"/>
        <v>1</v>
      </c>
      <c r="D11" s="53">
        <f t="shared" si="2"/>
        <v>1</v>
      </c>
      <c r="E11" s="53">
        <f t="shared" si="2"/>
        <v>1</v>
      </c>
      <c r="F11" s="53">
        <f t="shared" si="2"/>
        <v>1</v>
      </c>
      <c r="G11" s="53">
        <f t="shared" ref="G11:P11" si="6">F11</f>
        <v>1</v>
      </c>
      <c r="H11" s="53">
        <f t="shared" si="6"/>
        <v>1</v>
      </c>
      <c r="I11" s="53">
        <f t="shared" si="6"/>
        <v>1</v>
      </c>
      <c r="J11" s="53">
        <f t="shared" si="6"/>
        <v>1</v>
      </c>
      <c r="K11" s="53">
        <f t="shared" si="6"/>
        <v>1</v>
      </c>
      <c r="L11" s="53">
        <f t="shared" si="6"/>
        <v>1</v>
      </c>
      <c r="M11" s="53">
        <f t="shared" si="6"/>
        <v>1</v>
      </c>
      <c r="N11" s="53">
        <f t="shared" si="6"/>
        <v>1</v>
      </c>
      <c r="O11" s="53">
        <f t="shared" si="6"/>
        <v>1</v>
      </c>
      <c r="P11" s="53">
        <f t="shared" si="6"/>
        <v>1</v>
      </c>
      <c r="Q11" s="26" t="s">
        <v>4</v>
      </c>
    </row>
    <row r="12" spans="1:17" ht="15.75" x14ac:dyDescent="0.3">
      <c r="A12" s="27" t="s">
        <v>37</v>
      </c>
      <c r="B12" s="58">
        <f>'Steady State Conditions'!B17</f>
        <v>0.05</v>
      </c>
      <c r="C12" s="53">
        <f t="shared" si="2"/>
        <v>0.05</v>
      </c>
      <c r="D12" s="53">
        <f t="shared" si="2"/>
        <v>0.05</v>
      </c>
      <c r="E12" s="53">
        <f t="shared" si="2"/>
        <v>0.05</v>
      </c>
      <c r="F12" s="53">
        <f t="shared" si="2"/>
        <v>0.05</v>
      </c>
      <c r="G12" s="53">
        <f t="shared" ref="G12:P12" si="7">F12</f>
        <v>0.05</v>
      </c>
      <c r="H12" s="53">
        <f t="shared" si="7"/>
        <v>0.05</v>
      </c>
      <c r="I12" s="53">
        <f t="shared" si="7"/>
        <v>0.05</v>
      </c>
      <c r="J12" s="53">
        <f t="shared" si="7"/>
        <v>0.05</v>
      </c>
      <c r="K12" s="53">
        <f t="shared" si="7"/>
        <v>0.05</v>
      </c>
      <c r="L12" s="53">
        <f t="shared" si="7"/>
        <v>0.05</v>
      </c>
      <c r="M12" s="53">
        <f t="shared" si="7"/>
        <v>0.05</v>
      </c>
      <c r="N12" s="53">
        <f t="shared" si="7"/>
        <v>0.05</v>
      </c>
      <c r="O12" s="53">
        <f t="shared" si="7"/>
        <v>0.05</v>
      </c>
      <c r="P12" s="53">
        <f t="shared" si="7"/>
        <v>0.05</v>
      </c>
    </row>
    <row r="13" spans="1:17" ht="15.75" x14ac:dyDescent="0.3">
      <c r="A13" s="27" t="s">
        <v>43</v>
      </c>
      <c r="B13" s="58">
        <f>'Steady State Conditions'!B18</f>
        <v>0</v>
      </c>
      <c r="C13" s="53">
        <f t="shared" si="2"/>
        <v>0</v>
      </c>
      <c r="D13" s="53">
        <f t="shared" si="2"/>
        <v>0</v>
      </c>
      <c r="E13" s="53">
        <f t="shared" si="2"/>
        <v>0</v>
      </c>
      <c r="F13" s="53">
        <f t="shared" si="2"/>
        <v>0</v>
      </c>
      <c r="G13" s="53">
        <f t="shared" ref="G13:P13" si="8">F13</f>
        <v>0</v>
      </c>
      <c r="H13" s="53">
        <f t="shared" si="8"/>
        <v>0</v>
      </c>
      <c r="I13" s="53">
        <f t="shared" si="8"/>
        <v>0</v>
      </c>
      <c r="J13" s="53">
        <f t="shared" si="8"/>
        <v>0</v>
      </c>
      <c r="K13" s="53">
        <f t="shared" si="8"/>
        <v>0</v>
      </c>
      <c r="L13" s="53">
        <f t="shared" si="8"/>
        <v>0</v>
      </c>
      <c r="M13" s="53">
        <f t="shared" si="8"/>
        <v>0</v>
      </c>
      <c r="N13" s="53">
        <f t="shared" si="8"/>
        <v>0</v>
      </c>
      <c r="O13" s="53">
        <f t="shared" si="8"/>
        <v>0</v>
      </c>
      <c r="P13" s="53">
        <f t="shared" si="8"/>
        <v>0</v>
      </c>
      <c r="Q13" s="26" t="s">
        <v>44</v>
      </c>
    </row>
    <row r="14" spans="1:17" x14ac:dyDescent="0.2">
      <c r="A14" s="4" t="s">
        <v>84</v>
      </c>
      <c r="B14" s="58">
        <f>'Steady State Conditions'!B19</f>
        <v>10</v>
      </c>
      <c r="C14" s="53">
        <f t="shared" si="2"/>
        <v>10</v>
      </c>
      <c r="D14" s="53">
        <f t="shared" si="2"/>
        <v>10</v>
      </c>
      <c r="E14" s="53">
        <f t="shared" si="2"/>
        <v>10</v>
      </c>
      <c r="F14" s="53">
        <f t="shared" si="2"/>
        <v>10</v>
      </c>
      <c r="G14" s="53">
        <f t="shared" ref="G14:P14" si="9">F14</f>
        <v>10</v>
      </c>
      <c r="H14" s="53">
        <f t="shared" si="9"/>
        <v>10</v>
      </c>
      <c r="I14" s="53">
        <f t="shared" si="9"/>
        <v>10</v>
      </c>
      <c r="J14" s="53">
        <f t="shared" si="9"/>
        <v>10</v>
      </c>
      <c r="K14" s="53">
        <f t="shared" si="9"/>
        <v>10</v>
      </c>
      <c r="L14" s="53">
        <f t="shared" si="9"/>
        <v>10</v>
      </c>
      <c r="M14" s="53">
        <f t="shared" si="9"/>
        <v>10</v>
      </c>
      <c r="N14" s="53">
        <f t="shared" si="9"/>
        <v>10</v>
      </c>
      <c r="O14" s="53">
        <f t="shared" si="9"/>
        <v>10</v>
      </c>
      <c r="P14" s="53">
        <f t="shared" si="9"/>
        <v>10</v>
      </c>
      <c r="Q14" s="26" t="s">
        <v>1</v>
      </c>
    </row>
    <row r="15" spans="1:17" ht="15.75" x14ac:dyDescent="0.3">
      <c r="A15" s="4" t="s">
        <v>93</v>
      </c>
      <c r="B15" s="58">
        <f>'Steady State Conditions'!B20</f>
        <v>0</v>
      </c>
      <c r="C15" s="53">
        <f t="shared" si="2"/>
        <v>0</v>
      </c>
      <c r="D15" s="53">
        <f t="shared" si="2"/>
        <v>0</v>
      </c>
      <c r="E15" s="53">
        <f t="shared" si="2"/>
        <v>0</v>
      </c>
      <c r="F15" s="53">
        <f t="shared" si="2"/>
        <v>0</v>
      </c>
      <c r="G15" s="53">
        <f t="shared" ref="G15:P15" si="10">F15</f>
        <v>0</v>
      </c>
      <c r="H15" s="53">
        <f t="shared" si="10"/>
        <v>0</v>
      </c>
      <c r="I15" s="53">
        <f t="shared" si="10"/>
        <v>0</v>
      </c>
      <c r="J15" s="53">
        <f t="shared" si="10"/>
        <v>0</v>
      </c>
      <c r="K15" s="53">
        <f t="shared" si="10"/>
        <v>0</v>
      </c>
      <c r="L15" s="53">
        <f t="shared" si="10"/>
        <v>0</v>
      </c>
      <c r="M15" s="53">
        <f t="shared" si="10"/>
        <v>0</v>
      </c>
      <c r="N15" s="53">
        <f t="shared" si="10"/>
        <v>0</v>
      </c>
      <c r="O15" s="53">
        <f t="shared" si="10"/>
        <v>0</v>
      </c>
      <c r="P15" s="53">
        <f t="shared" si="10"/>
        <v>0</v>
      </c>
      <c r="Q15" s="26" t="s">
        <v>1</v>
      </c>
    </row>
    <row r="16" spans="1:17" ht="15.75" x14ac:dyDescent="0.3">
      <c r="A16" s="4" t="s">
        <v>42</v>
      </c>
      <c r="B16" s="58">
        <f>'Steady State Conditions'!B21</f>
        <v>15</v>
      </c>
      <c r="C16" s="53">
        <f t="shared" si="2"/>
        <v>15</v>
      </c>
      <c r="D16" s="53">
        <f t="shared" si="2"/>
        <v>15</v>
      </c>
      <c r="E16" s="53">
        <f t="shared" si="2"/>
        <v>15</v>
      </c>
      <c r="F16" s="53">
        <f t="shared" si="2"/>
        <v>15</v>
      </c>
      <c r="G16" s="53">
        <f t="shared" ref="G16:P16" si="11">F16</f>
        <v>15</v>
      </c>
      <c r="H16" s="53">
        <f t="shared" si="11"/>
        <v>15</v>
      </c>
      <c r="I16" s="53">
        <f t="shared" si="11"/>
        <v>15</v>
      </c>
      <c r="J16" s="53">
        <f t="shared" si="11"/>
        <v>15</v>
      </c>
      <c r="K16" s="53">
        <f t="shared" si="11"/>
        <v>15</v>
      </c>
      <c r="L16" s="53">
        <f t="shared" si="11"/>
        <v>15</v>
      </c>
      <c r="M16" s="53">
        <f t="shared" si="11"/>
        <v>15</v>
      </c>
      <c r="N16" s="53">
        <f t="shared" si="11"/>
        <v>15</v>
      </c>
      <c r="O16" s="53">
        <f t="shared" si="11"/>
        <v>15</v>
      </c>
      <c r="P16" s="53">
        <f t="shared" si="11"/>
        <v>15</v>
      </c>
      <c r="Q16" s="26" t="s">
        <v>0</v>
      </c>
    </row>
    <row r="17" spans="1:17" ht="15.75" x14ac:dyDescent="0.3">
      <c r="A17" s="27" t="s">
        <v>22</v>
      </c>
      <c r="B17" s="58">
        <f>'Steady State Conditions'!B22</f>
        <v>100</v>
      </c>
      <c r="C17" s="53">
        <f t="shared" si="2"/>
        <v>100</v>
      </c>
      <c r="D17" s="53">
        <f t="shared" si="2"/>
        <v>100</v>
      </c>
      <c r="E17" s="53">
        <f t="shared" si="2"/>
        <v>100</v>
      </c>
      <c r="F17" s="53">
        <f t="shared" si="2"/>
        <v>100</v>
      </c>
      <c r="G17" s="53">
        <f t="shared" ref="G17:P17" si="12">F17</f>
        <v>100</v>
      </c>
      <c r="H17" s="53">
        <f t="shared" si="12"/>
        <v>100</v>
      </c>
      <c r="I17" s="53">
        <f t="shared" si="12"/>
        <v>100</v>
      </c>
      <c r="J17" s="53">
        <f t="shared" si="12"/>
        <v>100</v>
      </c>
      <c r="K17" s="53">
        <f t="shared" si="12"/>
        <v>100</v>
      </c>
      <c r="L17" s="53">
        <f t="shared" si="12"/>
        <v>100</v>
      </c>
      <c r="M17" s="53">
        <f t="shared" si="12"/>
        <v>100</v>
      </c>
      <c r="N17" s="53">
        <f t="shared" si="12"/>
        <v>100</v>
      </c>
      <c r="O17" s="53">
        <f t="shared" si="12"/>
        <v>100</v>
      </c>
      <c r="P17" s="53">
        <f t="shared" si="12"/>
        <v>100</v>
      </c>
      <c r="Q17" s="26" t="s">
        <v>111</v>
      </c>
    </row>
    <row r="18" spans="1:17" ht="15.75" x14ac:dyDescent="0.3">
      <c r="A18" s="27" t="s">
        <v>23</v>
      </c>
      <c r="B18" s="58">
        <f>'Steady State Conditions'!B23</f>
        <v>1</v>
      </c>
      <c r="C18" s="53">
        <f t="shared" si="2"/>
        <v>1</v>
      </c>
      <c r="D18" s="53">
        <f t="shared" si="2"/>
        <v>1</v>
      </c>
      <c r="E18" s="53">
        <f t="shared" si="2"/>
        <v>1</v>
      </c>
      <c r="F18" s="53">
        <f t="shared" si="2"/>
        <v>1</v>
      </c>
      <c r="G18" s="53">
        <f t="shared" ref="G18:P18" si="13">F18</f>
        <v>1</v>
      </c>
      <c r="H18" s="53">
        <f t="shared" si="13"/>
        <v>1</v>
      </c>
      <c r="I18" s="53">
        <f t="shared" si="13"/>
        <v>1</v>
      </c>
      <c r="J18" s="53">
        <f t="shared" si="13"/>
        <v>1</v>
      </c>
      <c r="K18" s="53">
        <f t="shared" si="13"/>
        <v>1</v>
      </c>
      <c r="L18" s="53">
        <f t="shared" si="13"/>
        <v>1</v>
      </c>
      <c r="M18" s="53">
        <f t="shared" si="13"/>
        <v>1</v>
      </c>
      <c r="N18" s="53">
        <f t="shared" si="13"/>
        <v>1</v>
      </c>
      <c r="O18" s="53">
        <f t="shared" si="13"/>
        <v>1</v>
      </c>
      <c r="P18" s="53">
        <f t="shared" si="13"/>
        <v>1</v>
      </c>
      <c r="Q18" s="26" t="s">
        <v>111</v>
      </c>
    </row>
    <row r="19" spans="1:17" x14ac:dyDescent="0.2">
      <c r="A19" t="s">
        <v>78</v>
      </c>
      <c r="B19" s="58">
        <f>'Steady State Conditions'!B26</f>
        <v>45</v>
      </c>
      <c r="C19" s="53">
        <f t="shared" si="2"/>
        <v>45</v>
      </c>
      <c r="D19" s="53">
        <f t="shared" si="2"/>
        <v>45</v>
      </c>
      <c r="E19" s="53">
        <f t="shared" si="2"/>
        <v>45</v>
      </c>
      <c r="F19" s="53">
        <f t="shared" si="2"/>
        <v>45</v>
      </c>
      <c r="G19" s="53">
        <f t="shared" ref="G19:P19" si="14">F19</f>
        <v>45</v>
      </c>
      <c r="H19" s="53">
        <f t="shared" si="14"/>
        <v>45</v>
      </c>
      <c r="I19" s="53">
        <f t="shared" si="14"/>
        <v>45</v>
      </c>
      <c r="J19" s="53">
        <f t="shared" si="14"/>
        <v>45</v>
      </c>
      <c r="K19" s="53">
        <f t="shared" si="14"/>
        <v>45</v>
      </c>
      <c r="L19" s="53">
        <f t="shared" si="14"/>
        <v>45</v>
      </c>
      <c r="M19" s="53">
        <f t="shared" si="14"/>
        <v>45</v>
      </c>
      <c r="N19" s="53">
        <f t="shared" si="14"/>
        <v>45</v>
      </c>
      <c r="O19" s="53">
        <f t="shared" si="14"/>
        <v>45</v>
      </c>
      <c r="P19" s="53">
        <f t="shared" si="14"/>
        <v>45</v>
      </c>
      <c r="Q19" s="26" t="s">
        <v>0</v>
      </c>
    </row>
    <row r="20" spans="1:17" x14ac:dyDescent="0.2">
      <c r="A20" s="4" t="s">
        <v>94</v>
      </c>
      <c r="B20" s="58" t="str">
        <f>'Steady State Conditions'!B27</f>
        <v>G</v>
      </c>
      <c r="C20" s="52" t="str">
        <f t="shared" si="2"/>
        <v>G</v>
      </c>
      <c r="D20" s="52" t="str">
        <f t="shared" si="2"/>
        <v>G</v>
      </c>
      <c r="E20" s="52" t="str">
        <f t="shared" si="2"/>
        <v>G</v>
      </c>
      <c r="F20" s="52" t="str">
        <f t="shared" si="2"/>
        <v>G</v>
      </c>
      <c r="G20" s="52" t="str">
        <f t="shared" ref="G20:P20" si="15">F20</f>
        <v>G</v>
      </c>
      <c r="H20" s="52" t="str">
        <f t="shared" si="15"/>
        <v>G</v>
      </c>
      <c r="I20" s="52" t="str">
        <f t="shared" si="15"/>
        <v>G</v>
      </c>
      <c r="J20" s="52" t="str">
        <f t="shared" si="15"/>
        <v>G</v>
      </c>
      <c r="K20" s="52" t="str">
        <f t="shared" si="15"/>
        <v>G</v>
      </c>
      <c r="L20" s="52" t="str">
        <f t="shared" si="15"/>
        <v>G</v>
      </c>
      <c r="M20" s="52" t="str">
        <f t="shared" si="15"/>
        <v>G</v>
      </c>
      <c r="N20" s="52" t="str">
        <f t="shared" si="15"/>
        <v>G</v>
      </c>
      <c r="O20" s="52" t="str">
        <f t="shared" si="15"/>
        <v>G</v>
      </c>
      <c r="P20" s="52" t="str">
        <f t="shared" si="15"/>
        <v>G</v>
      </c>
    </row>
    <row r="21" spans="1:17" x14ac:dyDescent="0.2">
      <c r="A21" t="s">
        <v>81</v>
      </c>
      <c r="B21" s="58">
        <f>'Steady State Conditions'!B28</f>
        <v>0</v>
      </c>
      <c r="C21" s="53">
        <f t="shared" si="2"/>
        <v>0</v>
      </c>
      <c r="D21" s="53">
        <f t="shared" si="2"/>
        <v>0</v>
      </c>
      <c r="E21" s="53">
        <f t="shared" si="2"/>
        <v>0</v>
      </c>
      <c r="F21" s="53">
        <f t="shared" si="2"/>
        <v>0</v>
      </c>
      <c r="G21" s="53">
        <f t="shared" ref="G21:P21" si="16">F21</f>
        <v>0</v>
      </c>
      <c r="H21" s="53">
        <f t="shared" si="16"/>
        <v>0</v>
      </c>
      <c r="I21" s="53">
        <f t="shared" si="16"/>
        <v>0</v>
      </c>
      <c r="J21" s="53">
        <f t="shared" si="16"/>
        <v>0</v>
      </c>
      <c r="K21" s="53">
        <f t="shared" si="16"/>
        <v>0</v>
      </c>
      <c r="L21" s="53">
        <f t="shared" si="16"/>
        <v>0</v>
      </c>
      <c r="M21" s="53">
        <f t="shared" si="16"/>
        <v>0</v>
      </c>
      <c r="N21" s="53">
        <f t="shared" si="16"/>
        <v>0</v>
      </c>
      <c r="O21" s="53">
        <f t="shared" si="16"/>
        <v>0</v>
      </c>
      <c r="P21" s="53">
        <f t="shared" si="16"/>
        <v>0</v>
      </c>
      <c r="Q21" s="26" t="s">
        <v>0</v>
      </c>
    </row>
    <row r="22" spans="1:17" x14ac:dyDescent="0.2">
      <c r="A22" t="s">
        <v>95</v>
      </c>
      <c r="B22" s="58">
        <f>'Steady State Conditions'!B29</f>
        <v>15</v>
      </c>
      <c r="C22" s="53">
        <f t="shared" si="2"/>
        <v>15</v>
      </c>
      <c r="D22" s="53">
        <f t="shared" si="2"/>
        <v>15</v>
      </c>
      <c r="E22" s="53">
        <f t="shared" si="2"/>
        <v>15</v>
      </c>
      <c r="F22" s="53">
        <f t="shared" si="2"/>
        <v>15</v>
      </c>
      <c r="G22" s="53">
        <f t="shared" ref="G22:P22" si="17">F22</f>
        <v>15</v>
      </c>
      <c r="H22" s="53">
        <f t="shared" si="17"/>
        <v>15</v>
      </c>
      <c r="I22" s="53">
        <f t="shared" si="17"/>
        <v>15</v>
      </c>
      <c r="J22" s="53">
        <f t="shared" si="17"/>
        <v>15</v>
      </c>
      <c r="K22" s="53">
        <f t="shared" si="17"/>
        <v>15</v>
      </c>
      <c r="L22" s="53">
        <f t="shared" si="17"/>
        <v>15</v>
      </c>
      <c r="M22" s="53">
        <f t="shared" si="17"/>
        <v>15</v>
      </c>
      <c r="N22" s="53">
        <f t="shared" si="17"/>
        <v>15</v>
      </c>
      <c r="O22" s="53">
        <f t="shared" si="17"/>
        <v>15</v>
      </c>
      <c r="P22" s="53">
        <f t="shared" si="17"/>
        <v>15</v>
      </c>
      <c r="Q22" s="26" t="s">
        <v>0</v>
      </c>
    </row>
    <row r="23" spans="1:17" x14ac:dyDescent="0.2">
      <c r="A23" s="4" t="s">
        <v>20</v>
      </c>
      <c r="B23" s="58">
        <f>'Steady State Conditions'!B30</f>
        <v>0.4</v>
      </c>
      <c r="C23" s="53">
        <f t="shared" si="2"/>
        <v>0.4</v>
      </c>
      <c r="D23" s="53">
        <f t="shared" si="2"/>
        <v>0.4</v>
      </c>
      <c r="E23" s="53">
        <f t="shared" si="2"/>
        <v>0.4</v>
      </c>
      <c r="F23" s="53">
        <f t="shared" si="2"/>
        <v>0.4</v>
      </c>
      <c r="G23" s="53">
        <f t="shared" ref="G23:P23" si="18">F23</f>
        <v>0.4</v>
      </c>
      <c r="H23" s="53">
        <f t="shared" si="18"/>
        <v>0.4</v>
      </c>
      <c r="I23" s="53">
        <f t="shared" si="18"/>
        <v>0.4</v>
      </c>
      <c r="J23" s="53">
        <f t="shared" si="18"/>
        <v>0.4</v>
      </c>
      <c r="K23" s="53">
        <f t="shared" si="18"/>
        <v>0.4</v>
      </c>
      <c r="L23" s="53">
        <f t="shared" si="18"/>
        <v>0.4</v>
      </c>
      <c r="M23" s="53">
        <f t="shared" si="18"/>
        <v>0.4</v>
      </c>
      <c r="N23" s="53">
        <f t="shared" si="18"/>
        <v>0.4</v>
      </c>
      <c r="O23" s="53">
        <f t="shared" si="18"/>
        <v>0.4</v>
      </c>
      <c r="P23" s="53">
        <f t="shared" si="18"/>
        <v>0.4</v>
      </c>
    </row>
    <row r="24" spans="1:17" ht="15.75" x14ac:dyDescent="0.3">
      <c r="A24" s="27" t="s">
        <v>21</v>
      </c>
      <c r="B24" s="58">
        <f>'Steady State Conditions'!B31</f>
        <v>2.6</v>
      </c>
      <c r="C24" s="53">
        <f t="shared" si="2"/>
        <v>2.6</v>
      </c>
      <c r="D24" s="53">
        <f t="shared" si="2"/>
        <v>2.6</v>
      </c>
      <c r="E24" s="53">
        <f t="shared" si="2"/>
        <v>2.6</v>
      </c>
      <c r="F24" s="53">
        <f t="shared" si="2"/>
        <v>2.6</v>
      </c>
      <c r="G24" s="53">
        <f t="shared" ref="G24:P24" si="19">F24</f>
        <v>2.6</v>
      </c>
      <c r="H24" s="53">
        <f t="shared" si="19"/>
        <v>2.6</v>
      </c>
      <c r="I24" s="53">
        <f t="shared" si="19"/>
        <v>2.6</v>
      </c>
      <c r="J24" s="53">
        <f t="shared" si="19"/>
        <v>2.6</v>
      </c>
      <c r="K24" s="53">
        <f t="shared" si="19"/>
        <v>2.6</v>
      </c>
      <c r="L24" s="53">
        <f t="shared" si="19"/>
        <v>2.6</v>
      </c>
      <c r="M24" s="53">
        <f t="shared" si="19"/>
        <v>2.6</v>
      </c>
      <c r="N24" s="53">
        <f t="shared" si="19"/>
        <v>2.6</v>
      </c>
      <c r="O24" s="53">
        <f t="shared" si="19"/>
        <v>2.6</v>
      </c>
      <c r="P24" s="53">
        <f t="shared" si="19"/>
        <v>2.6</v>
      </c>
      <c r="Q24" s="26" t="s">
        <v>112</v>
      </c>
    </row>
    <row r="25" spans="1:17" ht="15.75" x14ac:dyDescent="0.3">
      <c r="A25" s="27" t="s">
        <v>38</v>
      </c>
      <c r="B25" s="58">
        <f>'Steady State Conditions'!B32</f>
        <v>2.0000000000000001E-4</v>
      </c>
      <c r="C25" s="53">
        <f t="shared" si="2"/>
        <v>2.0000000000000001E-4</v>
      </c>
      <c r="D25" s="53">
        <f t="shared" si="2"/>
        <v>2.0000000000000001E-4</v>
      </c>
      <c r="E25" s="53">
        <f t="shared" si="2"/>
        <v>2.0000000000000001E-4</v>
      </c>
      <c r="F25" s="53">
        <f t="shared" si="2"/>
        <v>2.0000000000000001E-4</v>
      </c>
      <c r="G25" s="53">
        <f t="shared" ref="G25:P25" si="20">F25</f>
        <v>2.0000000000000001E-4</v>
      </c>
      <c r="H25" s="53">
        <f t="shared" si="20"/>
        <v>2.0000000000000001E-4</v>
      </c>
      <c r="I25" s="53">
        <f t="shared" si="20"/>
        <v>2.0000000000000001E-4</v>
      </c>
      <c r="J25" s="53">
        <f t="shared" si="20"/>
        <v>2.0000000000000001E-4</v>
      </c>
      <c r="K25" s="53">
        <f t="shared" si="20"/>
        <v>2.0000000000000001E-4</v>
      </c>
      <c r="L25" s="53">
        <f t="shared" si="20"/>
        <v>2.0000000000000001E-4</v>
      </c>
      <c r="M25" s="53">
        <f t="shared" si="20"/>
        <v>2.0000000000000001E-4</v>
      </c>
      <c r="N25" s="53">
        <f t="shared" si="20"/>
        <v>2.0000000000000001E-4</v>
      </c>
      <c r="O25" s="53">
        <f t="shared" si="20"/>
        <v>2.0000000000000001E-4</v>
      </c>
      <c r="P25" s="53">
        <f t="shared" si="20"/>
        <v>2.0000000000000001E-4</v>
      </c>
    </row>
    <row r="26" spans="1:17" x14ac:dyDescent="0.2">
      <c r="A26" s="27" t="s">
        <v>17</v>
      </c>
      <c r="B26" s="58">
        <f>'Steady State Conditions'!B33</f>
        <v>15</v>
      </c>
      <c r="C26" s="53">
        <f t="shared" si="2"/>
        <v>15</v>
      </c>
      <c r="D26" s="53">
        <f t="shared" si="2"/>
        <v>15</v>
      </c>
      <c r="E26" s="53">
        <f t="shared" si="2"/>
        <v>15</v>
      </c>
      <c r="F26" s="53">
        <f t="shared" si="2"/>
        <v>15</v>
      </c>
      <c r="G26" s="53">
        <f t="shared" ref="G26:P26" si="21">F26</f>
        <v>15</v>
      </c>
      <c r="H26" s="53">
        <f t="shared" si="21"/>
        <v>15</v>
      </c>
      <c r="I26" s="53">
        <f t="shared" si="21"/>
        <v>15</v>
      </c>
      <c r="J26" s="53">
        <f t="shared" si="21"/>
        <v>15</v>
      </c>
      <c r="K26" s="53">
        <f t="shared" si="21"/>
        <v>15</v>
      </c>
      <c r="L26" s="53">
        <f t="shared" si="21"/>
        <v>15</v>
      </c>
      <c r="M26" s="53">
        <f t="shared" si="21"/>
        <v>15</v>
      </c>
      <c r="N26" s="53">
        <f t="shared" si="21"/>
        <v>15</v>
      </c>
      <c r="O26" s="53">
        <f t="shared" si="21"/>
        <v>15</v>
      </c>
      <c r="P26" s="53">
        <f t="shared" si="21"/>
        <v>15</v>
      </c>
      <c r="Q26" s="26" t="s">
        <v>0</v>
      </c>
    </row>
    <row r="27" spans="1:17" ht="15" customHeight="1" x14ac:dyDescent="0.3">
      <c r="A27" s="27" t="s">
        <v>12</v>
      </c>
      <c r="B27" s="58">
        <f>'Steady State Conditions'!B34</f>
        <v>0.05</v>
      </c>
      <c r="C27" s="53">
        <f t="shared" si="2"/>
        <v>0.05</v>
      </c>
      <c r="D27" s="53">
        <f t="shared" si="2"/>
        <v>0.05</v>
      </c>
      <c r="E27" s="53">
        <f t="shared" si="2"/>
        <v>0.05</v>
      </c>
      <c r="F27" s="53">
        <f t="shared" si="2"/>
        <v>0.05</v>
      </c>
      <c r="G27" s="53">
        <f t="shared" ref="G27:P27" si="22">F27</f>
        <v>0.05</v>
      </c>
      <c r="H27" s="53">
        <f t="shared" si="22"/>
        <v>0.05</v>
      </c>
      <c r="I27" s="53">
        <f t="shared" si="22"/>
        <v>0.05</v>
      </c>
      <c r="J27" s="53">
        <f t="shared" si="22"/>
        <v>0.05</v>
      </c>
      <c r="K27" s="53">
        <f t="shared" si="22"/>
        <v>0.05</v>
      </c>
      <c r="L27" s="53">
        <f t="shared" si="22"/>
        <v>0.05</v>
      </c>
      <c r="M27" s="53">
        <f t="shared" si="22"/>
        <v>0.05</v>
      </c>
      <c r="N27" s="53">
        <f t="shared" si="22"/>
        <v>0.05</v>
      </c>
      <c r="O27" s="53">
        <f t="shared" si="22"/>
        <v>0.05</v>
      </c>
      <c r="P27" s="53">
        <f t="shared" si="22"/>
        <v>0.05</v>
      </c>
    </row>
    <row r="28" spans="1:17" ht="15" customHeight="1" x14ac:dyDescent="0.2">
      <c r="A28" s="27"/>
      <c r="B28" s="58"/>
      <c r="C28" s="53"/>
      <c r="D28" s="53"/>
      <c r="E28" s="53"/>
      <c r="F28" s="53"/>
      <c r="G28" s="53"/>
      <c r="H28" s="53"/>
      <c r="I28" s="53"/>
      <c r="J28" s="53"/>
      <c r="K28" s="53"/>
      <c r="L28" s="53"/>
      <c r="M28" s="53"/>
      <c r="N28" s="53"/>
      <c r="O28" s="53"/>
      <c r="P28" s="53"/>
    </row>
    <row r="29" spans="1:17" ht="15" customHeight="1" x14ac:dyDescent="0.2">
      <c r="A29" s="2" t="s">
        <v>116</v>
      </c>
      <c r="B29" s="58"/>
      <c r="C29" s="53"/>
      <c r="D29" s="53"/>
      <c r="E29" s="53"/>
      <c r="F29" s="53"/>
      <c r="G29" s="53"/>
      <c r="H29" s="53"/>
      <c r="I29" s="53"/>
      <c r="J29" s="53"/>
      <c r="K29" s="53"/>
      <c r="L29" s="53"/>
      <c r="M29" s="53"/>
      <c r="N29" s="53"/>
      <c r="O29" s="53"/>
      <c r="P29" s="53"/>
    </row>
    <row r="30" spans="1:17" ht="15.75" x14ac:dyDescent="0.3">
      <c r="A30" s="27" t="s">
        <v>18</v>
      </c>
      <c r="B30" s="59">
        <f>0.903*B7+0.094</f>
        <v>4.2207100000000004</v>
      </c>
      <c r="C30" s="51">
        <f t="shared" ref="C30:P30" si="23">0.903*C7+0.094</f>
        <v>4.2297400000000005</v>
      </c>
      <c r="D30" s="51">
        <f t="shared" si="23"/>
        <v>4.2387700000000006</v>
      </c>
      <c r="E30" s="51">
        <f t="shared" si="23"/>
        <v>4.2477999999999998</v>
      </c>
      <c r="F30" s="51">
        <f t="shared" si="23"/>
        <v>4.2568299999999999</v>
      </c>
      <c r="G30" s="51">
        <f t="shared" si="23"/>
        <v>4.26586</v>
      </c>
      <c r="H30" s="51">
        <f t="shared" si="23"/>
        <v>4.2748899999999992</v>
      </c>
      <c r="I30" s="51">
        <f t="shared" si="23"/>
        <v>4.2839199999999993</v>
      </c>
      <c r="J30" s="51">
        <f t="shared" si="23"/>
        <v>4.2929499999999994</v>
      </c>
      <c r="K30" s="51">
        <f t="shared" si="23"/>
        <v>4.3019799999999986</v>
      </c>
      <c r="L30" s="51">
        <f t="shared" si="23"/>
        <v>4.3110099999999987</v>
      </c>
      <c r="M30" s="51">
        <f t="shared" si="23"/>
        <v>4.3200399999999988</v>
      </c>
      <c r="N30" s="51">
        <f t="shared" si="23"/>
        <v>4.329069999999998</v>
      </c>
      <c r="O30" s="51">
        <f t="shared" si="23"/>
        <v>4.3380999999999981</v>
      </c>
      <c r="P30" s="51">
        <f t="shared" si="23"/>
        <v>4.3471299999999982</v>
      </c>
      <c r="Q30" s="26" t="s">
        <v>3</v>
      </c>
    </row>
    <row r="31" spans="1:17" ht="15.75" x14ac:dyDescent="0.3">
      <c r="A31" s="27" t="s">
        <v>40</v>
      </c>
      <c r="B31" s="59">
        <f>B30-0.37</f>
        <v>3.8507100000000003</v>
      </c>
      <c r="C31" s="51">
        <f t="shared" ref="C31:P31" si="24">C30-0.37</f>
        <v>3.8597400000000004</v>
      </c>
      <c r="D31" s="51">
        <f t="shared" si="24"/>
        <v>3.8687700000000005</v>
      </c>
      <c r="E31" s="51">
        <f t="shared" si="24"/>
        <v>3.8777999999999997</v>
      </c>
      <c r="F31" s="51">
        <f t="shared" si="24"/>
        <v>3.8868299999999998</v>
      </c>
      <c r="G31" s="51">
        <f t="shared" si="24"/>
        <v>3.8958599999999999</v>
      </c>
      <c r="H31" s="51">
        <f t="shared" si="24"/>
        <v>3.9048899999999991</v>
      </c>
      <c r="I31" s="51">
        <f t="shared" si="24"/>
        <v>3.9139199999999992</v>
      </c>
      <c r="J31" s="51">
        <f t="shared" si="24"/>
        <v>3.9229499999999993</v>
      </c>
      <c r="K31" s="51">
        <f t="shared" si="24"/>
        <v>3.9319799999999985</v>
      </c>
      <c r="L31" s="51">
        <f t="shared" si="24"/>
        <v>3.9410099999999986</v>
      </c>
      <c r="M31" s="51">
        <f t="shared" si="24"/>
        <v>3.9500399999999987</v>
      </c>
      <c r="N31" s="51">
        <f t="shared" si="24"/>
        <v>3.9590699999999979</v>
      </c>
      <c r="O31" s="51">
        <f t="shared" si="24"/>
        <v>3.968099999999998</v>
      </c>
      <c r="P31" s="51">
        <f t="shared" si="24"/>
        <v>3.9771299999999981</v>
      </c>
      <c r="Q31" s="26" t="s">
        <v>3</v>
      </c>
    </row>
    <row r="32" spans="1:17" ht="15.75" x14ac:dyDescent="0.3">
      <c r="A32" s="27" t="s">
        <v>35</v>
      </c>
      <c r="B32" s="59">
        <f>SQRT(0.02*0.01)/100^(2/3)/10^(1/2)*3600</f>
        <v>0.74728138720047343</v>
      </c>
      <c r="C32" s="51">
        <f t="shared" ref="C32:P32" si="25">SQRT(0.02*0.01)/100^(2/3)/10^(1/2)*3600</f>
        <v>0.74728138720047343</v>
      </c>
      <c r="D32" s="51">
        <f t="shared" si="25"/>
        <v>0.74728138720047343</v>
      </c>
      <c r="E32" s="51">
        <f t="shared" si="25"/>
        <v>0.74728138720047343</v>
      </c>
      <c r="F32" s="51">
        <f t="shared" si="25"/>
        <v>0.74728138720047343</v>
      </c>
      <c r="G32" s="51">
        <f t="shared" si="25"/>
        <v>0.74728138720047343</v>
      </c>
      <c r="H32" s="51">
        <f t="shared" si="25"/>
        <v>0.74728138720047343</v>
      </c>
      <c r="I32" s="51">
        <f t="shared" si="25"/>
        <v>0.74728138720047343</v>
      </c>
      <c r="J32" s="51">
        <f t="shared" si="25"/>
        <v>0.74728138720047343</v>
      </c>
      <c r="K32" s="51">
        <f t="shared" si="25"/>
        <v>0.74728138720047343</v>
      </c>
      <c r="L32" s="51">
        <f t="shared" si="25"/>
        <v>0.74728138720047343</v>
      </c>
      <c r="M32" s="51">
        <f t="shared" si="25"/>
        <v>0.74728138720047343</v>
      </c>
      <c r="N32" s="51">
        <f t="shared" si="25"/>
        <v>0.74728138720047343</v>
      </c>
      <c r="O32" s="51">
        <f t="shared" si="25"/>
        <v>0.74728138720047343</v>
      </c>
      <c r="P32" s="51">
        <f t="shared" si="25"/>
        <v>0.74728138720047343</v>
      </c>
      <c r="Q32" s="26" t="s">
        <v>2</v>
      </c>
    </row>
    <row r="33" spans="1:17" x14ac:dyDescent="0.2">
      <c r="A33" s="27" t="s">
        <v>9</v>
      </c>
      <c r="B33" s="59">
        <f>IF(1.69*(B19/100)^1.53&lt;1,1,1.69*(B19/100)^1.53)</f>
        <v>1</v>
      </c>
      <c r="C33" s="51">
        <f t="shared" ref="C33:P33" si="26">IF(1.69*(C19/100)^1.53&lt;1,1,1.69*(C19/100)^1.53)</f>
        <v>1</v>
      </c>
      <c r="D33" s="51">
        <f t="shared" si="26"/>
        <v>1</v>
      </c>
      <c r="E33" s="51">
        <f t="shared" si="26"/>
        <v>1</v>
      </c>
      <c r="F33" s="51">
        <f t="shared" si="26"/>
        <v>1</v>
      </c>
      <c r="G33" s="51">
        <f t="shared" si="26"/>
        <v>1</v>
      </c>
      <c r="H33" s="51">
        <f t="shared" si="26"/>
        <v>1</v>
      </c>
      <c r="I33" s="51">
        <f t="shared" si="26"/>
        <v>1</v>
      </c>
      <c r="J33" s="51">
        <f t="shared" si="26"/>
        <v>1</v>
      </c>
      <c r="K33" s="51">
        <f t="shared" si="26"/>
        <v>1</v>
      </c>
      <c r="L33" s="51">
        <f t="shared" si="26"/>
        <v>1</v>
      </c>
      <c r="M33" s="51">
        <f t="shared" si="26"/>
        <v>1</v>
      </c>
      <c r="N33" s="51">
        <f t="shared" si="26"/>
        <v>1</v>
      </c>
      <c r="O33" s="51">
        <f t="shared" si="26"/>
        <v>1</v>
      </c>
      <c r="P33" s="51">
        <f t="shared" si="26"/>
        <v>1</v>
      </c>
      <c r="Q33" s="26" t="s">
        <v>0</v>
      </c>
    </row>
    <row r="34" spans="1:17" ht="15.75" x14ac:dyDescent="0.3">
      <c r="A34" s="27" t="s">
        <v>27</v>
      </c>
      <c r="B34" s="56">
        <f t="shared" ref="B34:P34" si="27">IF(B20="G",B8*86400*365*B23^(4/3)+B33*ABS(B14),B8*B23/(1-LN(B23^2))*86400*365+B33*ABS(B14))</f>
        <v>65.766216323739158</v>
      </c>
      <c r="C34" s="64">
        <f t="shared" si="27"/>
        <v>65.766216323739158</v>
      </c>
      <c r="D34" s="64">
        <f t="shared" si="27"/>
        <v>65.766216323739158</v>
      </c>
      <c r="E34" s="64">
        <f t="shared" si="27"/>
        <v>65.766216323739158</v>
      </c>
      <c r="F34" s="64">
        <f t="shared" si="27"/>
        <v>65.766216323739158</v>
      </c>
      <c r="G34" s="64">
        <f t="shared" si="27"/>
        <v>65.766216323739158</v>
      </c>
      <c r="H34" s="64">
        <f t="shared" si="27"/>
        <v>65.766216323739158</v>
      </c>
      <c r="I34" s="64">
        <f t="shared" si="27"/>
        <v>65.766216323739158</v>
      </c>
      <c r="J34" s="64">
        <f t="shared" si="27"/>
        <v>65.766216323739158</v>
      </c>
      <c r="K34" s="64">
        <f t="shared" si="27"/>
        <v>65.766216323739158</v>
      </c>
      <c r="L34" s="64">
        <f t="shared" si="27"/>
        <v>65.766216323739158</v>
      </c>
      <c r="M34" s="64">
        <f t="shared" si="27"/>
        <v>65.766216323739158</v>
      </c>
      <c r="N34" s="64">
        <f t="shared" si="27"/>
        <v>65.766216323739158</v>
      </c>
      <c r="O34" s="64">
        <f t="shared" si="27"/>
        <v>65.766216323739158</v>
      </c>
      <c r="P34" s="64">
        <f t="shared" si="27"/>
        <v>65.766216323739158</v>
      </c>
      <c r="Q34" s="26" t="s">
        <v>111</v>
      </c>
    </row>
    <row r="35" spans="1:17" ht="15.75" x14ac:dyDescent="0.3">
      <c r="A35" s="27" t="s">
        <v>28</v>
      </c>
      <c r="B35" s="24">
        <f t="shared" ref="B35:P35" si="28">B17+B18*(1-B23)*B24*B12*10^B30+B34</f>
        <v>1462.3619930677357</v>
      </c>
      <c r="C35" s="65">
        <f t="shared" si="28"/>
        <v>1489.6034834906116</v>
      </c>
      <c r="D35" s="65">
        <f t="shared" si="28"/>
        <v>1517.4173179036268</v>
      </c>
      <c r="E35" s="65">
        <f t="shared" si="28"/>
        <v>1545.8155212598178</v>
      </c>
      <c r="F35" s="65">
        <f t="shared" si="28"/>
        <v>1574.8103711566143</v>
      </c>
      <c r="G35" s="65">
        <f t="shared" si="28"/>
        <v>1604.4144031438843</v>
      </c>
      <c r="H35" s="65">
        <f t="shared" si="28"/>
        <v>1634.6404161435262</v>
      </c>
      <c r="I35" s="65">
        <f t="shared" si="28"/>
        <v>1665.5014779829253</v>
      </c>
      <c r="J35" s="65">
        <f t="shared" si="28"/>
        <v>1697.0109310446437</v>
      </c>
      <c r="K35" s="65">
        <f t="shared" si="28"/>
        <v>1729.1823980348381</v>
      </c>
      <c r="L35" s="65">
        <f t="shared" si="28"/>
        <v>1762.0297878728668</v>
      </c>
      <c r="M35" s="65">
        <f t="shared" si="28"/>
        <v>1795.5673017046174</v>
      </c>
      <c r="N35" s="65">
        <f t="shared" si="28"/>
        <v>1829.8094390421954</v>
      </c>
      <c r="O35" s="65">
        <f t="shared" si="28"/>
        <v>1864.7710040326128</v>
      </c>
      <c r="P35" s="65">
        <f t="shared" si="28"/>
        <v>1900.4671118581509</v>
      </c>
      <c r="Q35" s="26" t="s">
        <v>111</v>
      </c>
    </row>
    <row r="36" spans="1:17" x14ac:dyDescent="0.2">
      <c r="A36" s="27"/>
      <c r="B36" s="51"/>
      <c r="C36" s="51"/>
      <c r="D36" s="51"/>
      <c r="E36" s="51"/>
      <c r="F36" s="51"/>
      <c r="G36" s="51"/>
      <c r="H36" s="51"/>
      <c r="I36" s="51"/>
      <c r="J36" s="51"/>
      <c r="K36" s="51"/>
      <c r="L36" s="51"/>
      <c r="M36" s="51"/>
      <c r="N36" s="51"/>
      <c r="O36" s="51"/>
      <c r="P36" s="51"/>
    </row>
    <row r="37" spans="1:17" x14ac:dyDescent="0.2">
      <c r="A37" s="2" t="s">
        <v>115</v>
      </c>
      <c r="B37" s="6"/>
      <c r="C37" s="6"/>
      <c r="D37" s="6"/>
      <c r="E37" s="6"/>
      <c r="F37" s="6"/>
      <c r="G37" s="6"/>
      <c r="H37" s="6"/>
      <c r="I37" s="6"/>
      <c r="J37" s="6"/>
      <c r="K37" s="6"/>
      <c r="L37" s="6"/>
      <c r="M37" s="6"/>
      <c r="N37" s="6"/>
      <c r="O37" s="6"/>
      <c r="P37" s="6"/>
    </row>
    <row r="38" spans="1:17" x14ac:dyDescent="0.2">
      <c r="A38" s="4" t="s">
        <v>13</v>
      </c>
      <c r="B38" s="36">
        <f t="shared" ref="B38:P38" si="29">B11*IF(B26&lt;B16,(B43*EXP(-B49/2)-B42*EXP(-B51))/2/SINH(B51)*EXP((B49/2+B51)*(B16-B26)/B16)+(B42*EXP(B51)-B43*EXP(-B49/2))/2/SINH(B51)*EXP((B49/2-B51)*(B16-B26)/B16),(B42*EXP(-B46/2)-EXP(-B48))/2/SINH(B48)*EXP((B46/2+B48)*(B53-B26)/(B54))+(EXP(B48)-B42*EXP(-B46/2))/2/SINH(B48)*EXP((B46/2-B)*(B53-B26)/(B54)))</f>
        <v>0.4568256266511822</v>
      </c>
      <c r="C38" s="36">
        <f t="shared" si="29"/>
        <v>0.46043502044871276</v>
      </c>
      <c r="D38" s="36">
        <f t="shared" si="29"/>
        <v>0.46399454347862634</v>
      </c>
      <c r="E38" s="36">
        <f t="shared" si="29"/>
        <v>0.46750443677166031</v>
      </c>
      <c r="F38" s="36">
        <f t="shared" si="29"/>
        <v>0.4709649578279268</v>
      </c>
      <c r="G38" s="36">
        <f t="shared" si="29"/>
        <v>0.47437637990090809</v>
      </c>
      <c r="H38" s="36">
        <f t="shared" si="29"/>
        <v>0.47773899129093478</v>
      </c>
      <c r="I38" s="36">
        <f t="shared" si="29"/>
        <v>0.48105309464885726</v>
      </c>
      <c r="J38" s="36">
        <f t="shared" si="29"/>
        <v>0.48431900629051472</v>
      </c>
      <c r="K38" s="36">
        <f t="shared" si="29"/>
        <v>0.48753705552258386</v>
      </c>
      <c r="L38" s="36">
        <f t="shared" si="29"/>
        <v>0.49070758398032077</v>
      </c>
      <c r="M38" s="36">
        <f t="shared" si="29"/>
        <v>0.4938309449776489</v>
      </c>
      <c r="N38" s="36">
        <f t="shared" si="29"/>
        <v>0.49690750287002727</v>
      </c>
      <c r="O38" s="36">
        <f t="shared" si="29"/>
        <v>0.49993763243045342</v>
      </c>
      <c r="P38" s="36">
        <f t="shared" si="29"/>
        <v>0.50292171823892018</v>
      </c>
      <c r="Q38" s="68" t="s">
        <v>4</v>
      </c>
    </row>
    <row r="39" spans="1:17" x14ac:dyDescent="0.2">
      <c r="A39" s="4" t="s">
        <v>14</v>
      </c>
      <c r="B39" s="42">
        <f t="shared" ref="B39:P39" si="30">B38*10^B30*B27</f>
        <v>379.69113988740543</v>
      </c>
      <c r="C39" s="42">
        <f t="shared" si="30"/>
        <v>390.73143537099156</v>
      </c>
      <c r="D39" s="42">
        <f t="shared" si="30"/>
        <v>402.02483065380915</v>
      </c>
      <c r="E39" s="42">
        <f t="shared" si="30"/>
        <v>413.57639296234788</v>
      </c>
      <c r="F39" s="42">
        <f t="shared" si="30"/>
        <v>425.39129548625107</v>
      </c>
      <c r="G39" s="42">
        <f t="shared" si="30"/>
        <v>437.47481975304208</v>
      </c>
      <c r="H39" s="42">
        <f t="shared" si="30"/>
        <v>449.83235804819481</v>
      </c>
      <c r="I39" s="42">
        <f t="shared" si="30"/>
        <v>462.46941588151606</v>
      </c>
      <c r="J39" s="42">
        <f t="shared" si="30"/>
        <v>475.39161450078922</v>
      </c>
      <c r="K39" s="42">
        <f t="shared" si="30"/>
        <v>488.6046934537116</v>
      </c>
      <c r="L39" s="42">
        <f t="shared" si="30"/>
        <v>502.11451319914761</v>
      </c>
      <c r="M39" s="42">
        <f t="shared" si="30"/>
        <v>515.92705776874152</v>
      </c>
      <c r="N39" s="42">
        <f t="shared" si="30"/>
        <v>530.04843748001326</v>
      </c>
      <c r="O39" s="42">
        <f t="shared" si="30"/>
        <v>544.484891702038</v>
      </c>
      <c r="P39" s="42">
        <f t="shared" si="30"/>
        <v>559.24279167484599</v>
      </c>
      <c r="Q39" s="69" t="s">
        <v>5</v>
      </c>
    </row>
    <row r="40" spans="1:17" ht="15.75" x14ac:dyDescent="0.3">
      <c r="A40" s="4" t="s">
        <v>29</v>
      </c>
      <c r="B40" s="24">
        <f t="shared" ref="B40:P40" si="31">B12*10^B30*B44*B11</f>
        <v>43.020117237029964</v>
      </c>
      <c r="C40" s="24">
        <f t="shared" si="31"/>
        <v>43.166766253216622</v>
      </c>
      <c r="D40" s="24">
        <f t="shared" si="31"/>
        <v>43.312209982264179</v>
      </c>
      <c r="E40" s="24">
        <f t="shared" si="31"/>
        <v>43.456474200969041</v>
      </c>
      <c r="F40" s="24">
        <f t="shared" si="31"/>
        <v>43.599585285745363</v>
      </c>
      <c r="G40" s="24">
        <f t="shared" si="31"/>
        <v>43.741570193279387</v>
      </c>
      <c r="H40" s="24">
        <f t="shared" si="31"/>
        <v>43.882456451562845</v>
      </c>
      <c r="I40" s="24">
        <f t="shared" si="31"/>
        <v>44.022272143235668</v>
      </c>
      <c r="J40" s="24">
        <f t="shared" si="31"/>
        <v>44.161045893299558</v>
      </c>
      <c r="K40" s="24">
        <f t="shared" si="31"/>
        <v>44.298806858725222</v>
      </c>
      <c r="L40" s="24">
        <f t="shared" si="31"/>
        <v>44.435584711179963</v>
      </c>
      <c r="M40" s="24">
        <f t="shared" si="31"/>
        <v>44.571409632219989</v>
      </c>
      <c r="N40" s="24">
        <f t="shared" si="31"/>
        <v>44.706312296301384</v>
      </c>
      <c r="O40" s="24">
        <f t="shared" si="31"/>
        <v>44.84032386521281</v>
      </c>
      <c r="P40" s="24">
        <f t="shared" si="31"/>
        <v>44.973475975286632</v>
      </c>
      <c r="Q40" s="69" t="s">
        <v>5</v>
      </c>
    </row>
    <row r="41" spans="1:17" ht="14.25" x14ac:dyDescent="0.2">
      <c r="A41" s="4" t="s">
        <v>15</v>
      </c>
      <c r="B41" s="18">
        <f t="shared" ref="B41:P41" si="32">(B32*24*365+B57)*B43*B11*10</f>
        <v>101.43569021647116</v>
      </c>
      <c r="C41" s="18">
        <f t="shared" si="32"/>
        <v>101.42706898467681</v>
      </c>
      <c r="D41" s="18">
        <f t="shared" si="32"/>
        <v>101.41865606377841</v>
      </c>
      <c r="E41" s="18">
        <f t="shared" si="32"/>
        <v>101.41044589892344</v>
      </c>
      <c r="F41" s="18">
        <f t="shared" si="32"/>
        <v>101.4024331015071</v>
      </c>
      <c r="G41" s="18">
        <f t="shared" si="32"/>
        <v>101.394612443634</v>
      </c>
      <c r="H41" s="18">
        <f t="shared" si="32"/>
        <v>101.3869788527805</v>
      </c>
      <c r="I41" s="18">
        <f t="shared" si="32"/>
        <v>101.37952740664682</v>
      </c>
      <c r="J41" s="18">
        <f t="shared" si="32"/>
        <v>101.3722533281952</v>
      </c>
      <c r="K41" s="18">
        <f t="shared" si="32"/>
        <v>101.36515198086421</v>
      </c>
      <c r="L41" s="18">
        <f t="shared" si="32"/>
        <v>101.35821886395496</v>
      </c>
      <c r="M41" s="18">
        <f t="shared" si="32"/>
        <v>101.3514496081811</v>
      </c>
      <c r="N41" s="18">
        <f t="shared" si="32"/>
        <v>101.34483997137791</v>
      </c>
      <c r="O41" s="18">
        <f t="shared" si="32"/>
        <v>101.33838583436365</v>
      </c>
      <c r="P41" s="18">
        <f t="shared" si="32"/>
        <v>101.33208319694771</v>
      </c>
      <c r="Q41" s="69" t="s">
        <v>113</v>
      </c>
    </row>
    <row r="42" spans="1:17" ht="15.75" x14ac:dyDescent="0.3">
      <c r="A42" s="4" t="s">
        <v>98</v>
      </c>
      <c r="B42" s="41">
        <f>B49/B46*EXP(B46/2)*B48*SINH(B51)/(B49/B46*B48*COSH(B48)*SINH(B51)+B51*SINH(B48)*COSH(B51)-B51^2*SINH(B48)/((B52+B49/2)*SINH(B51)+B51*COSH(B51)))</f>
        <v>0.10028458947909619</v>
      </c>
      <c r="C42" s="41">
        <f t="shared" ref="C42:P42" si="33">C49/C46*EXP(C46/2)*C48*SINH(C51)/(C49/C46*C48*COSH(C48)*SINH(C51)+C51*SINH(C48)*COSH(C51)-C51^2*SINH(C48)/((C52+C49/2)*SINH(C51)+C51*COSH(C51)))</f>
        <v>9.8559943142795689E-2</v>
      </c>
      <c r="D42" s="41">
        <f t="shared" si="33"/>
        <v>9.6860157576575401E-2</v>
      </c>
      <c r="E42" s="41">
        <f t="shared" si="33"/>
        <v>9.5185056316852118E-2</v>
      </c>
      <c r="F42" s="41">
        <f t="shared" si="33"/>
        <v>9.3534457674395902E-2</v>
      </c>
      <c r="G42" s="41">
        <f t="shared" si="33"/>
        <v>9.1908174986939303E-2</v>
      </c>
      <c r="H42" s="41">
        <f t="shared" si="33"/>
        <v>9.0306016869074857E-2</v>
      </c>
      <c r="I42" s="41">
        <f t="shared" si="33"/>
        <v>8.8727787459158824E-2</v>
      </c>
      <c r="J42" s="41">
        <f t="shared" si="33"/>
        <v>8.7173286662957525E-2</v>
      </c>
      <c r="K42" s="41">
        <f t="shared" si="33"/>
        <v>8.5642310393790333E-2</v>
      </c>
      <c r="L42" s="41">
        <f t="shared" si="33"/>
        <v>8.4134650808945638E-2</v>
      </c>
      <c r="M42" s="41">
        <f t="shared" si="33"/>
        <v>8.2650096542165E-2</v>
      </c>
      <c r="N42" s="41">
        <f t="shared" si="33"/>
        <v>8.1188432932005644E-2</v>
      </c>
      <c r="O42" s="41">
        <f t="shared" si="33"/>
        <v>7.9749442245912308E-2</v>
      </c>
      <c r="P42" s="41">
        <f t="shared" si="33"/>
        <v>7.8332903899846595E-2</v>
      </c>
    </row>
    <row r="43" spans="1:17" ht="15.75" x14ac:dyDescent="0.3">
      <c r="A43" s="4" t="s">
        <v>99</v>
      </c>
      <c r="B43" s="41">
        <f>EXP((B46+B49)/2)/((B46/2+B52*B46/B49)*SINH(B48)*COSH(B51)/B48+(B49/2+B52)*COSH(B48)*SINH(B51)/B51+B46*B51*SINH(B51)*SINH(B48)/B49/B48+COSH(B48)*COSH(B51))</f>
        <v>1.5471755443299973E-3</v>
      </c>
      <c r="C43" s="41">
        <f t="shared" ref="C43:P43" si="34">EXP((C46+C49)/2)/((C46/2+C52*C46/C49)*SINH(C48)*COSH(C51)/C48+(C49/2+C52)*COSH(C48)*SINH(C51)/C51+C46*C51*SINH(C51)*SINH(C48)/C49/C48+COSH(C48)*COSH(C51))</f>
        <v>1.5470440466395321E-3</v>
      </c>
      <c r="D43" s="41">
        <f t="shared" si="34"/>
        <v>1.5469157262678502E-3</v>
      </c>
      <c r="E43" s="41">
        <f t="shared" si="34"/>
        <v>1.5467904984880479E-3</v>
      </c>
      <c r="F43" s="41">
        <f t="shared" si="34"/>
        <v>1.5466682811089599E-3</v>
      </c>
      <c r="G43" s="41">
        <f t="shared" si="34"/>
        <v>1.5465489943906855E-3</v>
      </c>
      <c r="H43" s="41">
        <f t="shared" si="34"/>
        <v>1.5464325609631734E-3</v>
      </c>
      <c r="I43" s="41">
        <f t="shared" si="34"/>
        <v>1.5463189057477031E-3</v>
      </c>
      <c r="J43" s="41">
        <f t="shared" si="34"/>
        <v>1.5462079558812029E-3</v>
      </c>
      <c r="K43" s="41">
        <f t="shared" si="34"/>
        <v>1.5460996406432542E-3</v>
      </c>
      <c r="L43" s="41">
        <f t="shared" si="34"/>
        <v>1.5459938913857188E-3</v>
      </c>
      <c r="M43" s="41">
        <f t="shared" si="34"/>
        <v>1.5458906414648646E-3</v>
      </c>
      <c r="N43" s="41">
        <f t="shared" si="34"/>
        <v>1.5457898261759166E-3</v>
      </c>
      <c r="O43" s="41">
        <f t="shared" si="34"/>
        <v>1.5456913826899315E-3</v>
      </c>
      <c r="P43" s="41">
        <f t="shared" si="34"/>
        <v>1.5455952499929101E-3</v>
      </c>
    </row>
    <row r="44" spans="1:17" ht="15.75" x14ac:dyDescent="0.3">
      <c r="A44" s="4" t="s">
        <v>77</v>
      </c>
      <c r="B44" s="41">
        <f t="shared" ref="B44:P44" si="35">(B43*EXP(-B49/2)-B42*EXP(-B51))/2/SINH(B51)*(EXP(B49/2+B51)-1)/(B49/2+B51)+(B42*EXP(B51)-B43*EXP(-B49/2))/2/SINH(B51)*(EXP(B49/2-B51)-1)/(B49/2-B51)</f>
        <v>5.17596803055278E-2</v>
      </c>
      <c r="C44" s="41">
        <f t="shared" si="35"/>
        <v>5.0867396639416085E-2</v>
      </c>
      <c r="D44" s="41">
        <f t="shared" si="35"/>
        <v>4.9988526989957593E-2</v>
      </c>
      <c r="E44" s="41">
        <f t="shared" si="35"/>
        <v>4.9122954890841175E-2</v>
      </c>
      <c r="F44" s="41">
        <f t="shared" si="35"/>
        <v>4.8270561864564132E-2</v>
      </c>
      <c r="G44" s="41">
        <f t="shared" si="35"/>
        <v>4.7431227541696819E-2</v>
      </c>
      <c r="H44" s="41">
        <f t="shared" si="35"/>
        <v>4.6604829789260949E-2</v>
      </c>
      <c r="I44" s="41">
        <f t="shared" si="35"/>
        <v>4.5791244827751432E-2</v>
      </c>
      <c r="J44" s="41">
        <f t="shared" si="35"/>
        <v>4.4990347350262638E-2</v>
      </c>
      <c r="K44" s="41">
        <f t="shared" si="35"/>
        <v>4.4202010640555955E-2</v>
      </c>
      <c r="L44" s="41">
        <f t="shared" si="35"/>
        <v>4.3426106681221932E-2</v>
      </c>
      <c r="M44" s="41">
        <f t="shared" si="35"/>
        <v>4.2662506271441081E-2</v>
      </c>
      <c r="N44" s="41">
        <f t="shared" si="35"/>
        <v>4.1911079129481221E-2</v>
      </c>
      <c r="O44" s="41">
        <f t="shared" si="35"/>
        <v>4.1171694003323878E-2</v>
      </c>
      <c r="P44" s="41">
        <f t="shared" si="35"/>
        <v>4.0444218771117479E-2</v>
      </c>
    </row>
    <row r="45" spans="1:17" ht="15.75" x14ac:dyDescent="0.3">
      <c r="A45" s="4" t="s">
        <v>101</v>
      </c>
      <c r="B45" s="43">
        <f>MAX(1/(1/B58+1/B59),0)</f>
        <v>3.1447070401064705</v>
      </c>
      <c r="C45" s="43">
        <f t="shared" ref="C45:P45" si="36">MAX(1/(1/C58+1/C59),0)</f>
        <v>3.2168705975052405</v>
      </c>
      <c r="D45" s="43">
        <f t="shared" si="36"/>
        <v>3.2905644857022023</v>
      </c>
      <c r="E45" s="43">
        <f t="shared" si="36"/>
        <v>3.3658206097619705</v>
      </c>
      <c r="F45" s="43">
        <f t="shared" si="36"/>
        <v>3.4426715485311972</v>
      </c>
      <c r="G45" s="43">
        <f t="shared" si="36"/>
        <v>3.5211505687799667</v>
      </c>
      <c r="H45" s="43">
        <f t="shared" si="36"/>
        <v>3.6012916396389061</v>
      </c>
      <c r="I45" s="43">
        <f t="shared" si="36"/>
        <v>3.6831294473382452</v>
      </c>
      <c r="J45" s="43">
        <f t="shared" si="36"/>
        <v>3.7666994102551703</v>
      </c>
      <c r="K45" s="43">
        <f t="shared" si="36"/>
        <v>3.8520376942761523</v>
      </c>
      <c r="L45" s="43">
        <f t="shared" si="36"/>
        <v>3.9391812284808627</v>
      </c>
      <c r="M45" s="43">
        <f t="shared" si="36"/>
        <v>4.0281677211544364</v>
      </c>
      <c r="N45" s="43">
        <f t="shared" si="36"/>
        <v>4.1190356761351818</v>
      </c>
      <c r="O45" s="43">
        <f t="shared" si="36"/>
        <v>4.2118244095047768</v>
      </c>
      <c r="P45" s="43">
        <f t="shared" si="36"/>
        <v>4.3065740666281362</v>
      </c>
      <c r="Q45" s="69" t="s">
        <v>31</v>
      </c>
    </row>
    <row r="46" spans="1:17" ht="15.75" x14ac:dyDescent="0.3">
      <c r="A46" s="4" t="s">
        <v>57</v>
      </c>
      <c r="B46" s="20">
        <f t="shared" ref="B46:P46" si="37">B57*B54/B34</f>
        <v>4.1533329785522417</v>
      </c>
      <c r="C46" s="20">
        <f t="shared" si="37"/>
        <v>4.1611443662891556</v>
      </c>
      <c r="D46" s="20">
        <f t="shared" si="37"/>
        <v>4.1688173923279503</v>
      </c>
      <c r="E46" s="20">
        <f t="shared" si="37"/>
        <v>4.1763540856664472</v>
      </c>
      <c r="F46" s="20">
        <f t="shared" si="37"/>
        <v>4.1837564617345917</v>
      </c>
      <c r="G46" s="20">
        <f t="shared" si="37"/>
        <v>4.1910265217996248</v>
      </c>
      <c r="H46" s="20">
        <f t="shared" si="37"/>
        <v>4.1981662524051728</v>
      </c>
      <c r="I46" s="20">
        <f t="shared" si="37"/>
        <v>4.2051776248433361</v>
      </c>
      <c r="J46" s="20">
        <f t="shared" si="37"/>
        <v>4.2120625946588444</v>
      </c>
      <c r="K46" s="20">
        <f t="shared" si="37"/>
        <v>4.2188231011843715</v>
      </c>
      <c r="L46" s="20">
        <f t="shared" si="37"/>
        <v>4.2254610671060897</v>
      </c>
      <c r="M46" s="20">
        <f t="shared" si="37"/>
        <v>4.2319783980585379</v>
      </c>
      <c r="N46" s="20">
        <f t="shared" si="37"/>
        <v>4.23837698224792</v>
      </c>
      <c r="O46" s="20">
        <f t="shared" si="37"/>
        <v>4.2446586901029271</v>
      </c>
      <c r="P46" s="20">
        <f t="shared" si="37"/>
        <v>4.2508253739521908</v>
      </c>
    </row>
    <row r="47" spans="1:17" ht="15.75" x14ac:dyDescent="0.3">
      <c r="A47" s="4" t="s">
        <v>58</v>
      </c>
      <c r="B47" s="20">
        <f t="shared" ref="B47:P47" si="38">B23*B9*B54^2/B34</f>
        <v>0</v>
      </c>
      <c r="C47" s="20">
        <f t="shared" si="38"/>
        <v>0</v>
      </c>
      <c r="D47" s="20">
        <f t="shared" si="38"/>
        <v>0</v>
      </c>
      <c r="E47" s="20">
        <f t="shared" si="38"/>
        <v>0</v>
      </c>
      <c r="F47" s="20">
        <f t="shared" si="38"/>
        <v>0</v>
      </c>
      <c r="G47" s="20">
        <f t="shared" si="38"/>
        <v>0</v>
      </c>
      <c r="H47" s="20">
        <f t="shared" si="38"/>
        <v>0</v>
      </c>
      <c r="I47" s="20">
        <f t="shared" si="38"/>
        <v>0</v>
      </c>
      <c r="J47" s="20">
        <f t="shared" si="38"/>
        <v>0</v>
      </c>
      <c r="K47" s="20">
        <f t="shared" si="38"/>
        <v>0</v>
      </c>
      <c r="L47" s="20">
        <f t="shared" si="38"/>
        <v>0</v>
      </c>
      <c r="M47" s="20">
        <f t="shared" si="38"/>
        <v>0</v>
      </c>
      <c r="N47" s="20">
        <f t="shared" si="38"/>
        <v>0</v>
      </c>
      <c r="O47" s="20">
        <f t="shared" si="38"/>
        <v>0</v>
      </c>
      <c r="P47" s="20">
        <f t="shared" si="38"/>
        <v>0</v>
      </c>
    </row>
    <row r="48" spans="1:17" ht="15.75" x14ac:dyDescent="0.3">
      <c r="A48" s="15" t="s">
        <v>62</v>
      </c>
      <c r="B48" s="20">
        <f>SQRT(B46^2/4+B47)</f>
        <v>2.0766664892761209</v>
      </c>
      <c r="C48" s="20">
        <f t="shared" ref="C48:P48" si="39">SQRT(C46^2/4+C47)</f>
        <v>2.0805721831445778</v>
      </c>
      <c r="D48" s="20">
        <f t="shared" si="39"/>
        <v>2.0844086961639752</v>
      </c>
      <c r="E48" s="20">
        <f t="shared" si="39"/>
        <v>2.0881770428332236</v>
      </c>
      <c r="F48" s="20">
        <f t="shared" si="39"/>
        <v>2.0918782308672959</v>
      </c>
      <c r="G48" s="20">
        <f t="shared" si="39"/>
        <v>2.0955132608998124</v>
      </c>
      <c r="H48" s="20">
        <f t="shared" si="39"/>
        <v>2.0990831262025864</v>
      </c>
      <c r="I48" s="20">
        <f t="shared" si="39"/>
        <v>2.1025888124216681</v>
      </c>
      <c r="J48" s="20">
        <f t="shared" si="39"/>
        <v>2.1060312973294222</v>
      </c>
      <c r="K48" s="20">
        <f t="shared" si="39"/>
        <v>2.1094115505921858</v>
      </c>
      <c r="L48" s="20">
        <f t="shared" si="39"/>
        <v>2.1127305335530449</v>
      </c>
      <c r="M48" s="20">
        <f t="shared" si="39"/>
        <v>2.115989199029269</v>
      </c>
      <c r="N48" s="20">
        <f t="shared" si="39"/>
        <v>2.11918849112396</v>
      </c>
      <c r="O48" s="20">
        <f t="shared" si="39"/>
        <v>2.1223293450514635</v>
      </c>
      <c r="P48" s="20">
        <f t="shared" si="39"/>
        <v>2.1254126869760954</v>
      </c>
    </row>
    <row r="49" spans="1:17" ht="15.75" x14ac:dyDescent="0.3">
      <c r="A49" s="4" t="s">
        <v>59</v>
      </c>
      <c r="B49" s="20">
        <f t="shared" ref="B49:P49" si="40">B57*B16/B35</f>
        <v>0.10257378180715074</v>
      </c>
      <c r="C49" s="20">
        <f t="shared" si="40"/>
        <v>0.10069793852019103</v>
      </c>
      <c r="D49" s="20">
        <f t="shared" si="40"/>
        <v>9.8852173512314359E-2</v>
      </c>
      <c r="E49" s="20">
        <f t="shared" si="40"/>
        <v>9.7036158543518908E-2</v>
      </c>
      <c r="F49" s="20">
        <f t="shared" si="40"/>
        <v>9.524956321555908E-2</v>
      </c>
      <c r="G49" s="20">
        <f t="shared" si="40"/>
        <v>9.3492055235899027E-2</v>
      </c>
      <c r="H49" s="20">
        <f t="shared" si="40"/>
        <v>9.176330067372418E-2</v>
      </c>
      <c r="I49" s="20">
        <f t="shared" si="40"/>
        <v>9.0062964208031643E-2</v>
      </c>
      <c r="J49" s="20">
        <f t="shared" si="40"/>
        <v>8.839070936783136E-2</v>
      </c>
      <c r="K49" s="20">
        <f t="shared" si="40"/>
        <v>8.6746198764497212E-2</v>
      </c>
      <c r="L49" s="20">
        <f t="shared" si="40"/>
        <v>8.5129094316323067E-2</v>
      </c>
      <c r="M49" s="20">
        <f t="shared" si="40"/>
        <v>8.3539057465346955E-2</v>
      </c>
      <c r="N49" s="20">
        <f t="shared" si="40"/>
        <v>8.1975749386513572E-2</v>
      </c>
      <c r="O49" s="20">
        <f t="shared" si="40"/>
        <v>8.0438831189256668E-2</v>
      </c>
      <c r="P49" s="20">
        <f t="shared" si="40"/>
        <v>7.8927964111591462E-2</v>
      </c>
    </row>
    <row r="50" spans="1:17" ht="15.75" x14ac:dyDescent="0.3">
      <c r="A50" s="4" t="s">
        <v>60</v>
      </c>
      <c r="B50" s="20">
        <f t="shared" ref="B50:P50" si="41">IF(B10&gt;0,B23*B10*B16^2/B35,0.00001)</f>
        <v>1.0000000000000001E-5</v>
      </c>
      <c r="C50" s="20">
        <f t="shared" si="41"/>
        <v>1.0000000000000001E-5</v>
      </c>
      <c r="D50" s="20">
        <f t="shared" si="41"/>
        <v>1.0000000000000001E-5</v>
      </c>
      <c r="E50" s="20">
        <f t="shared" si="41"/>
        <v>1.0000000000000001E-5</v>
      </c>
      <c r="F50" s="20">
        <f t="shared" si="41"/>
        <v>1.0000000000000001E-5</v>
      </c>
      <c r="G50" s="20">
        <f t="shared" si="41"/>
        <v>1.0000000000000001E-5</v>
      </c>
      <c r="H50" s="20">
        <f t="shared" si="41"/>
        <v>1.0000000000000001E-5</v>
      </c>
      <c r="I50" s="20">
        <f t="shared" si="41"/>
        <v>1.0000000000000001E-5</v>
      </c>
      <c r="J50" s="20">
        <f t="shared" si="41"/>
        <v>1.0000000000000001E-5</v>
      </c>
      <c r="K50" s="20">
        <f t="shared" si="41"/>
        <v>1.0000000000000001E-5</v>
      </c>
      <c r="L50" s="20">
        <f t="shared" si="41"/>
        <v>1.0000000000000001E-5</v>
      </c>
      <c r="M50" s="20">
        <f t="shared" si="41"/>
        <v>1.0000000000000001E-5</v>
      </c>
      <c r="N50" s="20">
        <f t="shared" si="41"/>
        <v>1.0000000000000001E-5</v>
      </c>
      <c r="O50" s="20">
        <f t="shared" si="41"/>
        <v>1.0000000000000001E-5</v>
      </c>
      <c r="P50" s="20">
        <f t="shared" si="41"/>
        <v>1.0000000000000001E-5</v>
      </c>
    </row>
    <row r="51" spans="1:17" ht="15.75" x14ac:dyDescent="0.3">
      <c r="A51" s="22" t="s">
        <v>61</v>
      </c>
      <c r="B51" s="21">
        <f>SQRT(B49^2/4+B50)</f>
        <v>5.1384289219130415E-2</v>
      </c>
      <c r="C51" s="21">
        <f t="shared" ref="C51:P51" si="42">SQRT(C49^2/4+C50)</f>
        <v>5.0448178416609285E-2</v>
      </c>
      <c r="D51" s="21">
        <f t="shared" si="42"/>
        <v>4.9527144597959372E-2</v>
      </c>
      <c r="E51" s="21">
        <f t="shared" si="42"/>
        <v>4.8621024425866785E-2</v>
      </c>
      <c r="F51" s="21">
        <f t="shared" si="42"/>
        <v>4.7729653499566663E-2</v>
      </c>
      <c r="G51" s="21">
        <f t="shared" si="42"/>
        <v>4.6852866487100853E-2</v>
      </c>
      <c r="H51" s="21">
        <f t="shared" si="42"/>
        <v>4.599049725360748E-2</v>
      </c>
      <c r="I51" s="21">
        <f t="shared" si="42"/>
        <v>4.5142378985652688E-2</v>
      </c>
      <c r="J51" s="21">
        <f t="shared" si="42"/>
        <v>4.4308344311620444E-2</v>
      </c>
      <c r="K51" s="21">
        <f t="shared" si="42"/>
        <v>4.3488225418179739E-2</v>
      </c>
      <c r="L51" s="21">
        <f t="shared" si="42"/>
        <v>4.2681854162856574E-2</v>
      </c>
      <c r="M51" s="21">
        <f t="shared" si="42"/>
        <v>4.1889062182742111E-2</v>
      </c>
      <c r="N51" s="21">
        <f t="shared" si="42"/>
        <v>4.1109680999371914E-2</v>
      </c>
      <c r="O51" s="21">
        <f t="shared" si="42"/>
        <v>4.0343542119816805E-2</v>
      </c>
      <c r="P51" s="21">
        <f t="shared" si="42"/>
        <v>3.9590477134030196E-2</v>
      </c>
    </row>
    <row r="52" spans="1:17" x14ac:dyDescent="0.2">
      <c r="A52" s="4" t="s">
        <v>63</v>
      </c>
      <c r="B52" s="32">
        <f t="shared" ref="B52:P52" si="43">B32*24*365*B16/B35</f>
        <v>67.146694692299747</v>
      </c>
      <c r="C52" s="32">
        <f t="shared" si="43"/>
        <v>65.918732982582398</v>
      </c>
      <c r="D52" s="32">
        <f t="shared" si="43"/>
        <v>64.710461070656223</v>
      </c>
      <c r="E52" s="32">
        <f t="shared" si="43"/>
        <v>63.521664084545151</v>
      </c>
      <c r="F52" s="32">
        <f t="shared" si="43"/>
        <v>62.352125739446869</v>
      </c>
      <c r="G52" s="32">
        <f t="shared" si="43"/>
        <v>61.20162851052158</v>
      </c>
      <c r="H52" s="32">
        <f t="shared" si="43"/>
        <v>60.069953800481954</v>
      </c>
      <c r="I52" s="32">
        <f t="shared" si="43"/>
        <v>58.956882101997678</v>
      </c>
      <c r="J52" s="32">
        <f t="shared" si="43"/>
        <v>57.862193154935568</v>
      </c>
      <c r="K52" s="32">
        <f t="shared" si="43"/>
        <v>56.785666098460894</v>
      </c>
      <c r="L52" s="32">
        <f t="shared" si="43"/>
        <v>55.72707961803593</v>
      </c>
      <c r="M52" s="32">
        <f t="shared" si="43"/>
        <v>54.686212087357092</v>
      </c>
      <c r="N52" s="32">
        <f t="shared" si="43"/>
        <v>53.662841705276549</v>
      </c>
      <c r="O52" s="32">
        <f t="shared" si="43"/>
        <v>52.65674662776177</v>
      </c>
      <c r="P52" s="32">
        <f t="shared" si="43"/>
        <v>51.667705094952062</v>
      </c>
    </row>
    <row r="53" spans="1:17" ht="15.75" x14ac:dyDescent="0.3">
      <c r="A53" s="4" t="s">
        <v>91</v>
      </c>
      <c r="B53" s="49">
        <f t="shared" ref="B53:P53" si="44">B19-B21-B22/B55</f>
        <v>42.314899513198661</v>
      </c>
      <c r="C53" s="49">
        <f t="shared" si="44"/>
        <v>42.36627205476811</v>
      </c>
      <c r="D53" s="49">
        <f t="shared" si="44"/>
        <v>42.416734643800616</v>
      </c>
      <c r="E53" s="49">
        <f t="shared" si="44"/>
        <v>42.46630062424714</v>
      </c>
      <c r="F53" s="49">
        <f t="shared" si="44"/>
        <v>42.514983250827868</v>
      </c>
      <c r="G53" s="49">
        <f t="shared" si="44"/>
        <v>42.562795685120221</v>
      </c>
      <c r="H53" s="49">
        <f t="shared" si="44"/>
        <v>42.609750991869994</v>
      </c>
      <c r="I53" s="49">
        <f t="shared" si="44"/>
        <v>42.655862135519449</v>
      </c>
      <c r="J53" s="49">
        <f t="shared" si="44"/>
        <v>42.70114197694636</v>
      </c>
      <c r="K53" s="49">
        <f t="shared" si="44"/>
        <v>42.745603270407948</v>
      </c>
      <c r="L53" s="49">
        <f t="shared" si="44"/>
        <v>42.789258660683679</v>
      </c>
      <c r="M53" s="49">
        <f t="shared" si="44"/>
        <v>42.832120680410888</v>
      </c>
      <c r="N53" s="49">
        <f t="shared" si="44"/>
        <v>42.874201747607344</v>
      </c>
      <c r="O53" s="49">
        <f t="shared" si="44"/>
        <v>42.915514163374837</v>
      </c>
      <c r="P53" s="49">
        <f t="shared" si="44"/>
        <v>42.956070109777919</v>
      </c>
      <c r="Q53" s="26" t="s">
        <v>0</v>
      </c>
    </row>
    <row r="54" spans="1:17" ht="15.75" x14ac:dyDescent="0.3">
      <c r="A54" s="27" t="s">
        <v>8</v>
      </c>
      <c r="B54" s="18">
        <f t="shared" ref="B54:P54" si="45">IF(B53-B16&gt;0,B53-B16,0.001)</f>
        <v>27.314899513198661</v>
      </c>
      <c r="C54" s="18">
        <f t="shared" si="45"/>
        <v>27.36627205476811</v>
      </c>
      <c r="D54" s="18">
        <f t="shared" si="45"/>
        <v>27.416734643800616</v>
      </c>
      <c r="E54" s="18">
        <f t="shared" si="45"/>
        <v>27.46630062424714</v>
      </c>
      <c r="F54" s="18">
        <f t="shared" si="45"/>
        <v>27.514983250827868</v>
      </c>
      <c r="G54" s="18">
        <f t="shared" si="45"/>
        <v>27.562795685120221</v>
      </c>
      <c r="H54" s="18">
        <f t="shared" si="45"/>
        <v>27.609750991869994</v>
      </c>
      <c r="I54" s="18">
        <f t="shared" si="45"/>
        <v>27.655862135519449</v>
      </c>
      <c r="J54" s="18">
        <f t="shared" si="45"/>
        <v>27.70114197694636</v>
      </c>
      <c r="K54" s="18">
        <f t="shared" si="45"/>
        <v>27.745603270407948</v>
      </c>
      <c r="L54" s="18">
        <f t="shared" si="45"/>
        <v>27.789258660683679</v>
      </c>
      <c r="M54" s="18">
        <f t="shared" si="45"/>
        <v>27.832120680410888</v>
      </c>
      <c r="N54" s="18">
        <f t="shared" si="45"/>
        <v>27.874201747607344</v>
      </c>
      <c r="O54" s="18">
        <f t="shared" si="45"/>
        <v>27.915514163374837</v>
      </c>
      <c r="P54" s="18">
        <f t="shared" si="45"/>
        <v>27.956070109777919</v>
      </c>
      <c r="Q54" s="26" t="s">
        <v>0</v>
      </c>
    </row>
    <row r="55" spans="1:17" ht="15.75" x14ac:dyDescent="0.3">
      <c r="A55" s="27" t="s">
        <v>39</v>
      </c>
      <c r="B55" s="18">
        <f t="shared" ref="B55:P55" si="46">(B23+B23*B13*10^(B31-6)+(1-B23)*B24*B25*10^B30)/(1+B13*10^(B31-6))</f>
        <v>5.5863831069759868</v>
      </c>
      <c r="C55" s="18">
        <f t="shared" si="46"/>
        <v>5.6953490686674897</v>
      </c>
      <c r="D55" s="18">
        <f t="shared" si="46"/>
        <v>5.8066044063195505</v>
      </c>
      <c r="E55" s="18">
        <f t="shared" si="46"/>
        <v>5.9201972197443151</v>
      </c>
      <c r="F55" s="18">
        <f t="shared" si="46"/>
        <v>6.0361766193315001</v>
      </c>
      <c r="G55" s="18">
        <f t="shared" si="46"/>
        <v>6.1545927472805806</v>
      </c>
      <c r="H55" s="18">
        <f t="shared" si="46"/>
        <v>6.2754967992791482</v>
      </c>
      <c r="I55" s="18">
        <f t="shared" si="46"/>
        <v>6.3989410466367449</v>
      </c>
      <c r="J55" s="18">
        <f t="shared" si="46"/>
        <v>6.5249788588836184</v>
      </c>
      <c r="K55" s="18">
        <f t="shared" si="46"/>
        <v>6.6536647268443962</v>
      </c>
      <c r="L55" s="18">
        <f t="shared" si="46"/>
        <v>6.7850542861965106</v>
      </c>
      <c r="M55" s="18">
        <f t="shared" si="46"/>
        <v>6.9192043415235132</v>
      </c>
      <c r="N55" s="18">
        <f t="shared" si="46"/>
        <v>7.0561728908738255</v>
      </c>
      <c r="O55" s="18">
        <f t="shared" si="46"/>
        <v>7.196019150835494</v>
      </c>
      <c r="P55" s="18">
        <f t="shared" si="46"/>
        <v>7.3388035821376478</v>
      </c>
    </row>
    <row r="56" spans="1:17" ht="15.75" x14ac:dyDescent="0.3">
      <c r="A56" s="27" t="s">
        <v>45</v>
      </c>
      <c r="B56" s="18">
        <f t="shared" ref="B56:P56" si="47">(B23+B23*B13*10^(B31-6)+(1-B23)*B24*B12*10^B30)/(1+B13*10^(B31-6))</f>
        <v>1296.9957767439967</v>
      </c>
      <c r="C56" s="18">
        <f t="shared" si="47"/>
        <v>1324.2372671668725</v>
      </c>
      <c r="D56" s="18">
        <f t="shared" si="47"/>
        <v>1352.0511015798877</v>
      </c>
      <c r="E56" s="18">
        <f t="shared" si="47"/>
        <v>1380.4493049360788</v>
      </c>
      <c r="F56" s="18">
        <f t="shared" si="47"/>
        <v>1409.4441548328753</v>
      </c>
      <c r="G56" s="18">
        <f t="shared" si="47"/>
        <v>1439.0481868201452</v>
      </c>
      <c r="H56" s="18">
        <f t="shared" si="47"/>
        <v>1469.2741998197871</v>
      </c>
      <c r="I56" s="18">
        <f t="shared" si="47"/>
        <v>1500.1352616591862</v>
      </c>
      <c r="J56" s="18">
        <f t="shared" si="47"/>
        <v>1531.6447147209046</v>
      </c>
      <c r="K56" s="18">
        <f t="shared" si="47"/>
        <v>1563.816181711099</v>
      </c>
      <c r="L56" s="18">
        <f t="shared" si="47"/>
        <v>1596.6635715491277</v>
      </c>
      <c r="M56" s="18">
        <f t="shared" si="47"/>
        <v>1630.2010853808783</v>
      </c>
      <c r="N56" s="18">
        <f t="shared" si="47"/>
        <v>1664.4432227184564</v>
      </c>
      <c r="O56" s="18">
        <f t="shared" si="47"/>
        <v>1699.4047877088738</v>
      </c>
      <c r="P56" s="18">
        <f t="shared" si="47"/>
        <v>1735.1008955344118</v>
      </c>
    </row>
    <row r="57" spans="1:17" x14ac:dyDescent="0.2">
      <c r="A57" s="4" t="s">
        <v>68</v>
      </c>
      <c r="B57" s="20">
        <f t="shared" ref="B57:P57" si="48">MAX(B14-((1-B23)*B24*B25*10^B30*B15),-B55*B54/(B55*B54^2/16/B34))</f>
        <v>10</v>
      </c>
      <c r="C57" s="20">
        <f t="shared" si="48"/>
        <v>10</v>
      </c>
      <c r="D57" s="20">
        <f t="shared" si="48"/>
        <v>10</v>
      </c>
      <c r="E57" s="20">
        <f t="shared" si="48"/>
        <v>10</v>
      </c>
      <c r="F57" s="20">
        <f t="shared" si="48"/>
        <v>10</v>
      </c>
      <c r="G57" s="20">
        <f t="shared" si="48"/>
        <v>10</v>
      </c>
      <c r="H57" s="20">
        <f t="shared" si="48"/>
        <v>10</v>
      </c>
      <c r="I57" s="20">
        <f t="shared" si="48"/>
        <v>10</v>
      </c>
      <c r="J57" s="20">
        <f t="shared" si="48"/>
        <v>10</v>
      </c>
      <c r="K57" s="20">
        <f t="shared" si="48"/>
        <v>10</v>
      </c>
      <c r="L57" s="20">
        <f t="shared" si="48"/>
        <v>10</v>
      </c>
      <c r="M57" s="20">
        <f t="shared" si="48"/>
        <v>10</v>
      </c>
      <c r="N57" s="20">
        <f t="shared" si="48"/>
        <v>10</v>
      </c>
      <c r="O57" s="20">
        <f t="shared" si="48"/>
        <v>10</v>
      </c>
      <c r="P57" s="20">
        <f t="shared" si="48"/>
        <v>10</v>
      </c>
      <c r="Q57" s="26" t="s">
        <v>1</v>
      </c>
    </row>
    <row r="58" spans="1:17" ht="15.75" x14ac:dyDescent="0.3">
      <c r="A58" s="27" t="s">
        <v>65</v>
      </c>
      <c r="B58" s="32">
        <f>B55*B54/B57</f>
        <v>15.259149320927961</v>
      </c>
      <c r="C58" s="32">
        <f t="shared" ref="C58:P58" si="49">C55*C54/C57</f>
        <v>15.586047206002471</v>
      </c>
      <c r="D58" s="32">
        <f t="shared" si="49"/>
        <v>15.919813218958655</v>
      </c>
      <c r="E58" s="32">
        <f t="shared" si="49"/>
        <v>16.260591659232947</v>
      </c>
      <c r="F58" s="32">
        <f t="shared" si="49"/>
        <v>16.608529857994501</v>
      </c>
      <c r="G58" s="32">
        <f t="shared" si="49"/>
        <v>16.963778241841741</v>
      </c>
      <c r="H58" s="32">
        <f t="shared" si="49"/>
        <v>17.326490397837443</v>
      </c>
      <c r="I58" s="32">
        <f t="shared" si="49"/>
        <v>17.696823139910233</v>
      </c>
      <c r="J58" s="32">
        <f t="shared" si="49"/>
        <v>18.074936576650856</v>
      </c>
      <c r="K58" s="32">
        <f t="shared" si="49"/>
        <v>18.460994180533188</v>
      </c>
      <c r="L58" s="32">
        <f t="shared" si="49"/>
        <v>18.85516285858953</v>
      </c>
      <c r="M58" s="32">
        <f t="shared" si="49"/>
        <v>19.257613024570539</v>
      </c>
      <c r="N58" s="32">
        <f t="shared" si="49"/>
        <v>19.668518672621477</v>
      </c>
      <c r="O58" s="32">
        <f t="shared" si="49"/>
        <v>20.088057452506483</v>
      </c>
      <c r="P58" s="32">
        <f t="shared" si="49"/>
        <v>20.516410746412941</v>
      </c>
      <c r="Q58" s="26" t="s">
        <v>31</v>
      </c>
    </row>
    <row r="59" spans="1:17" ht="15.75" x14ac:dyDescent="0.3">
      <c r="A59" s="27" t="s">
        <v>66</v>
      </c>
      <c r="B59" s="32">
        <f t="shared" ref="B59:P59" si="50">B55*B54^2/16/B34</f>
        <v>3.9610205062039463</v>
      </c>
      <c r="C59" s="32">
        <f t="shared" si="50"/>
        <v>4.0534870327483761</v>
      </c>
      <c r="D59" s="32">
        <f t="shared" si="50"/>
        <v>4.1479246393629534</v>
      </c>
      <c r="E59" s="32">
        <f t="shared" si="50"/>
        <v>4.2443742757119542</v>
      </c>
      <c r="F59" s="32">
        <f t="shared" si="50"/>
        <v>4.3428777570810242</v>
      </c>
      <c r="G59" s="32">
        <f t="shared" si="50"/>
        <v>4.4434777825928844</v>
      </c>
      <c r="H59" s="32">
        <f t="shared" si="50"/>
        <v>4.5462179538014649</v>
      </c>
      <c r="I59" s="32">
        <f t="shared" si="50"/>
        <v>4.6511427936725198</v>
      </c>
      <c r="J59" s="32">
        <f t="shared" si="50"/>
        <v>4.7582977659588783</v>
      </c>
      <c r="K59" s="32">
        <f t="shared" si="50"/>
        <v>4.8677292949789788</v>
      </c>
      <c r="L59" s="32">
        <f t="shared" si="50"/>
        <v>4.979484785807176</v>
      </c>
      <c r="M59" s="32">
        <f t="shared" si="50"/>
        <v>5.093612644884578</v>
      </c>
      <c r="N59" s="32">
        <f t="shared" si="50"/>
        <v>5.2101623010595164</v>
      </c>
      <c r="O59" s="32">
        <f t="shared" si="50"/>
        <v>5.3291842270667811</v>
      </c>
      <c r="P59" s="32">
        <f t="shared" si="50"/>
        <v>5.4507299614548455</v>
      </c>
      <c r="Q59" s="26" t="s">
        <v>31</v>
      </c>
    </row>
    <row r="60" spans="1:17" ht="15.75" x14ac:dyDescent="0.3">
      <c r="A60" s="27" t="s">
        <v>67</v>
      </c>
      <c r="B60" s="57" t="str">
        <f t="shared" ref="B60:P60" si="51">IF(B9&gt;0,B55/B9,"infinity")</f>
        <v>infinity</v>
      </c>
      <c r="C60" s="57" t="str">
        <f t="shared" si="51"/>
        <v>infinity</v>
      </c>
      <c r="D60" s="57" t="str">
        <f t="shared" si="51"/>
        <v>infinity</v>
      </c>
      <c r="E60" s="57" t="str">
        <f t="shared" si="51"/>
        <v>infinity</v>
      </c>
      <c r="F60" s="57" t="str">
        <f t="shared" si="51"/>
        <v>infinity</v>
      </c>
      <c r="G60" s="57" t="str">
        <f t="shared" si="51"/>
        <v>infinity</v>
      </c>
      <c r="H60" s="57" t="str">
        <f t="shared" si="51"/>
        <v>infinity</v>
      </c>
      <c r="I60" s="57" t="str">
        <f t="shared" si="51"/>
        <v>infinity</v>
      </c>
      <c r="J60" s="57" t="str">
        <f t="shared" si="51"/>
        <v>infinity</v>
      </c>
      <c r="K60" s="57" t="str">
        <f t="shared" si="51"/>
        <v>infinity</v>
      </c>
      <c r="L60" s="57" t="str">
        <f t="shared" si="51"/>
        <v>infinity</v>
      </c>
      <c r="M60" s="57" t="str">
        <f t="shared" si="51"/>
        <v>infinity</v>
      </c>
      <c r="N60" s="57" t="str">
        <f t="shared" si="51"/>
        <v>infinity</v>
      </c>
      <c r="O60" s="57" t="str">
        <f t="shared" si="51"/>
        <v>infinity</v>
      </c>
      <c r="P60" s="57" t="str">
        <f t="shared" si="51"/>
        <v>infinity</v>
      </c>
      <c r="Q60" s="26" t="s">
        <v>31</v>
      </c>
    </row>
  </sheetData>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48</vt:i4>
      </vt:variant>
    </vt:vector>
  </HeadingPairs>
  <TitlesOfParts>
    <vt:vector size="51" baseType="lpstr">
      <vt:lpstr>Steady State Conditions</vt:lpstr>
      <vt:lpstr>Transient Conditions</vt:lpstr>
      <vt:lpstr>Sensitivity Analysis</vt:lpstr>
      <vt:lpstr>_Dam1</vt:lpstr>
      <vt:lpstr>_Dam2</vt:lpstr>
      <vt:lpstr>_lam1</vt:lpstr>
      <vt:lpstr>_lam2</vt:lpstr>
      <vt:lpstr>_Pe1</vt:lpstr>
      <vt:lpstr>_Pe2</vt:lpstr>
      <vt:lpstr>_Rf1</vt:lpstr>
      <vt:lpstr>_Rf2</vt:lpstr>
      <vt:lpstr>alpha</vt:lpstr>
      <vt:lpstr>B</vt:lpstr>
      <vt:lpstr>C0</vt:lpstr>
      <vt:lpstr>Calctime</vt:lpstr>
      <vt:lpstr>Cbio</vt:lpstr>
      <vt:lpstr>Cbioavg</vt:lpstr>
      <vt:lpstr>Cbl</vt:lpstr>
      <vt:lpstr>Cz</vt:lpstr>
      <vt:lpstr>Da</vt:lpstr>
      <vt:lpstr>Dbio</vt:lpstr>
      <vt:lpstr>Dbiop</vt:lpstr>
      <vt:lpstr>Dbiopw</vt:lpstr>
      <vt:lpstr>Deff</vt:lpstr>
      <vt:lpstr>Dw</vt:lpstr>
      <vt:lpstr>e</vt:lpstr>
      <vt:lpstr>focbio</vt:lpstr>
      <vt:lpstr>foceff</vt:lpstr>
      <vt:lpstr>focz</vt:lpstr>
      <vt:lpstr>G</vt:lpstr>
      <vt:lpstr>hbio</vt:lpstr>
      <vt:lpstr>hcap</vt:lpstr>
      <vt:lpstr>heff</vt:lpstr>
      <vt:lpstr>kbl</vt:lpstr>
      <vt:lpstr>logKDOC</vt:lpstr>
      <vt:lpstr>logKoc</vt:lpstr>
      <vt:lpstr>logKow</vt:lpstr>
      <vt:lpstr>Pe</vt:lpstr>
      <vt:lpstr>rhoDOC</vt:lpstr>
      <vt:lpstr>rhop</vt:lpstr>
      <vt:lpstr>Sh</vt:lpstr>
      <vt:lpstr>tadv</vt:lpstr>
      <vt:lpstr>tdecay</vt:lpstr>
      <vt:lpstr>tdiff</vt:lpstr>
      <vt:lpstr>tss</vt:lpstr>
      <vt:lpstr>'Transient Conditions'!u</vt:lpstr>
      <vt:lpstr>Ueff</vt:lpstr>
      <vt:lpstr>Vdar</vt:lpstr>
      <vt:lpstr>Vdep</vt:lpstr>
      <vt:lpstr>Wz</vt:lpstr>
      <vt:lpstr>z</vt:lpstr>
    </vt:vector>
  </TitlesOfParts>
  <Company>The University of Texas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 Lampert</dc:creator>
  <cp:lastModifiedBy>dreible</cp:lastModifiedBy>
  <dcterms:created xsi:type="dcterms:W3CDTF">2006-03-27T22:09:15Z</dcterms:created>
  <dcterms:modified xsi:type="dcterms:W3CDTF">2012-06-08T03:03:56Z</dcterms:modified>
</cp:coreProperties>
</file>