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240" yWindow="105" windowWidth="14805" windowHeight="8010"/>
  </bookViews>
  <sheets>
    <sheet name="PRC model" sheetId="2" r:id="rId1"/>
    <sheet name="fitted_R" sheetId="3" r:id="rId2"/>
    <sheet name="cyl_fitted_plot" sheetId="4" r:id="rId3"/>
    <sheet name="fitted_RD" sheetId="5" r:id="rId4"/>
    <sheet name="rec_fitted_plot" sheetId="6" r:id="rId5"/>
    <sheet name="fitted_ke" sheetId="8" r:id="rId6"/>
    <sheet name="kinetic_fitted_plot" sheetId="7" r:id="rId7"/>
    <sheet name="Kow_fitting" sheetId="9" r:id="rId8"/>
  </sheets>
  <functionGroups builtInGroupCount="17"/>
  <externalReferences>
    <externalReference r:id="rId9"/>
  </externalReferences>
  <definedNames>
    <definedName name="alpha">'PRC model'!#REF!</definedName>
    <definedName name="beta">'PRC model'!#REF!</definedName>
    <definedName name="D">'PRC model'!#REF!</definedName>
    <definedName name="Li">'PRC model'!$C$7</definedName>
    <definedName name="Lo">'PRC model'!$C$8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'PRC model'!#REF!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t">'PRC model'!$C$9</definedName>
  </definedNames>
  <calcPr calcId="145621"/>
</workbook>
</file>

<file path=xl/calcChain.xml><?xml version="1.0" encoding="utf-8"?>
<calcChain xmlns="http://schemas.openxmlformats.org/spreadsheetml/2006/main">
  <c r="N3" i="3" l="1"/>
  <c r="O3" i="3"/>
  <c r="W12" i="2"/>
  <c r="V12" i="2"/>
  <c r="U12" i="2"/>
  <c r="M12" i="2"/>
  <c r="K12" i="2"/>
  <c r="Q12" i="2"/>
  <c r="O12" i="2"/>
  <c r="T12" i="2"/>
  <c r="L12" i="2"/>
  <c r="S12" i="2"/>
  <c r="J12" i="2"/>
  <c r="P12" i="2"/>
  <c r="N12" i="2"/>
  <c r="R12" i="2"/>
  <c r="C2" i="9" l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2" i="9"/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2" i="9"/>
  <c r="A4" i="9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3" i="9"/>
  <c r="A41" i="2" l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B22" i="2" l="1"/>
  <c r="C4" i="7" l="1"/>
  <c r="D4" i="7" s="1"/>
  <c r="C5" i="7"/>
  <c r="D5" i="7" s="1"/>
  <c r="C6" i="7"/>
  <c r="D6" i="7" s="1"/>
  <c r="C7" i="7"/>
  <c r="D7" i="7" s="1"/>
  <c r="C8" i="7"/>
  <c r="D8" i="7" s="1"/>
  <c r="C9" i="7"/>
  <c r="D9" i="7" s="1"/>
  <c r="C10" i="7"/>
  <c r="D10" i="7" s="1"/>
  <c r="C11" i="7"/>
  <c r="D11" i="7" s="1"/>
  <c r="C12" i="7"/>
  <c r="D12" i="7" s="1"/>
  <c r="C13" i="7"/>
  <c r="D13" i="7" s="1"/>
  <c r="C14" i="7"/>
  <c r="D14" i="7" s="1"/>
  <c r="C15" i="7"/>
  <c r="D15" i="7" s="1"/>
  <c r="C16" i="7"/>
  <c r="D16" i="7" s="1"/>
  <c r="C17" i="7"/>
  <c r="D17" i="7" s="1"/>
  <c r="C18" i="7"/>
  <c r="D18" i="7" s="1"/>
  <c r="C19" i="7"/>
  <c r="D19" i="7" s="1"/>
  <c r="C20" i="7"/>
  <c r="D20" i="7" s="1"/>
  <c r="C21" i="7"/>
  <c r="D21" i="7" s="1"/>
  <c r="C22" i="7"/>
  <c r="D22" i="7" s="1"/>
  <c r="C23" i="7"/>
  <c r="D23" i="7" s="1"/>
  <c r="C24" i="7"/>
  <c r="D24" i="7" s="1"/>
  <c r="C25" i="7"/>
  <c r="D25" i="7" s="1"/>
  <c r="C26" i="7"/>
  <c r="D26" i="7" s="1"/>
  <c r="C27" i="7"/>
  <c r="D27" i="7" s="1"/>
  <c r="C28" i="7"/>
  <c r="D28" i="7" s="1"/>
  <c r="C29" i="7"/>
  <c r="D29" i="7" s="1"/>
  <c r="C30" i="7"/>
  <c r="D30" i="7" s="1"/>
  <c r="C31" i="7"/>
  <c r="D31" i="7" s="1"/>
  <c r="C32" i="7"/>
  <c r="D32" i="7" s="1"/>
  <c r="C33" i="7"/>
  <c r="D33" i="7" s="1"/>
  <c r="C34" i="7"/>
  <c r="D34" i="7" s="1"/>
  <c r="C35" i="7"/>
  <c r="D35" i="7" s="1"/>
  <c r="C36" i="7"/>
  <c r="D36" i="7" s="1"/>
  <c r="C37" i="7"/>
  <c r="D37" i="7" s="1"/>
  <c r="C38" i="7"/>
  <c r="D38" i="7" s="1"/>
  <c r="C39" i="7"/>
  <c r="D39" i="7" s="1"/>
  <c r="C40" i="7"/>
  <c r="D40" i="7" s="1"/>
  <c r="C41" i="7"/>
  <c r="D41" i="7" s="1"/>
  <c r="C42" i="7"/>
  <c r="D42" i="7" s="1"/>
  <c r="C43" i="7"/>
  <c r="D43" i="7" s="1"/>
  <c r="C44" i="7"/>
  <c r="D44" i="7" s="1"/>
  <c r="C45" i="7"/>
  <c r="D45" i="7" s="1"/>
  <c r="C46" i="7"/>
  <c r="D46" i="7" s="1"/>
  <c r="C47" i="7"/>
  <c r="D47" i="7" s="1"/>
  <c r="C48" i="7"/>
  <c r="D48" i="7" s="1"/>
  <c r="C49" i="7"/>
  <c r="D49" i="7" s="1"/>
  <c r="C50" i="7"/>
  <c r="D50" i="7" s="1"/>
  <c r="C51" i="7"/>
  <c r="D51" i="7" s="1"/>
  <c r="C52" i="7"/>
  <c r="D52" i="7" s="1"/>
  <c r="C53" i="7"/>
  <c r="D53" i="7" s="1"/>
  <c r="C54" i="7"/>
  <c r="D54" i="7" s="1"/>
  <c r="C55" i="7"/>
  <c r="D55" i="7" s="1"/>
  <c r="C56" i="7"/>
  <c r="D56" i="7" s="1"/>
  <c r="C57" i="7"/>
  <c r="D57" i="7" s="1"/>
  <c r="C58" i="7"/>
  <c r="D58" i="7" s="1"/>
  <c r="C59" i="7"/>
  <c r="D59" i="7" s="1"/>
  <c r="C60" i="7"/>
  <c r="D60" i="7" s="1"/>
  <c r="C61" i="7"/>
  <c r="D61" i="7" s="1"/>
  <c r="C62" i="7"/>
  <c r="D62" i="7" s="1"/>
  <c r="C63" i="7"/>
  <c r="D63" i="7" s="1"/>
  <c r="C64" i="7"/>
  <c r="D64" i="7" s="1"/>
  <c r="C65" i="7"/>
  <c r="D65" i="7" s="1"/>
  <c r="C66" i="7"/>
  <c r="D66" i="7" s="1"/>
  <c r="C67" i="7"/>
  <c r="D67" i="7" s="1"/>
  <c r="C68" i="7"/>
  <c r="D68" i="7" s="1"/>
  <c r="C69" i="7"/>
  <c r="D69" i="7" s="1"/>
  <c r="C70" i="7"/>
  <c r="D70" i="7" s="1"/>
  <c r="C71" i="7"/>
  <c r="D71" i="7" s="1"/>
  <c r="C72" i="7"/>
  <c r="D72" i="7" s="1"/>
  <c r="C73" i="7"/>
  <c r="D73" i="7" s="1"/>
  <c r="C74" i="7"/>
  <c r="D74" i="7" s="1"/>
  <c r="C75" i="7"/>
  <c r="D75" i="7" s="1"/>
  <c r="C76" i="7"/>
  <c r="D76" i="7" s="1"/>
  <c r="C77" i="7"/>
  <c r="D77" i="7" s="1"/>
  <c r="C78" i="7"/>
  <c r="D78" i="7" s="1"/>
  <c r="C79" i="7"/>
  <c r="D79" i="7" s="1"/>
  <c r="C80" i="7"/>
  <c r="D80" i="7" s="1"/>
  <c r="C81" i="7"/>
  <c r="D81" i="7" s="1"/>
  <c r="C82" i="7"/>
  <c r="D82" i="7" s="1"/>
  <c r="C83" i="7"/>
  <c r="D83" i="7" s="1"/>
  <c r="C84" i="7"/>
  <c r="D84" i="7" s="1"/>
  <c r="C85" i="7"/>
  <c r="D85" i="7" s="1"/>
  <c r="C86" i="7"/>
  <c r="D86" i="7" s="1"/>
  <c r="C87" i="7"/>
  <c r="D87" i="7" s="1"/>
  <c r="C88" i="7"/>
  <c r="D88" i="7" s="1"/>
  <c r="C89" i="7"/>
  <c r="D89" i="7" s="1"/>
  <c r="C90" i="7"/>
  <c r="D90" i="7" s="1"/>
  <c r="C3" i="7"/>
  <c r="D3" i="7" s="1"/>
  <c r="D4" i="6" l="1"/>
  <c r="E4" i="6" s="1"/>
  <c r="D5" i="6"/>
  <c r="E5" i="6" s="1"/>
  <c r="D6" i="6"/>
  <c r="E6" i="6" s="1"/>
  <c r="D7" i="6"/>
  <c r="E7" i="6" s="1"/>
  <c r="D8" i="6"/>
  <c r="E8" i="6" s="1"/>
  <c r="D9" i="6"/>
  <c r="E9" i="6" s="1"/>
  <c r="D10" i="6"/>
  <c r="E10" i="6" s="1"/>
  <c r="D11" i="6"/>
  <c r="E11" i="6" s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D39" i="6"/>
  <c r="E39" i="6" s="1"/>
  <c r="D40" i="6"/>
  <c r="E40" i="6" s="1"/>
  <c r="D41" i="6"/>
  <c r="E41" i="6" s="1"/>
  <c r="D42" i="6"/>
  <c r="E42" i="6" s="1"/>
  <c r="D43" i="6"/>
  <c r="E43" i="6" s="1"/>
  <c r="D44" i="6"/>
  <c r="E44" i="6" s="1"/>
  <c r="D45" i="6"/>
  <c r="E45" i="6" s="1"/>
  <c r="D46" i="6"/>
  <c r="E46" i="6" s="1"/>
  <c r="D47" i="6"/>
  <c r="E47" i="6" s="1"/>
  <c r="D48" i="6"/>
  <c r="E48" i="6" s="1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D56" i="6"/>
  <c r="E56" i="6" s="1"/>
  <c r="D57" i="6"/>
  <c r="E57" i="6" s="1"/>
  <c r="D58" i="6"/>
  <c r="E58" i="6" s="1"/>
  <c r="D59" i="6"/>
  <c r="E59" i="6" s="1"/>
  <c r="D60" i="6"/>
  <c r="E60" i="6" s="1"/>
  <c r="D61" i="6"/>
  <c r="E61" i="6" s="1"/>
  <c r="D62" i="6"/>
  <c r="E62" i="6" s="1"/>
  <c r="D63" i="6"/>
  <c r="E63" i="6" s="1"/>
  <c r="D64" i="6"/>
  <c r="E64" i="6" s="1"/>
  <c r="D65" i="6"/>
  <c r="E65" i="6" s="1"/>
  <c r="D66" i="6"/>
  <c r="E66" i="6" s="1"/>
  <c r="D67" i="6"/>
  <c r="E67" i="6" s="1"/>
  <c r="D68" i="6"/>
  <c r="E68" i="6" s="1"/>
  <c r="D69" i="6"/>
  <c r="E69" i="6" s="1"/>
  <c r="D70" i="6"/>
  <c r="E70" i="6" s="1"/>
  <c r="D71" i="6"/>
  <c r="E71" i="6" s="1"/>
  <c r="D72" i="6"/>
  <c r="E72" i="6" s="1"/>
  <c r="D73" i="6"/>
  <c r="E73" i="6" s="1"/>
  <c r="D74" i="6"/>
  <c r="E74" i="6" s="1"/>
  <c r="D75" i="6"/>
  <c r="E75" i="6" s="1"/>
  <c r="D76" i="6"/>
  <c r="E76" i="6" s="1"/>
  <c r="D77" i="6"/>
  <c r="E77" i="6" s="1"/>
  <c r="D78" i="6"/>
  <c r="E78" i="6" s="1"/>
  <c r="D79" i="6"/>
  <c r="E79" i="6" s="1"/>
  <c r="D80" i="6"/>
  <c r="E80" i="6" s="1"/>
  <c r="D81" i="6"/>
  <c r="E81" i="6" s="1"/>
  <c r="D82" i="6"/>
  <c r="E82" i="6" s="1"/>
  <c r="D83" i="6"/>
  <c r="E83" i="6" s="1"/>
  <c r="D84" i="6"/>
  <c r="E84" i="6" s="1"/>
  <c r="D85" i="6"/>
  <c r="E85" i="6" s="1"/>
  <c r="D86" i="6"/>
  <c r="E86" i="6" s="1"/>
  <c r="D87" i="6"/>
  <c r="E87" i="6" s="1"/>
  <c r="D88" i="6"/>
  <c r="E88" i="6" s="1"/>
  <c r="D89" i="6"/>
  <c r="E89" i="6" s="1"/>
  <c r="D90" i="6"/>
  <c r="E90" i="6" s="1"/>
  <c r="D3" i="6"/>
  <c r="E3" i="6" s="1"/>
  <c r="D20" i="4" l="1"/>
  <c r="F20" i="4" s="1"/>
  <c r="D21" i="4"/>
  <c r="F21" i="4" s="1"/>
  <c r="D22" i="4"/>
  <c r="F22" i="4" s="1"/>
  <c r="D23" i="4"/>
  <c r="F23" i="4" s="1"/>
  <c r="D24" i="4"/>
  <c r="F24" i="4" s="1"/>
  <c r="D25" i="4"/>
  <c r="F25" i="4" s="1"/>
  <c r="M2" i="3" l="1"/>
  <c r="L2" i="3"/>
  <c r="T2" i="3"/>
  <c r="P2" i="3"/>
  <c r="S2" i="3"/>
  <c r="U2" i="3"/>
  <c r="O2" i="3"/>
  <c r="K2" i="3"/>
  <c r="Q2" i="3"/>
  <c r="R2" i="3"/>
  <c r="N2" i="3"/>
  <c r="V2" i="3"/>
  <c r="L2" i="5"/>
  <c r="L2" i="8"/>
  <c r="O2" i="8"/>
  <c r="O2" i="5"/>
  <c r="K2" i="5"/>
  <c r="K2" i="8"/>
  <c r="R2" i="8"/>
  <c r="R2" i="5"/>
  <c r="M2" i="5"/>
  <c r="M2" i="8"/>
  <c r="S2" i="8"/>
  <c r="S2" i="5"/>
  <c r="P2" i="8"/>
  <c r="P2" i="5"/>
  <c r="T2" i="8"/>
  <c r="T2" i="5"/>
  <c r="U2" i="8"/>
  <c r="U2" i="5"/>
  <c r="J2" i="5"/>
  <c r="J2" i="8"/>
  <c r="N2" i="8"/>
  <c r="N2" i="5"/>
  <c r="Q2" i="8"/>
  <c r="Q2" i="5"/>
  <c r="D14" i="4"/>
  <c r="F14" i="4" s="1"/>
  <c r="D15" i="4"/>
  <c r="F15" i="4" s="1"/>
  <c r="D16" i="4"/>
  <c r="F16" i="4" s="1"/>
  <c r="D17" i="4"/>
  <c r="F17" i="4" s="1"/>
  <c r="D18" i="4"/>
  <c r="F18" i="4" s="1"/>
  <c r="D19" i="4"/>
  <c r="F19" i="4" s="1"/>
  <c r="D26" i="4"/>
  <c r="F26" i="4" s="1"/>
  <c r="D27" i="4"/>
  <c r="F27" i="4" s="1"/>
  <c r="D3" i="4" l="1"/>
  <c r="F3" i="4" s="1"/>
  <c r="E3" i="4" l="1"/>
  <c r="D4" i="4"/>
  <c r="F4" i="4" s="1"/>
  <c r="D5" i="4"/>
  <c r="F5" i="4" s="1"/>
  <c r="D6" i="4"/>
  <c r="F6" i="4" s="1"/>
  <c r="D7" i="4"/>
  <c r="F7" i="4" s="1"/>
  <c r="D8" i="4"/>
  <c r="F8" i="4" s="1"/>
  <c r="D9" i="4"/>
  <c r="F9" i="4" s="1"/>
  <c r="D10" i="4"/>
  <c r="F10" i="4" s="1"/>
  <c r="D11" i="4"/>
  <c r="F11" i="4" s="1"/>
  <c r="D12" i="4"/>
  <c r="F12" i="4" s="1"/>
  <c r="D13" i="4"/>
  <c r="F13" i="4" s="1"/>
  <c r="D28" i="4"/>
  <c r="F28" i="4" s="1"/>
  <c r="D29" i="4"/>
  <c r="F29" i="4" s="1"/>
  <c r="D30" i="4"/>
  <c r="F30" i="4" s="1"/>
  <c r="D31" i="4"/>
  <c r="F31" i="4" s="1"/>
  <c r="D32" i="4"/>
  <c r="F32" i="4" s="1"/>
  <c r="D33" i="4"/>
  <c r="F33" i="4" s="1"/>
  <c r="D34" i="4"/>
  <c r="F34" i="4" s="1"/>
  <c r="D35" i="4"/>
  <c r="F35" i="4" s="1"/>
  <c r="D36" i="4"/>
  <c r="F36" i="4" s="1"/>
  <c r="D37" i="4"/>
  <c r="F37" i="4" s="1"/>
  <c r="D38" i="4"/>
  <c r="F38" i="4" s="1"/>
  <c r="D39" i="4"/>
  <c r="F39" i="4" s="1"/>
  <c r="D40" i="4"/>
  <c r="F40" i="4" s="1"/>
  <c r="D41" i="4"/>
  <c r="F41" i="4" s="1"/>
  <c r="D42" i="4"/>
  <c r="F42" i="4" s="1"/>
  <c r="D43" i="4"/>
  <c r="F43" i="4" s="1"/>
  <c r="D44" i="4"/>
  <c r="F44" i="4" s="1"/>
  <c r="D45" i="4"/>
  <c r="F45" i="4" s="1"/>
  <c r="D46" i="4"/>
  <c r="F46" i="4" s="1"/>
  <c r="D47" i="4"/>
  <c r="F47" i="4" s="1"/>
  <c r="D48" i="4"/>
  <c r="F48" i="4" s="1"/>
  <c r="D49" i="4"/>
  <c r="F49" i="4" s="1"/>
  <c r="D50" i="4"/>
  <c r="F50" i="4" s="1"/>
  <c r="D51" i="4"/>
  <c r="F51" i="4" s="1"/>
  <c r="D52" i="4"/>
  <c r="F52" i="4" s="1"/>
  <c r="D53" i="4"/>
  <c r="F53" i="4" s="1"/>
  <c r="D54" i="4"/>
  <c r="F54" i="4" s="1"/>
  <c r="D55" i="4"/>
  <c r="F55" i="4" s="1"/>
  <c r="D56" i="4"/>
  <c r="F56" i="4" s="1"/>
  <c r="D57" i="4"/>
  <c r="F57" i="4" s="1"/>
  <c r="D58" i="4"/>
  <c r="F58" i="4" s="1"/>
  <c r="D59" i="4"/>
  <c r="F59" i="4" s="1"/>
  <c r="D60" i="4"/>
  <c r="F60" i="4" s="1"/>
  <c r="D61" i="4"/>
  <c r="F61" i="4" s="1"/>
  <c r="D62" i="4"/>
  <c r="F62" i="4" s="1"/>
  <c r="D63" i="4"/>
  <c r="F63" i="4" s="1"/>
  <c r="D64" i="4"/>
  <c r="F64" i="4" s="1"/>
  <c r="D65" i="4"/>
  <c r="F65" i="4" s="1"/>
  <c r="D66" i="4"/>
  <c r="F66" i="4" s="1"/>
  <c r="D67" i="4"/>
  <c r="F67" i="4" s="1"/>
  <c r="D68" i="4"/>
  <c r="F68" i="4" s="1"/>
  <c r="D69" i="4"/>
  <c r="F69" i="4" s="1"/>
  <c r="D70" i="4"/>
  <c r="F70" i="4" s="1"/>
  <c r="D71" i="4"/>
  <c r="F71" i="4" s="1"/>
  <c r="D72" i="4"/>
  <c r="F72" i="4" s="1"/>
  <c r="D73" i="4"/>
  <c r="F73" i="4" s="1"/>
  <c r="D74" i="4"/>
  <c r="F74" i="4" s="1"/>
  <c r="D75" i="4"/>
  <c r="F75" i="4" s="1"/>
  <c r="D76" i="4"/>
  <c r="F76" i="4" s="1"/>
  <c r="D77" i="4"/>
  <c r="F77" i="4" s="1"/>
  <c r="D78" i="4"/>
  <c r="F78" i="4" s="1"/>
  <c r="D79" i="4"/>
  <c r="F79" i="4" s="1"/>
  <c r="D80" i="4"/>
  <c r="F80" i="4" s="1"/>
  <c r="D81" i="4"/>
  <c r="F81" i="4" s="1"/>
  <c r="D82" i="4"/>
  <c r="F82" i="4" s="1"/>
  <c r="D83" i="4"/>
  <c r="F83" i="4" s="1"/>
  <c r="D84" i="4"/>
  <c r="F84" i="4" s="1"/>
  <c r="D85" i="4"/>
  <c r="F85" i="4" s="1"/>
  <c r="D86" i="4"/>
  <c r="F86" i="4" s="1"/>
  <c r="D87" i="4"/>
  <c r="F87" i="4" s="1"/>
  <c r="D88" i="4"/>
  <c r="F88" i="4" s="1"/>
  <c r="D89" i="4"/>
  <c r="F89" i="4" s="1"/>
  <c r="D90" i="4"/>
  <c r="F90" i="4" s="1"/>
  <c r="G3" i="4" l="1"/>
  <c r="E57" i="4"/>
  <c r="E16" i="4"/>
  <c r="E54" i="4"/>
  <c r="E73" i="4"/>
  <c r="E13" i="4"/>
  <c r="E71" i="4"/>
  <c r="E50" i="4"/>
  <c r="E30" i="4"/>
  <c r="E10" i="4"/>
  <c r="E36" i="4"/>
  <c r="E75" i="4"/>
  <c r="E74" i="4"/>
  <c r="E52" i="4"/>
  <c r="E49" i="4"/>
  <c r="E27" i="4"/>
  <c r="E66" i="4"/>
  <c r="E44" i="4"/>
  <c r="E4" i="4"/>
  <c r="E17" i="4"/>
  <c r="E55" i="4"/>
  <c r="E32" i="4"/>
  <c r="E29" i="4"/>
  <c r="E88" i="4"/>
  <c r="E26" i="4"/>
  <c r="E85" i="4"/>
  <c r="G85" i="4" s="1"/>
  <c r="E83" i="4"/>
  <c r="E23" i="4"/>
  <c r="E77" i="4"/>
  <c r="E76" i="4"/>
  <c r="E53" i="4"/>
  <c r="E72" i="4"/>
  <c r="E8" i="4"/>
  <c r="E67" i="4"/>
  <c r="E25" i="4"/>
  <c r="E62" i="4"/>
  <c r="E22" i="4"/>
  <c r="E14" i="4"/>
  <c r="E51" i="4"/>
  <c r="E70" i="4"/>
  <c r="E69" i="4"/>
  <c r="E48" i="4"/>
  <c r="E87" i="4"/>
  <c r="G87" i="4" s="1"/>
  <c r="E46" i="4"/>
  <c r="E65" i="4"/>
  <c r="E64" i="4"/>
  <c r="E61" i="4"/>
  <c r="E21" i="4"/>
  <c r="E34" i="4"/>
  <c r="E11" i="4"/>
  <c r="E28" i="4"/>
  <c r="E5" i="4"/>
  <c r="E42" i="4"/>
  <c r="E20" i="4"/>
  <c r="E37" i="4"/>
  <c r="E56" i="4"/>
  <c r="E35" i="4"/>
  <c r="E33" i="4"/>
  <c r="E12" i="4"/>
  <c r="E9" i="4"/>
  <c r="E68" i="4"/>
  <c r="E47" i="4"/>
  <c r="E86" i="4"/>
  <c r="G86" i="4" s="1"/>
  <c r="E6" i="4"/>
  <c r="E84" i="4"/>
  <c r="G84" i="4" s="1"/>
  <c r="E24" i="4"/>
  <c r="E63" i="4"/>
  <c r="E82" i="4"/>
  <c r="E81" i="4"/>
  <c r="E41" i="4"/>
  <c r="E80" i="4"/>
  <c r="E60" i="4"/>
  <c r="E40" i="4"/>
  <c r="E79" i="4"/>
  <c r="E59" i="4"/>
  <c r="E39" i="4"/>
  <c r="E19" i="4"/>
  <c r="E15" i="4"/>
  <c r="E31" i="4"/>
  <c r="E90" i="4"/>
  <c r="G90" i="4" s="1"/>
  <c r="E89" i="4"/>
  <c r="E7" i="4"/>
  <c r="E45" i="4"/>
  <c r="E43" i="4"/>
  <c r="E78" i="4"/>
  <c r="E58" i="4"/>
  <c r="E38" i="4"/>
  <c r="E18" i="4"/>
  <c r="H85" i="4"/>
  <c r="H3" i="4"/>
  <c r="G81" i="4" l="1"/>
  <c r="G82" i="4"/>
  <c r="G28" i="4"/>
  <c r="G68" i="4"/>
  <c r="G17" i="4"/>
  <c r="G31" i="4"/>
  <c r="G12" i="4"/>
  <c r="G34" i="4"/>
  <c r="G51" i="4"/>
  <c r="G77" i="4"/>
  <c r="G4" i="4"/>
  <c r="G30" i="4"/>
  <c r="G18" i="4"/>
  <c r="G15" i="4"/>
  <c r="G33" i="4"/>
  <c r="G21" i="4"/>
  <c r="G14" i="4"/>
  <c r="G23" i="4"/>
  <c r="G44" i="4"/>
  <c r="G50" i="4"/>
  <c r="G89" i="4"/>
  <c r="G9" i="4"/>
  <c r="G38" i="4"/>
  <c r="G35" i="4"/>
  <c r="G78" i="4"/>
  <c r="G37" i="4"/>
  <c r="G65" i="4"/>
  <c r="G25" i="4"/>
  <c r="G26" i="4"/>
  <c r="G49" i="4"/>
  <c r="G73" i="4"/>
  <c r="G63" i="4"/>
  <c r="G24" i="4"/>
  <c r="G69" i="4"/>
  <c r="G10" i="4"/>
  <c r="G62" i="4"/>
  <c r="G43" i="4"/>
  <c r="G20" i="4"/>
  <c r="G46" i="4"/>
  <c r="G67" i="4"/>
  <c r="G88" i="4"/>
  <c r="G52" i="4"/>
  <c r="G54" i="4"/>
  <c r="G55" i="4"/>
  <c r="G11" i="4"/>
  <c r="G66" i="4"/>
  <c r="G27" i="4"/>
  <c r="G36" i="4"/>
  <c r="G70" i="4"/>
  <c r="G83" i="4"/>
  <c r="G59" i="4"/>
  <c r="G45" i="4"/>
  <c r="G29" i="4"/>
  <c r="G74" i="4"/>
  <c r="G16" i="4"/>
  <c r="G80" i="4"/>
  <c r="G53" i="4"/>
  <c r="G41" i="4"/>
  <c r="G76" i="4"/>
  <c r="G19" i="4"/>
  <c r="G61" i="4"/>
  <c r="G71" i="4"/>
  <c r="G39" i="4"/>
  <c r="G56" i="4"/>
  <c r="G13" i="4"/>
  <c r="G79" i="4"/>
  <c r="G6" i="4"/>
  <c r="G40" i="4"/>
  <c r="G42" i="4"/>
  <c r="G8" i="4"/>
  <c r="G22" i="4"/>
  <c r="G58" i="4"/>
  <c r="G64" i="4"/>
  <c r="G7" i="4"/>
  <c r="G60" i="4"/>
  <c r="G47" i="4"/>
  <c r="G5" i="4"/>
  <c r="G48" i="4"/>
  <c r="G72" i="4"/>
  <c r="G32" i="4"/>
  <c r="G75" i="4"/>
  <c r="G57" i="4"/>
  <c r="H58" i="4"/>
  <c r="H72" i="4"/>
  <c r="H39" i="4"/>
  <c r="H67" i="4"/>
  <c r="H78" i="4"/>
  <c r="H69" i="4"/>
  <c r="H44" i="4"/>
  <c r="H17" i="4"/>
  <c r="H15" i="4"/>
  <c r="H75" i="4"/>
  <c r="H53" i="4"/>
  <c r="H32" i="4"/>
  <c r="H36" i="4"/>
  <c r="H24" i="4"/>
  <c r="H52" i="4"/>
  <c r="H65" i="4"/>
  <c r="H18" i="4"/>
  <c r="H9" i="4"/>
  <c r="H13" i="4"/>
  <c r="X12" i="2"/>
  <c r="I12" i="2"/>
  <c r="E12" i="2"/>
  <c r="D12" i="2"/>
  <c r="H87" i="4"/>
  <c r="H45" i="4"/>
  <c r="H25" i="4"/>
  <c r="H30" i="4"/>
  <c r="H80" i="4"/>
  <c r="H88" i="4"/>
  <c r="H83" i="4"/>
  <c r="H54" i="4"/>
  <c r="H26" i="4"/>
  <c r="H20" i="4"/>
  <c r="H19" i="4"/>
  <c r="Y12" i="2"/>
  <c r="G12" i="2"/>
  <c r="B12" i="2"/>
  <c r="Z12" i="2"/>
  <c r="H89" i="4"/>
  <c r="H84" i="4"/>
  <c r="H90" i="4"/>
  <c r="H40" i="4"/>
  <c r="H56" i="4"/>
  <c r="H70" i="4"/>
  <c r="H41" i="4"/>
  <c r="H59" i="4"/>
  <c r="H11" i="4"/>
  <c r="H8" i="4"/>
  <c r="H23" i="4"/>
  <c r="C12" i="2"/>
  <c r="H14" i="4"/>
  <c r="H43" i="4"/>
  <c r="H49" i="4"/>
  <c r="H33" i="4"/>
  <c r="H86" i="4"/>
  <c r="H64" i="4"/>
  <c r="H57" i="4"/>
  <c r="H79" i="4"/>
  <c r="H76" i="4"/>
  <c r="H29" i="4"/>
  <c r="H12" i="4"/>
  <c r="H7" i="4"/>
  <c r="H12" i="2"/>
  <c r="H4" i="4"/>
  <c r="H61" i="4"/>
  <c r="H66" i="4"/>
  <c r="H38" i="4"/>
  <c r="H34" i="4"/>
  <c r="H50" i="4"/>
  <c r="H82" i="4"/>
  <c r="H62" i="4"/>
  <c r="H60" i="4"/>
  <c r="H5" i="4"/>
  <c r="H27" i="4"/>
  <c r="H42" i="4"/>
  <c r="H74" i="4"/>
  <c r="H73" i="4"/>
  <c r="H35" i="4"/>
  <c r="H81" i="4"/>
  <c r="H77" i="4"/>
  <c r="H47" i="4"/>
  <c r="H68" i="4"/>
  <c r="H22" i="4"/>
  <c r="H16" i="4"/>
  <c r="H10" i="4"/>
  <c r="F12" i="2"/>
  <c r="H6" i="4"/>
  <c r="H48" i="4"/>
  <c r="H71" i="4"/>
  <c r="H46" i="4"/>
  <c r="H63" i="4"/>
  <c r="H51" i="4"/>
  <c r="H37" i="4"/>
  <c r="H28" i="4"/>
  <c r="H55" i="4"/>
  <c r="H31" i="4"/>
  <c r="H21" i="4"/>
  <c r="G2" i="3" l="1"/>
  <c r="H2" i="3"/>
  <c r="F2" i="3"/>
  <c r="C2" i="3"/>
  <c r="J2" i="3"/>
  <c r="I2" i="3"/>
  <c r="E2" i="3"/>
  <c r="D2" i="3"/>
  <c r="I2" i="8"/>
  <c r="I2" i="5"/>
  <c r="H2" i="8"/>
  <c r="H2" i="5"/>
  <c r="E2" i="5"/>
  <c r="E2" i="8"/>
  <c r="C2" i="8"/>
  <c r="C2" i="5"/>
  <c r="G2" i="8"/>
  <c r="G2" i="5"/>
  <c r="F2" i="8"/>
  <c r="F2" i="5"/>
  <c r="B2" i="5"/>
  <c r="B2" i="8"/>
  <c r="D2" i="8"/>
  <c r="D2" i="5"/>
</calcChain>
</file>

<file path=xl/sharedStrings.xml><?xml version="1.0" encoding="utf-8"?>
<sst xmlns="http://schemas.openxmlformats.org/spreadsheetml/2006/main" count="87" uniqueCount="71">
  <si>
    <t>days</t>
  </si>
  <si>
    <t>Li</t>
  </si>
  <si>
    <t>Lo</t>
  </si>
  <si>
    <t>t</t>
  </si>
  <si>
    <t>Parameters</t>
  </si>
  <si>
    <t>Unit</t>
  </si>
  <si>
    <t>Value</t>
  </si>
  <si>
    <t>Symbol</t>
  </si>
  <si>
    <t>Sampling time</t>
  </si>
  <si>
    <t>Number of PRCs</t>
  </si>
  <si>
    <t>PRC #</t>
  </si>
  <si>
    <t>PRC name</t>
  </si>
  <si>
    <t>Kow</t>
  </si>
  <si>
    <t>PCB28</t>
  </si>
  <si>
    <t>PCB101</t>
  </si>
  <si>
    <t>PCB138</t>
  </si>
  <si>
    <t>PCB180</t>
  </si>
  <si>
    <t>PDMS Kfiber</t>
  </si>
  <si>
    <t>Fitted parameter</t>
  </si>
  <si>
    <t>D</t>
  </si>
  <si>
    <t>α</t>
  </si>
  <si>
    <t>β</t>
  </si>
  <si>
    <t>cm</t>
  </si>
  <si>
    <t>Measured PRC fss</t>
  </si>
  <si>
    <t>Effective Diffusivity(cm^2/s)</t>
  </si>
  <si>
    <t>(log(R) = αlog(Kow)+β)</t>
  </si>
  <si>
    <t>R_initial guess</t>
  </si>
  <si>
    <t>Results</t>
  </si>
  <si>
    <t>Compound</t>
  </si>
  <si>
    <t>logKow</t>
  </si>
  <si>
    <t>logR</t>
  </si>
  <si>
    <t>ξ</t>
  </si>
  <si>
    <t>τ</t>
  </si>
  <si>
    <t>ω</t>
  </si>
  <si>
    <t>logKpw</t>
  </si>
  <si>
    <t>fss</t>
  </si>
  <si>
    <t>R_step_size (R(i+1)/R(i))</t>
  </si>
  <si>
    <t>D(cm^2/s)</t>
  </si>
  <si>
    <t>PRC#</t>
  </si>
  <si>
    <t>r^2</t>
  </si>
  <si>
    <t>RD(cm^2/s)</t>
  </si>
  <si>
    <t>logRD</t>
  </si>
  <si>
    <t>a</t>
  </si>
  <si>
    <t>b</t>
  </si>
  <si>
    <t>1st order model</t>
  </si>
  <si>
    <t>Rectangular diffusion model</t>
  </si>
  <si>
    <t>Cylindrical diffusion model</t>
  </si>
  <si>
    <t>(log(R) = α*log(Kow)+β)</t>
  </si>
  <si>
    <t>logke</t>
  </si>
  <si>
    <t>pke[/day]</t>
  </si>
  <si>
    <t>Shen and Reible (2018)</t>
  </si>
  <si>
    <t>(log(ke) = x*log(Kow)+y)</t>
  </si>
  <si>
    <t>x</t>
  </si>
  <si>
    <t>y</t>
  </si>
  <si>
    <t>Fitting parameters</t>
  </si>
  <si>
    <t>PCB52</t>
  </si>
  <si>
    <t>PCB153</t>
  </si>
  <si>
    <t>Inner radius</t>
  </si>
  <si>
    <t>Outer radius</t>
  </si>
  <si>
    <t>PRC CALIBRATION MODEL FOR PDMS SAMPLER</t>
  </si>
  <si>
    <t>Fix a/alpha? (Y or N)</t>
  </si>
  <si>
    <t>a/alpha value</t>
  </si>
  <si>
    <t>log(Kow)</t>
  </si>
  <si>
    <t>log(ke)</t>
  </si>
  <si>
    <t>log(RD)</t>
  </si>
  <si>
    <t>log(R )</t>
  </si>
  <si>
    <t>(log(RD) =a*log(Kow)+b)</t>
  </si>
  <si>
    <t>Best fit</t>
  </si>
  <si>
    <t>Guess</t>
  </si>
  <si>
    <t>Version 1.4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</si>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</sst>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/>
    <xf numFmtId="0" fontId="2" fillId="0" borderId="0" xfId="0" applyFont="1"/>
    <xf numFmtId="14" fontId="0" fillId="0" borderId="0" xfId="0" applyNumberFormat="1"/>
    <xf numFmtId="0" fontId="3" fillId="0" borderId="0" xfId="0" applyNumberFormat="1" applyFont="1"/>
    <xf numFmtId="0" fontId="3" fillId="0" borderId="0" xfId="0" applyFont="1"/>
    <xf numFmtId="0" fontId="4" fillId="0" borderId="0" xfId="0" applyFont="1"/>
    <xf numFmtId="11" fontId="0" fillId="0" borderId="0" xfId="0" applyNumberFormat="1"/>
    <xf numFmtId="0" fontId="0" fillId="0" borderId="0" xfId="0" applyFill="1"/>
    <xf numFmtId="0" fontId="6" fillId="0" borderId="0" xfId="0" applyFont="1"/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microsoft.com/office/2006/relationships/vbaProject" Target="vbaProject.bin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Fitted data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428332328024214"/>
          <c:y val="0.14718253968253969"/>
          <c:w val="0.74618351093763358"/>
          <c:h val="0.67175290588676417"/>
        </c:manualLayout>
      </c:layout>
      <c:scatterChart>
        <c:scatterStyle val="lineMarker"/>
        <c:varyColors val="0"/>
        <c:ser>
          <c:idx val="3"/>
          <c:order val="0"/>
          <c:tx>
            <c:strRef>
              <c:f>'PRC model'!$A$25</c:f>
              <c:strCache>
                <c:ptCount val="1"/>
                <c:pt idx="0">
                  <c:v>1st order model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5"/>
          </c:marker>
          <c:xVal>
            <c:numRef>
              <c:f>kinetic_fitted_plot!$B$3:$B$90</c:f>
              <c:numCache>
                <c:formatCode>General</c:formatCode>
                <c:ptCount val="88"/>
                <c:pt idx="0">
                  <c:v>4.46</c:v>
                </c:pt>
                <c:pt idx="1">
                  <c:v>4.6500000000000004</c:v>
                </c:pt>
                <c:pt idx="2">
                  <c:v>4.84</c:v>
                </c:pt>
                <c:pt idx="3">
                  <c:v>5.0599999999999996</c:v>
                </c:pt>
                <c:pt idx="4">
                  <c:v>5.07</c:v>
                </c:pt>
                <c:pt idx="5">
                  <c:v>5.0599999999999996</c:v>
                </c:pt>
                <c:pt idx="6">
                  <c:v>5.07</c:v>
                </c:pt>
                <c:pt idx="7">
                  <c:v>4.97</c:v>
                </c:pt>
                <c:pt idx="8">
                  <c:v>5.0199999999999996</c:v>
                </c:pt>
                <c:pt idx="9">
                  <c:v>5.24</c:v>
                </c:pt>
                <c:pt idx="10">
                  <c:v>5.25</c:v>
                </c:pt>
                <c:pt idx="11">
                  <c:v>5.44</c:v>
                </c:pt>
                <c:pt idx="12">
                  <c:v>5.35</c:v>
                </c:pt>
                <c:pt idx="13">
                  <c:v>5.44</c:v>
                </c:pt>
                <c:pt idx="14">
                  <c:v>5.16</c:v>
                </c:pt>
                <c:pt idx="15">
                  <c:v>5.66</c:v>
                </c:pt>
                <c:pt idx="16">
                  <c:v>5.67</c:v>
                </c:pt>
                <c:pt idx="17">
                  <c:v>5.67</c:v>
                </c:pt>
                <c:pt idx="18">
                  <c:v>5.67</c:v>
                </c:pt>
                <c:pt idx="19">
                  <c:v>5.57</c:v>
                </c:pt>
                <c:pt idx="20">
                  <c:v>5.58</c:v>
                </c:pt>
                <c:pt idx="21">
                  <c:v>5.84</c:v>
                </c:pt>
                <c:pt idx="22">
                  <c:v>5.85</c:v>
                </c:pt>
                <c:pt idx="23">
                  <c:v>5.75</c:v>
                </c:pt>
                <c:pt idx="24">
                  <c:v>5.76</c:v>
                </c:pt>
                <c:pt idx="25">
                  <c:v>5.98</c:v>
                </c:pt>
                <c:pt idx="26">
                  <c:v>5.69</c:v>
                </c:pt>
                <c:pt idx="27">
                  <c:v>6.22</c:v>
                </c:pt>
                <c:pt idx="28">
                  <c:v>5.66</c:v>
                </c:pt>
                <c:pt idx="29">
                  <c:v>6.2</c:v>
                </c:pt>
                <c:pt idx="30">
                  <c:v>6.2</c:v>
                </c:pt>
                <c:pt idx="31">
                  <c:v>6.2</c:v>
                </c:pt>
                <c:pt idx="32">
                  <c:v>6.13</c:v>
                </c:pt>
                <c:pt idx="33">
                  <c:v>6.04</c:v>
                </c:pt>
                <c:pt idx="34">
                  <c:v>6.11</c:v>
                </c:pt>
                <c:pt idx="35">
                  <c:v>6.11</c:v>
                </c:pt>
                <c:pt idx="36">
                  <c:v>6.35</c:v>
                </c:pt>
                <c:pt idx="37">
                  <c:v>6.04</c:v>
                </c:pt>
                <c:pt idx="38">
                  <c:v>6.38</c:v>
                </c:pt>
                <c:pt idx="39">
                  <c:v>6.39</c:v>
                </c:pt>
                <c:pt idx="40">
                  <c:v>6.58</c:v>
                </c:pt>
                <c:pt idx="41">
                  <c:v>6.26</c:v>
                </c:pt>
                <c:pt idx="42">
                  <c:v>6.29</c:v>
                </c:pt>
                <c:pt idx="43">
                  <c:v>6.36</c:v>
                </c:pt>
                <c:pt idx="44">
                  <c:v>6.22</c:v>
                </c:pt>
                <c:pt idx="45">
                  <c:v>6.48</c:v>
                </c:pt>
                <c:pt idx="46">
                  <c:v>6.36</c:v>
                </c:pt>
                <c:pt idx="47">
                  <c:v>6.2</c:v>
                </c:pt>
                <c:pt idx="48">
                  <c:v>6.64</c:v>
                </c:pt>
                <c:pt idx="49">
                  <c:v>6.64</c:v>
                </c:pt>
                <c:pt idx="50">
                  <c:v>6.67</c:v>
                </c:pt>
                <c:pt idx="51">
                  <c:v>6.71</c:v>
                </c:pt>
                <c:pt idx="52">
                  <c:v>6.74</c:v>
                </c:pt>
                <c:pt idx="53">
                  <c:v>6.67</c:v>
                </c:pt>
                <c:pt idx="54">
                  <c:v>6.74</c:v>
                </c:pt>
                <c:pt idx="55">
                  <c:v>6.55</c:v>
                </c:pt>
                <c:pt idx="56">
                  <c:v>6.89</c:v>
                </c:pt>
                <c:pt idx="57">
                  <c:v>6.92</c:v>
                </c:pt>
                <c:pt idx="58">
                  <c:v>6.58</c:v>
                </c:pt>
                <c:pt idx="59">
                  <c:v>6.65</c:v>
                </c:pt>
                <c:pt idx="60">
                  <c:v>6.82</c:v>
                </c:pt>
                <c:pt idx="61">
                  <c:v>6.73</c:v>
                </c:pt>
                <c:pt idx="62">
                  <c:v>6.99</c:v>
                </c:pt>
                <c:pt idx="63">
                  <c:v>6.83</c:v>
                </c:pt>
                <c:pt idx="64">
                  <c:v>7.02</c:v>
                </c:pt>
                <c:pt idx="65">
                  <c:v>7.14</c:v>
                </c:pt>
                <c:pt idx="66">
                  <c:v>7.17</c:v>
                </c:pt>
                <c:pt idx="67">
                  <c:v>7.2</c:v>
                </c:pt>
                <c:pt idx="68">
                  <c:v>6.74</c:v>
                </c:pt>
                <c:pt idx="69">
                  <c:v>7.27</c:v>
                </c:pt>
                <c:pt idx="70">
                  <c:v>7.11</c:v>
                </c:pt>
                <c:pt idx="71">
                  <c:v>7.08</c:v>
                </c:pt>
                <c:pt idx="72">
                  <c:v>7.11</c:v>
                </c:pt>
                <c:pt idx="73">
                  <c:v>7.18</c:v>
                </c:pt>
                <c:pt idx="74">
                  <c:v>7.18</c:v>
                </c:pt>
                <c:pt idx="75">
                  <c:v>7.02</c:v>
                </c:pt>
                <c:pt idx="76">
                  <c:v>7.33</c:v>
                </c:pt>
                <c:pt idx="77">
                  <c:v>7.36</c:v>
                </c:pt>
                <c:pt idx="78">
                  <c:v>7.52</c:v>
                </c:pt>
                <c:pt idx="79">
                  <c:v>7.55</c:v>
                </c:pt>
                <c:pt idx="80">
                  <c:v>7.27</c:v>
                </c:pt>
                <c:pt idx="81">
                  <c:v>7.46</c:v>
                </c:pt>
                <c:pt idx="82">
                  <c:v>7.62</c:v>
                </c:pt>
                <c:pt idx="83">
                  <c:v>7.65</c:v>
                </c:pt>
                <c:pt idx="84">
                  <c:v>7.65</c:v>
                </c:pt>
                <c:pt idx="85">
                  <c:v>7.56</c:v>
                </c:pt>
                <c:pt idx="86">
                  <c:v>7.8</c:v>
                </c:pt>
                <c:pt idx="87">
                  <c:v>8.18</c:v>
                </c:pt>
              </c:numCache>
            </c:numRef>
          </c:xVal>
          <c:yVal>
            <c:numRef>
              <c:f>kinetic_fitted_plot!$D$3:$D$90</c:f>
              <c:numCache>
                <c:formatCode>General</c:formatCode>
                <c:ptCount val="88"/>
                <c:pt idx="0">
                  <c:v>0.84905376037249747</c:v>
                </c:pt>
                <c:pt idx="1">
                  <c:v>0.80699913757633623</c:v>
                </c:pt>
                <c:pt idx="2">
                  <c:v>0.76098646426702277</c:v>
                </c:pt>
                <c:pt idx="3">
                  <c:v>0.70421588039012817</c:v>
                </c:pt>
                <c:pt idx="4">
                  <c:v>0.70157336196692566</c:v>
                </c:pt>
                <c:pt idx="5">
                  <c:v>0.70421588039012817</c:v>
                </c:pt>
                <c:pt idx="6">
                  <c:v>0.70157336196692566</c:v>
                </c:pt>
                <c:pt idx="7">
                  <c:v>0.72778858570157534</c:v>
                </c:pt>
                <c:pt idx="8">
                  <c:v>0.7147420819908098</c:v>
                </c:pt>
                <c:pt idx="9">
                  <c:v>0.65616320818756713</c:v>
                </c:pt>
                <c:pt idx="10">
                  <c:v>0.65347248975052374</c:v>
                </c:pt>
                <c:pt idx="11">
                  <c:v>0.60229343225956999</c:v>
                </c:pt>
                <c:pt idx="12">
                  <c:v>0.62652523312345465</c:v>
                </c:pt>
                <c:pt idx="13">
                  <c:v>0.60229343225956999</c:v>
                </c:pt>
                <c:pt idx="14">
                  <c:v>0.67762793939989918</c:v>
                </c:pt>
                <c:pt idx="15">
                  <c:v>0.54376612936975999</c:v>
                </c:pt>
                <c:pt idx="16">
                  <c:v>0.54114443598681161</c:v>
                </c:pt>
                <c:pt idx="17">
                  <c:v>0.54114443598681161</c:v>
                </c:pt>
                <c:pt idx="18">
                  <c:v>0.54114443598681161</c:v>
                </c:pt>
                <c:pt idx="19">
                  <c:v>0.56753477063698288</c:v>
                </c:pt>
                <c:pt idx="20">
                  <c:v>0.56487970899034523</c:v>
                </c:pt>
                <c:pt idx="21">
                  <c:v>0.49730392567243709</c:v>
                </c:pt>
                <c:pt idx="22">
                  <c:v>0.4947731263124171</c:v>
                </c:pt>
                <c:pt idx="23">
                  <c:v>0.52033201204525503</c:v>
                </c:pt>
                <c:pt idx="24">
                  <c:v>0.5177520608259043</c:v>
                </c:pt>
                <c:pt idx="25">
                  <c:v>0.46243479668121856</c:v>
                </c:pt>
                <c:pt idx="26">
                  <c:v>0.53591387767757848</c:v>
                </c:pt>
                <c:pt idx="27">
                  <c:v>0.40583384923808818</c:v>
                </c:pt>
                <c:pt idx="28">
                  <c:v>0.54376612936975999</c:v>
                </c:pt>
                <c:pt idx="29">
                  <c:v>0.41038337622223797</c:v>
                </c:pt>
                <c:pt idx="30">
                  <c:v>0.41038337622223797</c:v>
                </c:pt>
                <c:pt idx="31">
                  <c:v>0.41038337622223797</c:v>
                </c:pt>
                <c:pt idx="32">
                  <c:v>0.42655321222987863</c:v>
                </c:pt>
                <c:pt idx="33">
                  <c:v>0.44788776149787846</c:v>
                </c:pt>
                <c:pt idx="34">
                  <c:v>0.43124223067261935</c:v>
                </c:pt>
                <c:pt idx="35">
                  <c:v>0.43124223067261935</c:v>
                </c:pt>
                <c:pt idx="36">
                  <c:v>0.37704985551674097</c:v>
                </c:pt>
                <c:pt idx="37">
                  <c:v>0.44788776149787846</c:v>
                </c:pt>
                <c:pt idx="38">
                  <c:v>0.37060547799063348</c:v>
                </c:pt>
                <c:pt idx="39">
                  <c:v>0.36847413276399843</c:v>
                </c:pt>
                <c:pt idx="40">
                  <c:v>0.32959635091414263</c:v>
                </c:pt>
                <c:pt idx="41">
                  <c:v>0.39683063336742064</c:v>
                </c:pt>
                <c:pt idx="42">
                  <c:v>0.3901631226175144</c:v>
                </c:pt>
                <c:pt idx="43">
                  <c:v>0.37489336028778897</c:v>
                </c:pt>
                <c:pt idx="44">
                  <c:v>0.40583384923808818</c:v>
                </c:pt>
                <c:pt idx="45">
                  <c:v>0.34967315749720074</c:v>
                </c:pt>
                <c:pt idx="46">
                  <c:v>0.37489336028778897</c:v>
                </c:pt>
                <c:pt idx="47">
                  <c:v>0.41038337622223797</c:v>
                </c:pt>
                <c:pt idx="48">
                  <c:v>0.31796450819221977</c:v>
                </c:pt>
                <c:pt idx="49">
                  <c:v>0.31796450819221977</c:v>
                </c:pt>
                <c:pt idx="50">
                  <c:v>0.31226538058204745</c:v>
                </c:pt>
                <c:pt idx="51">
                  <c:v>0.30478763545619181</c:v>
                </c:pt>
                <c:pt idx="52">
                  <c:v>0.29927004259758239</c:v>
                </c:pt>
                <c:pt idx="53">
                  <c:v>0.31226538058204745</c:v>
                </c:pt>
                <c:pt idx="54">
                  <c:v>0.29927004259758239</c:v>
                </c:pt>
                <c:pt idx="55">
                  <c:v>0.33552894957036694</c:v>
                </c:pt>
                <c:pt idx="56">
                  <c:v>0.27284201578624001</c:v>
                </c:pt>
                <c:pt idx="57">
                  <c:v>0.26778656031416481</c:v>
                </c:pt>
                <c:pt idx="58">
                  <c:v>0.32959635091414263</c:v>
                </c:pt>
                <c:pt idx="59">
                  <c:v>0.31605614644277491</c:v>
                </c:pt>
                <c:pt idx="60">
                  <c:v>0.28493538649597971</c:v>
                </c:pt>
                <c:pt idx="61">
                  <c:v>0.301100609143239</c:v>
                </c:pt>
                <c:pt idx="62">
                  <c:v>0.25628504825006715</c:v>
                </c:pt>
                <c:pt idx="63">
                  <c:v>0.28318216918157146</c:v>
                </c:pt>
                <c:pt idx="64">
                  <c:v>0.25148102841662112</c:v>
                </c:pt>
                <c:pt idx="65">
                  <c:v>0.23300412731871545</c:v>
                </c:pt>
                <c:pt idx="66">
                  <c:v>0.22856696410996014</c:v>
                </c:pt>
                <c:pt idx="67">
                  <c:v>0.22420145092861243</c:v>
                </c:pt>
                <c:pt idx="68">
                  <c:v>0.29927004259758239</c:v>
                </c:pt>
                <c:pt idx="69">
                  <c:v>0.21429035168073918</c:v>
                </c:pt>
                <c:pt idx="70">
                  <c:v>0.23751354457165286</c:v>
                </c:pt>
                <c:pt idx="71">
                  <c:v>0.24209579832745987</c:v>
                </c:pt>
                <c:pt idx="72">
                  <c:v>0.23751354457165286</c:v>
                </c:pt>
                <c:pt idx="73">
                  <c:v>0.22710386235642788</c:v>
                </c:pt>
                <c:pt idx="74">
                  <c:v>0.22710386235642788</c:v>
                </c:pt>
                <c:pt idx="75">
                  <c:v>0.25148102841662112</c:v>
                </c:pt>
                <c:pt idx="76">
                  <c:v>0.20609658935009167</c:v>
                </c:pt>
                <c:pt idx="77">
                  <c:v>0.20210223900822299</c:v>
                </c:pt>
                <c:pt idx="78">
                  <c:v>0.18191976591156533</c:v>
                </c:pt>
                <c:pt idx="79">
                  <c:v>0.17833994175913126</c:v>
                </c:pt>
                <c:pt idx="80">
                  <c:v>0.21429035168073918</c:v>
                </c:pt>
                <c:pt idx="81">
                  <c:v>0.18927053887974377</c:v>
                </c:pt>
                <c:pt idx="82">
                  <c:v>0.17022946462255206</c:v>
                </c:pt>
                <c:pt idx="83">
                  <c:v>0.16685558212949203</c:v>
                </c:pt>
                <c:pt idx="84">
                  <c:v>0.16685558212949203</c:v>
                </c:pt>
                <c:pt idx="85">
                  <c:v>0.17716063557516881</c:v>
                </c:pt>
                <c:pt idx="86">
                  <c:v>0.15087179855909749</c:v>
                </c:pt>
                <c:pt idx="87">
                  <c:v>0.11643717780428031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'PRC model'!$A$29</c:f>
              <c:strCache>
                <c:ptCount val="1"/>
                <c:pt idx="0">
                  <c:v>Rectangular diffusion model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xVal>
            <c:numRef>
              <c:f>rec_fitted_plot!$B$3:$B$90</c:f>
              <c:numCache>
                <c:formatCode>General</c:formatCode>
                <c:ptCount val="88"/>
                <c:pt idx="0">
                  <c:v>4.46</c:v>
                </c:pt>
                <c:pt idx="1">
                  <c:v>4.6500000000000004</c:v>
                </c:pt>
                <c:pt idx="2">
                  <c:v>4.84</c:v>
                </c:pt>
                <c:pt idx="3">
                  <c:v>5.0599999999999996</c:v>
                </c:pt>
                <c:pt idx="4">
                  <c:v>5.07</c:v>
                </c:pt>
                <c:pt idx="5">
                  <c:v>5.0599999999999996</c:v>
                </c:pt>
                <c:pt idx="6">
                  <c:v>5.07</c:v>
                </c:pt>
                <c:pt idx="7">
                  <c:v>4.97</c:v>
                </c:pt>
                <c:pt idx="8">
                  <c:v>5.0199999999999996</c:v>
                </c:pt>
                <c:pt idx="9">
                  <c:v>5.24</c:v>
                </c:pt>
                <c:pt idx="10">
                  <c:v>5.25</c:v>
                </c:pt>
                <c:pt idx="11">
                  <c:v>5.44</c:v>
                </c:pt>
                <c:pt idx="12">
                  <c:v>5.35</c:v>
                </c:pt>
                <c:pt idx="13">
                  <c:v>5.44</c:v>
                </c:pt>
                <c:pt idx="14">
                  <c:v>5.16</c:v>
                </c:pt>
                <c:pt idx="15">
                  <c:v>5.66</c:v>
                </c:pt>
                <c:pt idx="16">
                  <c:v>5.67</c:v>
                </c:pt>
                <c:pt idx="17">
                  <c:v>5.67</c:v>
                </c:pt>
                <c:pt idx="18">
                  <c:v>5.67</c:v>
                </c:pt>
                <c:pt idx="19">
                  <c:v>5.57</c:v>
                </c:pt>
                <c:pt idx="20">
                  <c:v>5.58</c:v>
                </c:pt>
                <c:pt idx="21">
                  <c:v>5.84</c:v>
                </c:pt>
                <c:pt idx="22">
                  <c:v>5.85</c:v>
                </c:pt>
                <c:pt idx="23">
                  <c:v>5.75</c:v>
                </c:pt>
                <c:pt idx="24">
                  <c:v>5.76</c:v>
                </c:pt>
                <c:pt idx="25">
                  <c:v>5.98</c:v>
                </c:pt>
                <c:pt idx="26">
                  <c:v>5.69</c:v>
                </c:pt>
                <c:pt idx="27">
                  <c:v>6.22</c:v>
                </c:pt>
                <c:pt idx="28">
                  <c:v>5.66</c:v>
                </c:pt>
                <c:pt idx="29">
                  <c:v>6.2</c:v>
                </c:pt>
                <c:pt idx="30">
                  <c:v>6.2</c:v>
                </c:pt>
                <c:pt idx="31">
                  <c:v>6.2</c:v>
                </c:pt>
                <c:pt idx="32">
                  <c:v>6.13</c:v>
                </c:pt>
                <c:pt idx="33">
                  <c:v>6.04</c:v>
                </c:pt>
                <c:pt idx="34">
                  <c:v>6.11</c:v>
                </c:pt>
                <c:pt idx="35">
                  <c:v>6.11</c:v>
                </c:pt>
                <c:pt idx="36">
                  <c:v>6.35</c:v>
                </c:pt>
                <c:pt idx="37">
                  <c:v>6.04</c:v>
                </c:pt>
                <c:pt idx="38">
                  <c:v>6.38</c:v>
                </c:pt>
                <c:pt idx="39">
                  <c:v>6.39</c:v>
                </c:pt>
                <c:pt idx="40">
                  <c:v>6.58</c:v>
                </c:pt>
                <c:pt idx="41">
                  <c:v>6.26</c:v>
                </c:pt>
                <c:pt idx="42">
                  <c:v>6.29</c:v>
                </c:pt>
                <c:pt idx="43">
                  <c:v>6.36</c:v>
                </c:pt>
                <c:pt idx="44">
                  <c:v>6.22</c:v>
                </c:pt>
                <c:pt idx="45">
                  <c:v>6.48</c:v>
                </c:pt>
                <c:pt idx="46">
                  <c:v>6.36</c:v>
                </c:pt>
                <c:pt idx="47">
                  <c:v>6.2</c:v>
                </c:pt>
                <c:pt idx="48">
                  <c:v>6.64</c:v>
                </c:pt>
                <c:pt idx="49">
                  <c:v>6.64</c:v>
                </c:pt>
                <c:pt idx="50">
                  <c:v>6.67</c:v>
                </c:pt>
                <c:pt idx="51">
                  <c:v>6.71</c:v>
                </c:pt>
                <c:pt idx="52">
                  <c:v>6.74</c:v>
                </c:pt>
                <c:pt idx="53">
                  <c:v>6.67</c:v>
                </c:pt>
                <c:pt idx="54">
                  <c:v>6.74</c:v>
                </c:pt>
                <c:pt idx="55">
                  <c:v>6.55</c:v>
                </c:pt>
                <c:pt idx="56">
                  <c:v>6.89</c:v>
                </c:pt>
                <c:pt idx="57">
                  <c:v>6.92</c:v>
                </c:pt>
                <c:pt idx="58">
                  <c:v>6.58</c:v>
                </c:pt>
                <c:pt idx="59">
                  <c:v>6.65</c:v>
                </c:pt>
                <c:pt idx="60">
                  <c:v>6.82</c:v>
                </c:pt>
                <c:pt idx="61">
                  <c:v>6.73</c:v>
                </c:pt>
                <c:pt idx="62">
                  <c:v>6.99</c:v>
                </c:pt>
                <c:pt idx="63">
                  <c:v>6.83</c:v>
                </c:pt>
                <c:pt idx="64">
                  <c:v>7.02</c:v>
                </c:pt>
                <c:pt idx="65">
                  <c:v>7.14</c:v>
                </c:pt>
                <c:pt idx="66">
                  <c:v>7.17</c:v>
                </c:pt>
                <c:pt idx="67">
                  <c:v>7.2</c:v>
                </c:pt>
                <c:pt idx="68">
                  <c:v>6.74</c:v>
                </c:pt>
                <c:pt idx="69">
                  <c:v>7.27</c:v>
                </c:pt>
                <c:pt idx="70">
                  <c:v>7.11</c:v>
                </c:pt>
                <c:pt idx="71">
                  <c:v>7.08</c:v>
                </c:pt>
                <c:pt idx="72">
                  <c:v>7.11</c:v>
                </c:pt>
                <c:pt idx="73">
                  <c:v>7.18</c:v>
                </c:pt>
                <c:pt idx="74">
                  <c:v>7.18</c:v>
                </c:pt>
                <c:pt idx="75">
                  <c:v>7.02</c:v>
                </c:pt>
                <c:pt idx="76">
                  <c:v>7.33</c:v>
                </c:pt>
                <c:pt idx="77">
                  <c:v>7.36</c:v>
                </c:pt>
                <c:pt idx="78">
                  <c:v>7.52</c:v>
                </c:pt>
                <c:pt idx="79">
                  <c:v>7.55</c:v>
                </c:pt>
                <c:pt idx="80">
                  <c:v>7.27</c:v>
                </c:pt>
                <c:pt idx="81">
                  <c:v>7.46</c:v>
                </c:pt>
                <c:pt idx="82">
                  <c:v>7.62</c:v>
                </c:pt>
                <c:pt idx="83">
                  <c:v>7.65</c:v>
                </c:pt>
                <c:pt idx="84">
                  <c:v>7.65</c:v>
                </c:pt>
                <c:pt idx="85">
                  <c:v>7.56</c:v>
                </c:pt>
                <c:pt idx="86">
                  <c:v>7.8</c:v>
                </c:pt>
                <c:pt idx="87">
                  <c:v>8.18</c:v>
                </c:pt>
              </c:numCache>
            </c:numRef>
          </c:xVal>
          <c:yVal>
            <c:numRef>
              <c:f>rec_fitted_plot!$E$3:$E$90</c:f>
              <c:numCache>
                <c:formatCode>General</c:formatCode>
                <c:ptCount val="88"/>
                <c:pt idx="0">
                  <c:v>0.79929493552134145</c:v>
                </c:pt>
                <c:pt idx="1">
                  <c:v>0.76786728482770827</c:v>
                </c:pt>
                <c:pt idx="2">
                  <c:v>0.73301716038259024</c:v>
                </c:pt>
                <c:pt idx="3">
                  <c:v>0.68864510465098638</c:v>
                </c:pt>
                <c:pt idx="4">
                  <c:v>0.68653365161791502</c:v>
                </c:pt>
                <c:pt idx="5">
                  <c:v>0.68864510465098638</c:v>
                </c:pt>
                <c:pt idx="6">
                  <c:v>0.68653365161791502</c:v>
                </c:pt>
                <c:pt idx="7">
                  <c:v>0.70729004123559425</c:v>
                </c:pt>
                <c:pt idx="8">
                  <c:v>0.69701244259409711</c:v>
                </c:pt>
                <c:pt idx="9">
                  <c:v>0.64952325376948172</c:v>
                </c:pt>
                <c:pt idx="10">
                  <c:v>0.64728527444765294</c:v>
                </c:pt>
                <c:pt idx="11">
                  <c:v>0.60369819653013945</c:v>
                </c:pt>
                <c:pt idx="12">
                  <c:v>0.62458033958481107</c:v>
                </c:pt>
                <c:pt idx="13">
                  <c:v>0.60369819653013945</c:v>
                </c:pt>
                <c:pt idx="14">
                  <c:v>0.66719279964459355</c:v>
                </c:pt>
                <c:pt idx="15">
                  <c:v>0.55137915587992303</c:v>
                </c:pt>
                <c:pt idx="16">
                  <c:v>0.54897231321209083</c:v>
                </c:pt>
                <c:pt idx="17">
                  <c:v>0.54897231321209083</c:v>
                </c:pt>
                <c:pt idx="18">
                  <c:v>0.54897231321209083</c:v>
                </c:pt>
                <c:pt idx="19">
                  <c:v>0.57295155972664458</c:v>
                </c:pt>
                <c:pt idx="20">
                  <c:v>0.57056399117501311</c:v>
                </c:pt>
                <c:pt idx="21">
                  <c:v>0.50791891916279397</c:v>
                </c:pt>
                <c:pt idx="22">
                  <c:v>0.50550282294733462</c:v>
                </c:pt>
                <c:pt idx="23">
                  <c:v>0.52967227117505211</c:v>
                </c:pt>
                <c:pt idx="24">
                  <c:v>0.52725591751429612</c:v>
                </c:pt>
                <c:pt idx="25">
                  <c:v>0.47419327170082626</c:v>
                </c:pt>
                <c:pt idx="26">
                  <c:v>0.54415412732180513</c:v>
                </c:pt>
                <c:pt idx="27">
                  <c:v>0.4175094323420605</c:v>
                </c:pt>
                <c:pt idx="28">
                  <c:v>0.55137915587992303</c:v>
                </c:pt>
                <c:pt idx="29">
                  <c:v>0.42215040331203979</c:v>
                </c:pt>
                <c:pt idx="30">
                  <c:v>0.42215040331203979</c:v>
                </c:pt>
                <c:pt idx="31">
                  <c:v>0.42215040331203979</c:v>
                </c:pt>
                <c:pt idx="32">
                  <c:v>0.43852805473845269</c:v>
                </c:pt>
                <c:pt idx="33">
                  <c:v>0.45984892653791665</c:v>
                </c:pt>
                <c:pt idx="34">
                  <c:v>0.44324251016790872</c:v>
                </c:pt>
                <c:pt idx="35">
                  <c:v>0.44324251016790872</c:v>
                </c:pt>
                <c:pt idx="36">
                  <c:v>0.38782455875258415</c:v>
                </c:pt>
                <c:pt idx="37">
                  <c:v>0.45984892653791665</c:v>
                </c:pt>
                <c:pt idx="38">
                  <c:v>0.38110506676133982</c:v>
                </c:pt>
                <c:pt idx="39">
                  <c:v>0.37887705673563976</c:v>
                </c:pt>
                <c:pt idx="40">
                  <c:v>0.3377710118246674</c:v>
                </c:pt>
                <c:pt idx="41">
                  <c:v>0.40828354295070379</c:v>
                </c:pt>
                <c:pt idx="42">
                  <c:v>0.40141602151908473</c:v>
                </c:pt>
                <c:pt idx="43">
                  <c:v>0.38557889474617935</c:v>
                </c:pt>
                <c:pt idx="44">
                  <c:v>0.4175094323420605</c:v>
                </c:pt>
                <c:pt idx="45">
                  <c:v>0.35910529183566353</c:v>
                </c:pt>
                <c:pt idx="46">
                  <c:v>0.38557889474617935</c:v>
                </c:pt>
                <c:pt idx="47">
                  <c:v>0.42215040331203979</c:v>
                </c:pt>
                <c:pt idx="48">
                  <c:v>0.32531488404267084</c:v>
                </c:pt>
                <c:pt idx="49">
                  <c:v>0.32531488404267084</c:v>
                </c:pt>
                <c:pt idx="50">
                  <c:v>0.31918813076741914</c:v>
                </c:pt>
                <c:pt idx="51">
                  <c:v>0.31112694617414083</c:v>
                </c:pt>
                <c:pt idx="52">
                  <c:v>0.30516335843894016</c:v>
                </c:pt>
                <c:pt idx="53">
                  <c:v>0.31918813076741914</c:v>
                </c:pt>
                <c:pt idx="54">
                  <c:v>0.30516335843894016</c:v>
                </c:pt>
                <c:pt idx="55">
                  <c:v>0.34409769086444064</c:v>
                </c:pt>
                <c:pt idx="56">
                  <c:v>0.27643753677846028</c:v>
                </c:pt>
                <c:pt idx="57">
                  <c:v>0.27091604987475493</c:v>
                </c:pt>
                <c:pt idx="58">
                  <c:v>0.3377710118246674</c:v>
                </c:pt>
                <c:pt idx="59">
                  <c:v>0.32326501853466671</c:v>
                </c:pt>
                <c:pt idx="60">
                  <c:v>0.28961329070933761</c:v>
                </c:pt>
                <c:pt idx="61">
                  <c:v>0.30714330571756265</c:v>
                </c:pt>
                <c:pt idx="62">
                  <c:v>0.25832860485359832</c:v>
                </c:pt>
                <c:pt idx="63">
                  <c:v>0.2877061917297864</c:v>
                </c:pt>
                <c:pt idx="64">
                  <c:v>0.25306177452818768</c:v>
                </c:pt>
                <c:pt idx="65">
                  <c:v>0.23276690818301826</c:v>
                </c:pt>
                <c:pt idx="66">
                  <c:v>0.22788677514319733</c:v>
                </c:pt>
                <c:pt idx="67">
                  <c:v>0.22308404295572526</c:v>
                </c:pt>
                <c:pt idx="68">
                  <c:v>0.30516335843894016</c:v>
                </c:pt>
                <c:pt idx="69">
                  <c:v>0.21217789311840651</c:v>
                </c:pt>
                <c:pt idx="70">
                  <c:v>0.23772450422339664</c:v>
                </c:pt>
                <c:pt idx="71">
                  <c:v>0.2427595651854082</c:v>
                </c:pt>
                <c:pt idx="72">
                  <c:v>0.23772450422339664</c:v>
                </c:pt>
                <c:pt idx="73">
                  <c:v>0.22627726907857304</c:v>
                </c:pt>
                <c:pt idx="74">
                  <c:v>0.22627726907857304</c:v>
                </c:pt>
                <c:pt idx="75">
                  <c:v>0.25306177452818768</c:v>
                </c:pt>
                <c:pt idx="76">
                  <c:v>0.20316257762647305</c:v>
                </c:pt>
                <c:pt idx="77">
                  <c:v>0.19876931475439508</c:v>
                </c:pt>
                <c:pt idx="78">
                  <c:v>0.17660669925754524</c:v>
                </c:pt>
                <c:pt idx="79">
                  <c:v>0.17268498114214792</c:v>
                </c:pt>
                <c:pt idx="80">
                  <c:v>0.21217789311840651</c:v>
                </c:pt>
                <c:pt idx="81">
                  <c:v>0.18466974755468191</c:v>
                </c:pt>
                <c:pt idx="82">
                  <c:v>0.16381464357572673</c:v>
                </c:pt>
                <c:pt idx="83">
                  <c:v>0.1601315918085181</c:v>
                </c:pt>
                <c:pt idx="84">
                  <c:v>0.1601315918085181</c:v>
                </c:pt>
                <c:pt idx="85">
                  <c:v>0.17139385790951966</c:v>
                </c:pt>
                <c:pt idx="86">
                  <c:v>0.14275252929963755</c:v>
                </c:pt>
                <c:pt idx="87">
                  <c:v>0.10588242004482962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'PRC model'!$A$33</c:f>
              <c:strCache>
                <c:ptCount val="1"/>
                <c:pt idx="0">
                  <c:v>Cylindrical diffusion model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cyl_fitted_plot!$B$3:$B$90</c:f>
              <c:numCache>
                <c:formatCode>General</c:formatCode>
                <c:ptCount val="88"/>
                <c:pt idx="0">
                  <c:v>4.46</c:v>
                </c:pt>
                <c:pt idx="1">
                  <c:v>4.6500000000000004</c:v>
                </c:pt>
                <c:pt idx="2">
                  <c:v>4.84</c:v>
                </c:pt>
                <c:pt idx="3">
                  <c:v>5.0599999999999996</c:v>
                </c:pt>
                <c:pt idx="4">
                  <c:v>5.07</c:v>
                </c:pt>
                <c:pt idx="5">
                  <c:v>5.0599999999999996</c:v>
                </c:pt>
                <c:pt idx="6">
                  <c:v>5.07</c:v>
                </c:pt>
                <c:pt idx="7">
                  <c:v>4.97</c:v>
                </c:pt>
                <c:pt idx="8">
                  <c:v>5.0199999999999996</c:v>
                </c:pt>
                <c:pt idx="9">
                  <c:v>5.24</c:v>
                </c:pt>
                <c:pt idx="10">
                  <c:v>5.25</c:v>
                </c:pt>
                <c:pt idx="11">
                  <c:v>5.44</c:v>
                </c:pt>
                <c:pt idx="12">
                  <c:v>5.35</c:v>
                </c:pt>
                <c:pt idx="13">
                  <c:v>5.44</c:v>
                </c:pt>
                <c:pt idx="14">
                  <c:v>5.16</c:v>
                </c:pt>
                <c:pt idx="15">
                  <c:v>5.66</c:v>
                </c:pt>
                <c:pt idx="16">
                  <c:v>5.67</c:v>
                </c:pt>
                <c:pt idx="17">
                  <c:v>5.67</c:v>
                </c:pt>
                <c:pt idx="18">
                  <c:v>5.67</c:v>
                </c:pt>
                <c:pt idx="19">
                  <c:v>5.57</c:v>
                </c:pt>
                <c:pt idx="20">
                  <c:v>5.58</c:v>
                </c:pt>
                <c:pt idx="21">
                  <c:v>5.84</c:v>
                </c:pt>
                <c:pt idx="22">
                  <c:v>5.85</c:v>
                </c:pt>
                <c:pt idx="23">
                  <c:v>5.75</c:v>
                </c:pt>
                <c:pt idx="24">
                  <c:v>5.76</c:v>
                </c:pt>
                <c:pt idx="25">
                  <c:v>5.98</c:v>
                </c:pt>
                <c:pt idx="26">
                  <c:v>5.69</c:v>
                </c:pt>
                <c:pt idx="27">
                  <c:v>6.22</c:v>
                </c:pt>
                <c:pt idx="28">
                  <c:v>5.66</c:v>
                </c:pt>
                <c:pt idx="29">
                  <c:v>6.2</c:v>
                </c:pt>
                <c:pt idx="30">
                  <c:v>6.2</c:v>
                </c:pt>
                <c:pt idx="31">
                  <c:v>6.2</c:v>
                </c:pt>
                <c:pt idx="32">
                  <c:v>6.13</c:v>
                </c:pt>
                <c:pt idx="33">
                  <c:v>6.04</c:v>
                </c:pt>
                <c:pt idx="34">
                  <c:v>6.11</c:v>
                </c:pt>
                <c:pt idx="35">
                  <c:v>6.11</c:v>
                </c:pt>
                <c:pt idx="36">
                  <c:v>6.35</c:v>
                </c:pt>
                <c:pt idx="37">
                  <c:v>6.04</c:v>
                </c:pt>
                <c:pt idx="38">
                  <c:v>6.38</c:v>
                </c:pt>
                <c:pt idx="39">
                  <c:v>6.39</c:v>
                </c:pt>
                <c:pt idx="40">
                  <c:v>6.58</c:v>
                </c:pt>
                <c:pt idx="41">
                  <c:v>6.26</c:v>
                </c:pt>
                <c:pt idx="42">
                  <c:v>6.29</c:v>
                </c:pt>
                <c:pt idx="43">
                  <c:v>6.36</c:v>
                </c:pt>
                <c:pt idx="44">
                  <c:v>6.22</c:v>
                </c:pt>
                <c:pt idx="45">
                  <c:v>6.48</c:v>
                </c:pt>
                <c:pt idx="46">
                  <c:v>6.36</c:v>
                </c:pt>
                <c:pt idx="47">
                  <c:v>6.2</c:v>
                </c:pt>
                <c:pt idx="48">
                  <c:v>6.64</c:v>
                </c:pt>
                <c:pt idx="49">
                  <c:v>6.64</c:v>
                </c:pt>
                <c:pt idx="50">
                  <c:v>6.67</c:v>
                </c:pt>
                <c:pt idx="51">
                  <c:v>6.71</c:v>
                </c:pt>
                <c:pt idx="52">
                  <c:v>6.74</c:v>
                </c:pt>
                <c:pt idx="53">
                  <c:v>6.67</c:v>
                </c:pt>
                <c:pt idx="54">
                  <c:v>6.74</c:v>
                </c:pt>
                <c:pt idx="55">
                  <c:v>6.55</c:v>
                </c:pt>
                <c:pt idx="56">
                  <c:v>6.89</c:v>
                </c:pt>
                <c:pt idx="57">
                  <c:v>6.92</c:v>
                </c:pt>
                <c:pt idx="58">
                  <c:v>6.58</c:v>
                </c:pt>
                <c:pt idx="59">
                  <c:v>6.65</c:v>
                </c:pt>
                <c:pt idx="60">
                  <c:v>6.82</c:v>
                </c:pt>
                <c:pt idx="61">
                  <c:v>6.73</c:v>
                </c:pt>
                <c:pt idx="62">
                  <c:v>6.99</c:v>
                </c:pt>
                <c:pt idx="63">
                  <c:v>6.83</c:v>
                </c:pt>
                <c:pt idx="64">
                  <c:v>7.02</c:v>
                </c:pt>
                <c:pt idx="65">
                  <c:v>7.14</c:v>
                </c:pt>
                <c:pt idx="66">
                  <c:v>7.17</c:v>
                </c:pt>
                <c:pt idx="67">
                  <c:v>7.2</c:v>
                </c:pt>
                <c:pt idx="68">
                  <c:v>6.74</c:v>
                </c:pt>
                <c:pt idx="69">
                  <c:v>7.27</c:v>
                </c:pt>
                <c:pt idx="70">
                  <c:v>7.11</c:v>
                </c:pt>
                <c:pt idx="71">
                  <c:v>7.08</c:v>
                </c:pt>
                <c:pt idx="72">
                  <c:v>7.11</c:v>
                </c:pt>
                <c:pt idx="73">
                  <c:v>7.18</c:v>
                </c:pt>
                <c:pt idx="74">
                  <c:v>7.18</c:v>
                </c:pt>
                <c:pt idx="75">
                  <c:v>7.02</c:v>
                </c:pt>
                <c:pt idx="76">
                  <c:v>7.33</c:v>
                </c:pt>
                <c:pt idx="77">
                  <c:v>7.36</c:v>
                </c:pt>
                <c:pt idx="78">
                  <c:v>7.52</c:v>
                </c:pt>
                <c:pt idx="79">
                  <c:v>7.55</c:v>
                </c:pt>
                <c:pt idx="80">
                  <c:v>7.27</c:v>
                </c:pt>
                <c:pt idx="81">
                  <c:v>7.46</c:v>
                </c:pt>
                <c:pt idx="82">
                  <c:v>7.62</c:v>
                </c:pt>
                <c:pt idx="83">
                  <c:v>7.65</c:v>
                </c:pt>
                <c:pt idx="84">
                  <c:v>7.65</c:v>
                </c:pt>
                <c:pt idx="85">
                  <c:v>7.56</c:v>
                </c:pt>
                <c:pt idx="86">
                  <c:v>7.8</c:v>
                </c:pt>
                <c:pt idx="87">
                  <c:v>8.18</c:v>
                </c:pt>
              </c:numCache>
            </c:numRef>
          </c:xVal>
          <c:yVal>
            <c:numRef>
              <c:f>cyl_fitted_plot!$H$3:$H$90</c:f>
              <c:numCache>
                <c:formatCode>General</c:formatCode>
                <c:ptCount val="88"/>
                <c:pt idx="0">
                  <c:v>0.99801350548140744</c:v>
                </c:pt>
                <c:pt idx="1">
                  <c:v>0.99256306675280137</c:v>
                </c:pt>
                <c:pt idx="2">
                  <c:v>0.97234686584638153</c:v>
                </c:pt>
                <c:pt idx="3">
                  <c:v>0.91105065794129558</c:v>
                </c:pt>
                <c:pt idx="4">
                  <c:v>0.9071217125604395</c:v>
                </c:pt>
                <c:pt idx="5">
                  <c:v>0.91105065794129558</c:v>
                </c:pt>
                <c:pt idx="6">
                  <c:v>0.9071217125604395</c:v>
                </c:pt>
                <c:pt idx="7">
                  <c:v>0.94193986522773754</c:v>
                </c:pt>
                <c:pt idx="8">
                  <c:v>0.92578481603364615</c:v>
                </c:pt>
                <c:pt idx="9">
                  <c:v>0.827176190909234</c:v>
                </c:pt>
                <c:pt idx="10">
                  <c:v>0.8218306286795104</c:v>
                </c:pt>
                <c:pt idx="11">
                  <c:v>0.71332731702086405</c:v>
                </c:pt>
                <c:pt idx="12">
                  <c:v>0.76587692141940522</c:v>
                </c:pt>
                <c:pt idx="13">
                  <c:v>0.71332731702086405</c:v>
                </c:pt>
                <c:pt idx="14">
                  <c:v>0.86764217209193528</c:v>
                </c:pt>
                <c:pt idx="15">
                  <c:v>0.58821844477413232</c:v>
                </c:pt>
                <c:pt idx="16">
                  <c:v>0.58288846249198334</c:v>
                </c:pt>
                <c:pt idx="17">
                  <c:v>0.58288846249198334</c:v>
                </c:pt>
                <c:pt idx="18">
                  <c:v>0.58288846249198334</c:v>
                </c:pt>
                <c:pt idx="19">
                  <c:v>0.63790097636021181</c:v>
                </c:pt>
                <c:pt idx="20">
                  <c:v>0.6322450764075831</c:v>
                </c:pt>
                <c:pt idx="21">
                  <c:v>0.49944507723715437</c:v>
                </c:pt>
                <c:pt idx="22">
                  <c:v>0.49499110740938412</c:v>
                </c:pt>
                <c:pt idx="23">
                  <c:v>0.54185831622361946</c:v>
                </c:pt>
                <c:pt idx="24">
                  <c:v>0.53694302634246793</c:v>
                </c:pt>
                <c:pt idx="25">
                  <c:v>0.44188323393487328</c:v>
                </c:pt>
                <c:pt idx="26">
                  <c:v>0.57235711867464323</c:v>
                </c:pt>
                <c:pt idx="27">
                  <c:v>0.36603700774711645</c:v>
                </c:pt>
                <c:pt idx="28">
                  <c:v>0.58821844477413232</c:v>
                </c:pt>
                <c:pt idx="29">
                  <c:v>0.37135419408617909</c:v>
                </c:pt>
                <c:pt idx="30">
                  <c:v>0.37135419408617909</c:v>
                </c:pt>
                <c:pt idx="31">
                  <c:v>0.37135419408617909</c:v>
                </c:pt>
                <c:pt idx="32">
                  <c:v>0.39132770460393485</c:v>
                </c:pt>
                <c:pt idx="33">
                  <c:v>0.420331058751794</c:v>
                </c:pt>
                <c:pt idx="34">
                  <c:v>0.39744017748361038</c:v>
                </c:pt>
                <c:pt idx="35">
                  <c:v>0.39744017748361038</c:v>
                </c:pt>
                <c:pt idx="36">
                  <c:v>0.33532849049769164</c:v>
                </c:pt>
                <c:pt idx="37">
                  <c:v>0.420331058751794</c:v>
                </c:pt>
                <c:pt idx="38">
                  <c:v>0.32911565777355123</c:v>
                </c:pt>
                <c:pt idx="39">
                  <c:v>0.32711169909157078</c:v>
                </c:pt>
                <c:pt idx="40">
                  <c:v>0.29469023366594638</c:v>
                </c:pt>
                <c:pt idx="41">
                  <c:v>0.35589557104862224</c:v>
                </c:pt>
                <c:pt idx="42">
                  <c:v>0.34870447819538941</c:v>
                </c:pt>
                <c:pt idx="43">
                  <c:v>0.33322354640612817</c:v>
                </c:pt>
                <c:pt idx="44">
                  <c:v>0.36603700774711645</c:v>
                </c:pt>
                <c:pt idx="45">
                  <c:v>0.31048627643752325</c:v>
                </c:pt>
                <c:pt idx="46">
                  <c:v>0.33322354640612817</c:v>
                </c:pt>
                <c:pt idx="47">
                  <c:v>0.37135419408617909</c:v>
                </c:pt>
                <c:pt idx="48">
                  <c:v>0.28638734687622314</c:v>
                </c:pt>
                <c:pt idx="49">
                  <c:v>0.28638734687622314</c:v>
                </c:pt>
                <c:pt idx="50">
                  <c:v>0.2825313464567254</c:v>
                </c:pt>
                <c:pt idx="51">
                  <c:v>0.27767343464908112</c:v>
                </c:pt>
                <c:pt idx="52">
                  <c:v>0.27423005863616534</c:v>
                </c:pt>
                <c:pt idx="53">
                  <c:v>0.2825313464567254</c:v>
                </c:pt>
                <c:pt idx="54">
                  <c:v>0.27423005863616534</c:v>
                </c:pt>
                <c:pt idx="55">
                  <c:v>0.29915870268599987</c:v>
                </c:pt>
                <c:pt idx="56">
                  <c:v>0.2592633762866321</c:v>
                </c:pt>
                <c:pt idx="57">
                  <c:v>0.25666445693173001</c:v>
                </c:pt>
                <c:pt idx="58">
                  <c:v>0.29469023366594638</c:v>
                </c:pt>
                <c:pt idx="59">
                  <c:v>0.28508103048078537</c:v>
                </c:pt>
                <c:pt idx="60">
                  <c:v>0.26581257355550947</c:v>
                </c:pt>
                <c:pt idx="61">
                  <c:v>0.27535948872341875</c:v>
                </c:pt>
                <c:pt idx="62">
                  <c:v>0.25103527558126304</c:v>
                </c:pt>
                <c:pt idx="63">
                  <c:v>0.26483296431499637</c:v>
                </c:pt>
                <c:pt idx="64">
                  <c:v>0.24879415328113419</c:v>
                </c:pt>
                <c:pt idx="65">
                  <c:v>0.24072152828102833</c:v>
                </c:pt>
                <c:pt idx="66">
                  <c:v>0.2389014791859253</c:v>
                </c:pt>
                <c:pt idx="67">
                  <c:v>0.23715166931396214</c:v>
                </c:pt>
                <c:pt idx="68">
                  <c:v>0.27423005863616534</c:v>
                </c:pt>
                <c:pt idx="69">
                  <c:v>0.23331951487847136</c:v>
                </c:pt>
                <c:pt idx="70">
                  <c:v>0.24261612463954851</c:v>
                </c:pt>
                <c:pt idx="71">
                  <c:v>0.24458982963870013</c:v>
                </c:pt>
                <c:pt idx="72">
                  <c:v>0.24261612463954851</c:v>
                </c:pt>
                <c:pt idx="73">
                  <c:v>0.23831061055196956</c:v>
                </c:pt>
                <c:pt idx="74">
                  <c:v>0.23831061055196956</c:v>
                </c:pt>
                <c:pt idx="75">
                  <c:v>0.24879415328113419</c:v>
                </c:pt>
                <c:pt idx="76">
                  <c:v>0.23028615239037376</c:v>
                </c:pt>
                <c:pt idx="77">
                  <c:v>0.22884762841863271</c:v>
                </c:pt>
                <c:pt idx="78">
                  <c:v>0.22192248944775661</c:v>
                </c:pt>
                <c:pt idx="79">
                  <c:v>0.22074501069914798</c:v>
                </c:pt>
                <c:pt idx="80">
                  <c:v>0.23331951487847136</c:v>
                </c:pt>
                <c:pt idx="81">
                  <c:v>0.22438438348445888</c:v>
                </c:pt>
                <c:pt idx="82">
                  <c:v>0.21812223406696185</c:v>
                </c:pt>
                <c:pt idx="83">
                  <c:v>0.21704721238240676</c:v>
                </c:pt>
                <c:pt idx="84">
                  <c:v>0.21704721238240676</c:v>
                </c:pt>
                <c:pt idx="85">
                  <c:v>0.22035992577178742</c:v>
                </c:pt>
                <c:pt idx="86">
                  <c:v>0.21204714457918861</c:v>
                </c:pt>
                <c:pt idx="87">
                  <c:v>0.20136652536714084</c:v>
                </c:pt>
              </c:numCache>
            </c:numRef>
          </c:yVal>
          <c:smooth val="0"/>
        </c:ser>
        <c:ser>
          <c:idx val="1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[1]in_situ_baseline_general!$U$108:$AA$108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plus>
            <c:minus>
              <c:numRef>
                <c:f>[1]in_situ_baseline_general!$U$108:$AA$108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numCache>
              </c:numRef>
            </c:minus>
          </c:errBars>
          <c:xVal>
            <c:numRef>
              <c:f>'PRC model'!$B$14:$G$14</c:f>
              <c:numCache>
                <c:formatCode>General</c:formatCode>
                <c:ptCount val="6"/>
                <c:pt idx="0">
                  <c:v>5.67</c:v>
                </c:pt>
                <c:pt idx="1">
                  <c:v>5.84</c:v>
                </c:pt>
                <c:pt idx="2">
                  <c:v>6.38</c:v>
                </c:pt>
                <c:pt idx="3">
                  <c:v>6.83</c:v>
                </c:pt>
                <c:pt idx="4">
                  <c:v>6.92</c:v>
                </c:pt>
                <c:pt idx="5">
                  <c:v>7.36</c:v>
                </c:pt>
              </c:numCache>
            </c:numRef>
          </c:xVal>
          <c:yVal>
            <c:numRef>
              <c:f>'PRC model'!$B$16:$G$16</c:f>
              <c:numCache>
                <c:formatCode>General</c:formatCode>
                <c:ptCount val="6"/>
                <c:pt idx="0">
                  <c:v>0.55676881507531728</c:v>
                </c:pt>
                <c:pt idx="1">
                  <c:v>0.55913787309111374</c:v>
                </c:pt>
                <c:pt idx="2">
                  <c:v>0.35298058095770457</c:v>
                </c:pt>
                <c:pt idx="3">
                  <c:v>0.27933176001033722</c:v>
                </c:pt>
                <c:pt idx="4">
                  <c:v>0.15522401667758556</c:v>
                </c:pt>
                <c:pt idx="5">
                  <c:v>0.30407353432428263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804864"/>
        <c:axId val="186811136"/>
      </c:scatterChart>
      <c:valAx>
        <c:axId val="186804864"/>
        <c:scaling>
          <c:orientation val="minMax"/>
          <c:min val="4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log(Kow)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11136"/>
        <c:crosses val="autoZero"/>
        <c:crossBetween val="midCat"/>
      </c:valAx>
      <c:valAx>
        <c:axId val="186811136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fss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04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284009887113613"/>
          <c:y val="0.20505405574303212"/>
          <c:w val="0.47201223148077365"/>
          <c:h val="0.30628046494188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Rectangular diffusion</a:t>
            </a:r>
            <a:r>
              <a:rPr lang="en-US" baseline="0"/>
              <a:t> model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38952204044056"/>
          <c:y val="0.2021498969648487"/>
          <c:w val="0.67788022123001468"/>
          <c:h val="0.53057733237890714"/>
        </c:manualLayout>
      </c:layout>
      <c:scatterChart>
        <c:scatterStyle val="lineMarker"/>
        <c:varyColors val="0"/>
        <c:ser>
          <c:idx val="0"/>
          <c:order val="0"/>
          <c:tx>
            <c:v>Fitting results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Kow_fitting!$A$2:$A$62</c:f>
              <c:numCache>
                <c:formatCode>General</c:formatCode>
                <c:ptCount val="61"/>
                <c:pt idx="0">
                  <c:v>4</c:v>
                </c:pt>
                <c:pt idx="1">
                  <c:v>4.0999999999999996</c:v>
                </c:pt>
                <c:pt idx="2">
                  <c:v>4.1999999999999993</c:v>
                </c:pt>
                <c:pt idx="3">
                  <c:v>4.2999999999999989</c:v>
                </c:pt>
                <c:pt idx="4">
                  <c:v>4.3999999999999986</c:v>
                </c:pt>
                <c:pt idx="5">
                  <c:v>4.4999999999999982</c:v>
                </c:pt>
                <c:pt idx="6">
                  <c:v>4.5999999999999979</c:v>
                </c:pt>
                <c:pt idx="7">
                  <c:v>4.6999999999999975</c:v>
                </c:pt>
                <c:pt idx="8">
                  <c:v>4.7999999999999972</c:v>
                </c:pt>
                <c:pt idx="9">
                  <c:v>4.8999999999999968</c:v>
                </c:pt>
                <c:pt idx="10">
                  <c:v>4.9999999999999964</c:v>
                </c:pt>
                <c:pt idx="11">
                  <c:v>5.0999999999999961</c:v>
                </c:pt>
                <c:pt idx="12">
                  <c:v>5.1999999999999957</c:v>
                </c:pt>
                <c:pt idx="13">
                  <c:v>5.2999999999999954</c:v>
                </c:pt>
                <c:pt idx="14">
                  <c:v>5.399999999999995</c:v>
                </c:pt>
                <c:pt idx="15">
                  <c:v>5.4999999999999947</c:v>
                </c:pt>
                <c:pt idx="16">
                  <c:v>5.5999999999999943</c:v>
                </c:pt>
                <c:pt idx="17">
                  <c:v>5.699999999999994</c:v>
                </c:pt>
                <c:pt idx="18">
                  <c:v>5.7999999999999936</c:v>
                </c:pt>
                <c:pt idx="19">
                  <c:v>5.8999999999999932</c:v>
                </c:pt>
                <c:pt idx="20">
                  <c:v>5.9999999999999929</c:v>
                </c:pt>
                <c:pt idx="21">
                  <c:v>6.0999999999999925</c:v>
                </c:pt>
                <c:pt idx="22">
                  <c:v>6.1999999999999922</c:v>
                </c:pt>
                <c:pt idx="23">
                  <c:v>6.2999999999999918</c:v>
                </c:pt>
                <c:pt idx="24">
                  <c:v>6.3999999999999915</c:v>
                </c:pt>
                <c:pt idx="25">
                  <c:v>6.4999999999999911</c:v>
                </c:pt>
                <c:pt idx="26">
                  <c:v>6.5999999999999908</c:v>
                </c:pt>
                <c:pt idx="27">
                  <c:v>6.6999999999999904</c:v>
                </c:pt>
                <c:pt idx="28">
                  <c:v>6.7999999999999901</c:v>
                </c:pt>
                <c:pt idx="29">
                  <c:v>6.8999999999999897</c:v>
                </c:pt>
                <c:pt idx="30">
                  <c:v>6.9999999999999893</c:v>
                </c:pt>
                <c:pt idx="31">
                  <c:v>7.099999999999989</c:v>
                </c:pt>
                <c:pt idx="32">
                  <c:v>7.1999999999999886</c:v>
                </c:pt>
                <c:pt idx="33">
                  <c:v>7.2999999999999883</c:v>
                </c:pt>
                <c:pt idx="34">
                  <c:v>7.3999999999999879</c:v>
                </c:pt>
                <c:pt idx="35">
                  <c:v>7.4999999999999876</c:v>
                </c:pt>
                <c:pt idx="36">
                  <c:v>7.5999999999999872</c:v>
                </c:pt>
                <c:pt idx="37">
                  <c:v>7.6999999999999869</c:v>
                </c:pt>
                <c:pt idx="38">
                  <c:v>7.7999999999999865</c:v>
                </c:pt>
                <c:pt idx="39">
                  <c:v>7.8999999999999861</c:v>
                </c:pt>
                <c:pt idx="40">
                  <c:v>7.9999999999999858</c:v>
                </c:pt>
                <c:pt idx="41">
                  <c:v>8.0999999999999854</c:v>
                </c:pt>
                <c:pt idx="42">
                  <c:v>8.1999999999999851</c:v>
                </c:pt>
                <c:pt idx="43">
                  <c:v>8.2999999999999847</c:v>
                </c:pt>
                <c:pt idx="44">
                  <c:v>8.3999999999999844</c:v>
                </c:pt>
                <c:pt idx="45">
                  <c:v>8.499999999999984</c:v>
                </c:pt>
                <c:pt idx="46">
                  <c:v>8.5999999999999837</c:v>
                </c:pt>
                <c:pt idx="47">
                  <c:v>8.6999999999999833</c:v>
                </c:pt>
                <c:pt idx="48">
                  <c:v>8.7999999999999829</c:v>
                </c:pt>
                <c:pt idx="49">
                  <c:v>8.8999999999999826</c:v>
                </c:pt>
                <c:pt idx="50">
                  <c:v>8.9999999999999822</c:v>
                </c:pt>
                <c:pt idx="51">
                  <c:v>9.0999999999999819</c:v>
                </c:pt>
                <c:pt idx="52">
                  <c:v>9.1999999999999815</c:v>
                </c:pt>
                <c:pt idx="53">
                  <c:v>9.2999999999999812</c:v>
                </c:pt>
                <c:pt idx="54">
                  <c:v>9.3999999999999808</c:v>
                </c:pt>
                <c:pt idx="55">
                  <c:v>9.4999999999999805</c:v>
                </c:pt>
                <c:pt idx="56">
                  <c:v>9.5999999999999801</c:v>
                </c:pt>
                <c:pt idx="57">
                  <c:v>9.6999999999999797</c:v>
                </c:pt>
                <c:pt idx="58">
                  <c:v>9.7999999999999794</c:v>
                </c:pt>
                <c:pt idx="59">
                  <c:v>9.899999999999979</c:v>
                </c:pt>
                <c:pt idx="60">
                  <c:v>9.9999999999999787</c:v>
                </c:pt>
              </c:numCache>
            </c:numRef>
          </c:xVal>
          <c:yVal>
            <c:numRef>
              <c:f>Kow_fitting!$C$2:$C$62</c:f>
              <c:numCache>
                <c:formatCode>General</c:formatCode>
                <c:ptCount val="61"/>
                <c:pt idx="0">
                  <c:v>-2.6458003574267304</c:v>
                </c:pt>
                <c:pt idx="1">
                  <c:v>-2.5322818794583597</c:v>
                </c:pt>
                <c:pt idx="2">
                  <c:v>-2.418763401489989</c:v>
                </c:pt>
                <c:pt idx="3">
                  <c:v>-2.3052449235216184</c:v>
                </c:pt>
                <c:pt idx="4">
                  <c:v>-2.1917264455532468</c:v>
                </c:pt>
                <c:pt idx="5">
                  <c:v>-2.0782079675848761</c:v>
                </c:pt>
                <c:pt idx="6">
                  <c:v>-1.9646894896165055</c:v>
                </c:pt>
                <c:pt idx="7">
                  <c:v>-1.8511710116481348</c:v>
                </c:pt>
                <c:pt idx="8">
                  <c:v>-1.7376525336797641</c:v>
                </c:pt>
                <c:pt idx="9">
                  <c:v>-1.6241340557113935</c:v>
                </c:pt>
                <c:pt idx="10">
                  <c:v>-1.5106155777430228</c:v>
                </c:pt>
                <c:pt idx="11">
                  <c:v>-1.3970970997746512</c:v>
                </c:pt>
                <c:pt idx="12">
                  <c:v>-1.2835786218062806</c:v>
                </c:pt>
                <c:pt idx="13">
                  <c:v>-1.1700601438379099</c:v>
                </c:pt>
                <c:pt idx="14">
                  <c:v>-1.0565416658695392</c:v>
                </c:pt>
                <c:pt idx="15">
                  <c:v>-0.94302318790116857</c:v>
                </c:pt>
                <c:pt idx="16">
                  <c:v>-0.8295047099327979</c:v>
                </c:pt>
                <c:pt idx="17">
                  <c:v>-0.71598623196442723</c:v>
                </c:pt>
                <c:pt idx="18">
                  <c:v>-0.60246775399605568</c:v>
                </c:pt>
                <c:pt idx="19">
                  <c:v>-0.48894927602768501</c:v>
                </c:pt>
                <c:pt idx="20">
                  <c:v>-0.37543079805931434</c:v>
                </c:pt>
                <c:pt idx="21">
                  <c:v>-0.26191232009094367</c:v>
                </c:pt>
                <c:pt idx="22">
                  <c:v>-0.14839384212257301</c:v>
                </c:pt>
                <c:pt idx="23">
                  <c:v>-3.4875364154202337E-2</c:v>
                </c:pt>
                <c:pt idx="24">
                  <c:v>7.8643113814169219E-2</c:v>
                </c:pt>
                <c:pt idx="25">
                  <c:v>0.19216159178253989</c:v>
                </c:pt>
                <c:pt idx="26">
                  <c:v>0.30568006975091055</c:v>
                </c:pt>
                <c:pt idx="27">
                  <c:v>0.41919854771928122</c:v>
                </c:pt>
                <c:pt idx="28">
                  <c:v>0.53271702568765189</c:v>
                </c:pt>
                <c:pt idx="29">
                  <c:v>0.64623550365602256</c:v>
                </c:pt>
                <c:pt idx="30">
                  <c:v>0.75975398162439323</c:v>
                </c:pt>
                <c:pt idx="31">
                  <c:v>0.87327245959276478</c:v>
                </c:pt>
                <c:pt idx="32">
                  <c:v>0.98679093756113456</c:v>
                </c:pt>
                <c:pt idx="33">
                  <c:v>1.1003094155295061</c:v>
                </c:pt>
                <c:pt idx="34">
                  <c:v>1.2138278934978759</c:v>
                </c:pt>
                <c:pt idx="35">
                  <c:v>1.3273463714662475</c:v>
                </c:pt>
                <c:pt idx="36">
                  <c:v>1.440864849434619</c:v>
                </c:pt>
                <c:pt idx="37">
                  <c:v>1.5543833274029888</c:v>
                </c:pt>
                <c:pt idx="38">
                  <c:v>1.6679018053713603</c:v>
                </c:pt>
                <c:pt idx="39">
                  <c:v>1.7814202833397301</c:v>
                </c:pt>
                <c:pt idx="40">
                  <c:v>1.8949387613081017</c:v>
                </c:pt>
                <c:pt idx="41">
                  <c:v>2.0084572392764715</c:v>
                </c:pt>
                <c:pt idx="42">
                  <c:v>2.121975717244843</c:v>
                </c:pt>
                <c:pt idx="43">
                  <c:v>2.2354941952132146</c:v>
                </c:pt>
                <c:pt idx="44">
                  <c:v>2.3490126731815844</c:v>
                </c:pt>
                <c:pt idx="45">
                  <c:v>2.4625311511499559</c:v>
                </c:pt>
                <c:pt idx="46">
                  <c:v>2.5760496291183257</c:v>
                </c:pt>
                <c:pt idx="47">
                  <c:v>2.6895681070866972</c:v>
                </c:pt>
                <c:pt idx="48">
                  <c:v>2.8030865850550688</c:v>
                </c:pt>
                <c:pt idx="49">
                  <c:v>2.9166050630234386</c:v>
                </c:pt>
                <c:pt idx="50">
                  <c:v>3.0301235409918101</c:v>
                </c:pt>
                <c:pt idx="51">
                  <c:v>3.1436420189601799</c:v>
                </c:pt>
                <c:pt idx="52">
                  <c:v>3.2571604969285515</c:v>
                </c:pt>
                <c:pt idx="53">
                  <c:v>3.3706789748969213</c:v>
                </c:pt>
                <c:pt idx="54">
                  <c:v>3.4841974528652928</c:v>
                </c:pt>
                <c:pt idx="55">
                  <c:v>3.5977159308336644</c:v>
                </c:pt>
                <c:pt idx="56">
                  <c:v>3.7112344088020341</c:v>
                </c:pt>
                <c:pt idx="57">
                  <c:v>3.8247528867704057</c:v>
                </c:pt>
                <c:pt idx="58">
                  <c:v>3.9382713647387755</c:v>
                </c:pt>
                <c:pt idx="59">
                  <c:v>4.051789842707147</c:v>
                </c:pt>
                <c:pt idx="60">
                  <c:v>4.1653083206755168</c:v>
                </c:pt>
              </c:numCache>
            </c:numRef>
          </c:yVal>
          <c:smooth val="0"/>
        </c:ser>
        <c:ser>
          <c:idx val="1"/>
          <c:order val="1"/>
          <c:tx>
            <c:v>Experimental 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'PRC model'!$B$14:$G$14</c:f>
              <c:numCache>
                <c:formatCode>General</c:formatCode>
                <c:ptCount val="6"/>
                <c:pt idx="0">
                  <c:v>5.67</c:v>
                </c:pt>
                <c:pt idx="1">
                  <c:v>5.84</c:v>
                </c:pt>
                <c:pt idx="2">
                  <c:v>6.38</c:v>
                </c:pt>
                <c:pt idx="3">
                  <c:v>6.83</c:v>
                </c:pt>
                <c:pt idx="4">
                  <c:v>6.92</c:v>
                </c:pt>
                <c:pt idx="5">
                  <c:v>7.36</c:v>
                </c:pt>
              </c:numCache>
            </c:numRef>
          </c:xVal>
          <c:yVal>
            <c:numRef>
              <c:f>fitted_RD!$B$3:$G$3</c:f>
              <c:numCache>
                <c:formatCode>General</c:formatCode>
                <c:ptCount val="6"/>
                <c:pt idx="0">
                  <c:v>-0.70102999566397994</c:v>
                </c:pt>
                <c:pt idx="1">
                  <c:v>-0.3612426144941856</c:v>
                </c:pt>
                <c:pt idx="2">
                  <c:v>-6.1242614494185624E-2</c:v>
                </c:pt>
                <c:pt idx="3">
                  <c:v>0.53875738550581453</c:v>
                </c:pt>
                <c:pt idx="4">
                  <c:v>9.8970004336020032E-2</c:v>
                </c:pt>
                <c:pt idx="5">
                  <c:v>1.6387573855058146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64832"/>
        <c:axId val="186667392"/>
      </c:scatterChart>
      <c:valAx>
        <c:axId val="186664832"/>
        <c:scaling>
          <c:orientation val="minMax"/>
          <c:max val="10"/>
          <c:min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log(Kow)</a:t>
                </a:r>
              </a:p>
            </c:rich>
          </c:tx>
          <c:layout>
            <c:manualLayout>
              <c:xMode val="edge"/>
              <c:yMode val="edge"/>
              <c:x val="0.47053572229500057"/>
              <c:y val="0.791870198043426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67392"/>
        <c:crosses val="autoZero"/>
        <c:crossBetween val="midCat"/>
      </c:valAx>
      <c:valAx>
        <c:axId val="1866673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log(RD)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64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1st order model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38952204044056"/>
          <c:y val="0.2021498969648487"/>
          <c:w val="0.67788022123001468"/>
          <c:h val="0.53057733237890714"/>
        </c:manualLayout>
      </c:layout>
      <c:scatterChart>
        <c:scatterStyle val="lineMarker"/>
        <c:varyColors val="0"/>
        <c:ser>
          <c:idx val="0"/>
          <c:order val="0"/>
          <c:tx>
            <c:v>Fitting results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Kow_fitting!$A$2:$A$62</c:f>
              <c:numCache>
                <c:formatCode>General</c:formatCode>
                <c:ptCount val="61"/>
                <c:pt idx="0">
                  <c:v>4</c:v>
                </c:pt>
                <c:pt idx="1">
                  <c:v>4.0999999999999996</c:v>
                </c:pt>
                <c:pt idx="2">
                  <c:v>4.1999999999999993</c:v>
                </c:pt>
                <c:pt idx="3">
                  <c:v>4.2999999999999989</c:v>
                </c:pt>
                <c:pt idx="4">
                  <c:v>4.3999999999999986</c:v>
                </c:pt>
                <c:pt idx="5">
                  <c:v>4.4999999999999982</c:v>
                </c:pt>
                <c:pt idx="6">
                  <c:v>4.5999999999999979</c:v>
                </c:pt>
                <c:pt idx="7">
                  <c:v>4.6999999999999975</c:v>
                </c:pt>
                <c:pt idx="8">
                  <c:v>4.7999999999999972</c:v>
                </c:pt>
                <c:pt idx="9">
                  <c:v>4.8999999999999968</c:v>
                </c:pt>
                <c:pt idx="10">
                  <c:v>4.9999999999999964</c:v>
                </c:pt>
                <c:pt idx="11">
                  <c:v>5.0999999999999961</c:v>
                </c:pt>
                <c:pt idx="12">
                  <c:v>5.1999999999999957</c:v>
                </c:pt>
                <c:pt idx="13">
                  <c:v>5.2999999999999954</c:v>
                </c:pt>
                <c:pt idx="14">
                  <c:v>5.399999999999995</c:v>
                </c:pt>
                <c:pt idx="15">
                  <c:v>5.4999999999999947</c:v>
                </c:pt>
                <c:pt idx="16">
                  <c:v>5.5999999999999943</c:v>
                </c:pt>
                <c:pt idx="17">
                  <c:v>5.699999999999994</c:v>
                </c:pt>
                <c:pt idx="18">
                  <c:v>5.7999999999999936</c:v>
                </c:pt>
                <c:pt idx="19">
                  <c:v>5.8999999999999932</c:v>
                </c:pt>
                <c:pt idx="20">
                  <c:v>5.9999999999999929</c:v>
                </c:pt>
                <c:pt idx="21">
                  <c:v>6.0999999999999925</c:v>
                </c:pt>
                <c:pt idx="22">
                  <c:v>6.1999999999999922</c:v>
                </c:pt>
                <c:pt idx="23">
                  <c:v>6.2999999999999918</c:v>
                </c:pt>
                <c:pt idx="24">
                  <c:v>6.3999999999999915</c:v>
                </c:pt>
                <c:pt idx="25">
                  <c:v>6.4999999999999911</c:v>
                </c:pt>
                <c:pt idx="26">
                  <c:v>6.5999999999999908</c:v>
                </c:pt>
                <c:pt idx="27">
                  <c:v>6.6999999999999904</c:v>
                </c:pt>
                <c:pt idx="28">
                  <c:v>6.7999999999999901</c:v>
                </c:pt>
                <c:pt idx="29">
                  <c:v>6.8999999999999897</c:v>
                </c:pt>
                <c:pt idx="30">
                  <c:v>6.9999999999999893</c:v>
                </c:pt>
                <c:pt idx="31">
                  <c:v>7.099999999999989</c:v>
                </c:pt>
                <c:pt idx="32">
                  <c:v>7.1999999999999886</c:v>
                </c:pt>
                <c:pt idx="33">
                  <c:v>7.2999999999999883</c:v>
                </c:pt>
                <c:pt idx="34">
                  <c:v>7.3999999999999879</c:v>
                </c:pt>
                <c:pt idx="35">
                  <c:v>7.4999999999999876</c:v>
                </c:pt>
                <c:pt idx="36">
                  <c:v>7.5999999999999872</c:v>
                </c:pt>
                <c:pt idx="37">
                  <c:v>7.6999999999999869</c:v>
                </c:pt>
                <c:pt idx="38">
                  <c:v>7.7999999999999865</c:v>
                </c:pt>
                <c:pt idx="39">
                  <c:v>7.8999999999999861</c:v>
                </c:pt>
                <c:pt idx="40">
                  <c:v>7.9999999999999858</c:v>
                </c:pt>
                <c:pt idx="41">
                  <c:v>8.0999999999999854</c:v>
                </c:pt>
                <c:pt idx="42">
                  <c:v>8.1999999999999851</c:v>
                </c:pt>
                <c:pt idx="43">
                  <c:v>8.2999999999999847</c:v>
                </c:pt>
                <c:pt idx="44">
                  <c:v>8.3999999999999844</c:v>
                </c:pt>
                <c:pt idx="45">
                  <c:v>8.499999999999984</c:v>
                </c:pt>
                <c:pt idx="46">
                  <c:v>8.5999999999999837</c:v>
                </c:pt>
                <c:pt idx="47">
                  <c:v>8.6999999999999833</c:v>
                </c:pt>
                <c:pt idx="48">
                  <c:v>8.7999999999999829</c:v>
                </c:pt>
                <c:pt idx="49">
                  <c:v>8.8999999999999826</c:v>
                </c:pt>
                <c:pt idx="50">
                  <c:v>8.9999999999999822</c:v>
                </c:pt>
                <c:pt idx="51">
                  <c:v>9.0999999999999819</c:v>
                </c:pt>
                <c:pt idx="52">
                  <c:v>9.1999999999999815</c:v>
                </c:pt>
                <c:pt idx="53">
                  <c:v>9.2999999999999812</c:v>
                </c:pt>
                <c:pt idx="54">
                  <c:v>9.3999999999999808</c:v>
                </c:pt>
                <c:pt idx="55">
                  <c:v>9.4999999999999805</c:v>
                </c:pt>
                <c:pt idx="56">
                  <c:v>9.5999999999999801</c:v>
                </c:pt>
                <c:pt idx="57">
                  <c:v>9.6999999999999797</c:v>
                </c:pt>
                <c:pt idx="58">
                  <c:v>9.7999999999999794</c:v>
                </c:pt>
                <c:pt idx="59">
                  <c:v>9.899999999999979</c:v>
                </c:pt>
                <c:pt idx="60">
                  <c:v>9.9999999999999787</c:v>
                </c:pt>
              </c:numCache>
            </c:numRef>
          </c:xVal>
          <c:yVal>
            <c:numRef>
              <c:f>Kow_fitting!$B$2:$B$62</c:f>
              <c:numCache>
                <c:formatCode>General</c:formatCode>
                <c:ptCount val="61"/>
                <c:pt idx="0">
                  <c:v>-1.0540651136908568</c:v>
                </c:pt>
                <c:pt idx="1">
                  <c:v>-1.0858919189845977</c:v>
                </c:pt>
                <c:pt idx="2">
                  <c:v>-1.1177187242783386</c:v>
                </c:pt>
                <c:pt idx="3">
                  <c:v>-1.1495455295720796</c:v>
                </c:pt>
                <c:pt idx="4">
                  <c:v>-1.1813723348658205</c:v>
                </c:pt>
                <c:pt idx="5">
                  <c:v>-1.2131991401595614</c:v>
                </c:pt>
                <c:pt idx="6">
                  <c:v>-1.2450259454533024</c:v>
                </c:pt>
                <c:pt idx="7">
                  <c:v>-1.2768527507470433</c:v>
                </c:pt>
                <c:pt idx="8">
                  <c:v>-1.3086795560407842</c:v>
                </c:pt>
                <c:pt idx="9">
                  <c:v>-1.3405063613345252</c:v>
                </c:pt>
                <c:pt idx="10">
                  <c:v>-1.3723331666282661</c:v>
                </c:pt>
                <c:pt idx="11">
                  <c:v>-1.404159971922007</c:v>
                </c:pt>
                <c:pt idx="12">
                  <c:v>-1.435986777215748</c:v>
                </c:pt>
                <c:pt idx="13">
                  <c:v>-1.4678135825094889</c:v>
                </c:pt>
                <c:pt idx="14">
                  <c:v>-1.4996403878032298</c:v>
                </c:pt>
                <c:pt idx="15">
                  <c:v>-1.5314671930969708</c:v>
                </c:pt>
                <c:pt idx="16">
                  <c:v>-1.5632939983907117</c:v>
                </c:pt>
                <c:pt idx="17">
                  <c:v>-1.5951208036844526</c:v>
                </c:pt>
                <c:pt idx="18">
                  <c:v>-1.6269476089781936</c:v>
                </c:pt>
                <c:pt idx="19">
                  <c:v>-1.6587744142719345</c:v>
                </c:pt>
                <c:pt idx="20">
                  <c:v>-1.6906012195656754</c:v>
                </c:pt>
                <c:pt idx="21">
                  <c:v>-1.7224280248594164</c:v>
                </c:pt>
                <c:pt idx="22">
                  <c:v>-1.7542548301531573</c:v>
                </c:pt>
                <c:pt idx="23">
                  <c:v>-1.786081635446898</c:v>
                </c:pt>
                <c:pt idx="24">
                  <c:v>-1.8179084407406392</c:v>
                </c:pt>
                <c:pt idx="25">
                  <c:v>-1.8497352460343799</c:v>
                </c:pt>
                <c:pt idx="26">
                  <c:v>-1.881562051328121</c:v>
                </c:pt>
                <c:pt idx="27">
                  <c:v>-1.9133888566218618</c:v>
                </c:pt>
                <c:pt idx="28">
                  <c:v>-1.9452156619156029</c:v>
                </c:pt>
                <c:pt idx="29">
                  <c:v>-1.9770424672093436</c:v>
                </c:pt>
                <c:pt idx="30">
                  <c:v>-2.0088692725030848</c:v>
                </c:pt>
                <c:pt idx="31">
                  <c:v>-2.0406960777968255</c:v>
                </c:pt>
                <c:pt idx="32">
                  <c:v>-2.0725228830905666</c:v>
                </c:pt>
                <c:pt idx="33">
                  <c:v>-2.1043496883843074</c:v>
                </c:pt>
                <c:pt idx="34">
                  <c:v>-2.1361764936780485</c:v>
                </c:pt>
                <c:pt idx="35">
                  <c:v>-2.1680032989717892</c:v>
                </c:pt>
                <c:pt idx="36">
                  <c:v>-2.1998301042655304</c:v>
                </c:pt>
                <c:pt idx="37">
                  <c:v>-2.2316569095592711</c:v>
                </c:pt>
                <c:pt idx="38">
                  <c:v>-2.2634837148530123</c:v>
                </c:pt>
                <c:pt idx="39">
                  <c:v>-2.295310520146753</c:v>
                </c:pt>
                <c:pt idx="40">
                  <c:v>-2.3271373254404941</c:v>
                </c:pt>
                <c:pt idx="41">
                  <c:v>-2.3589641307342348</c:v>
                </c:pt>
                <c:pt idx="42">
                  <c:v>-2.390790936027976</c:v>
                </c:pt>
                <c:pt idx="43">
                  <c:v>-2.4226177413217167</c:v>
                </c:pt>
                <c:pt idx="44">
                  <c:v>-2.4544445466154579</c:v>
                </c:pt>
                <c:pt idx="45">
                  <c:v>-2.4862713519091986</c:v>
                </c:pt>
                <c:pt idx="46">
                  <c:v>-2.5180981572029397</c:v>
                </c:pt>
                <c:pt idx="47">
                  <c:v>-2.5499249624966804</c:v>
                </c:pt>
                <c:pt idx="48">
                  <c:v>-2.5817517677904216</c:v>
                </c:pt>
                <c:pt idx="49">
                  <c:v>-2.6135785730841623</c:v>
                </c:pt>
                <c:pt idx="50">
                  <c:v>-2.6454053783779035</c:v>
                </c:pt>
                <c:pt idx="51">
                  <c:v>-2.6772321836716442</c:v>
                </c:pt>
                <c:pt idx="52">
                  <c:v>-2.7090589889653853</c:v>
                </c:pt>
                <c:pt idx="53">
                  <c:v>-2.740885794259126</c:v>
                </c:pt>
                <c:pt idx="54">
                  <c:v>-2.7727125995528672</c:v>
                </c:pt>
                <c:pt idx="55">
                  <c:v>-2.8045394048466079</c:v>
                </c:pt>
                <c:pt idx="56">
                  <c:v>-2.8363662101403491</c:v>
                </c:pt>
                <c:pt idx="57">
                  <c:v>-2.8681930154340898</c:v>
                </c:pt>
                <c:pt idx="58">
                  <c:v>-2.9000198207278309</c:v>
                </c:pt>
                <c:pt idx="59">
                  <c:v>-2.9318466260215716</c:v>
                </c:pt>
                <c:pt idx="60">
                  <c:v>-2.9636734313153128</c:v>
                </c:pt>
              </c:numCache>
            </c:numRef>
          </c:yVal>
          <c:smooth val="0"/>
        </c:ser>
        <c:ser>
          <c:idx val="1"/>
          <c:order val="1"/>
          <c:tx>
            <c:v>Experimental 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'PRC model'!$B$14:$G$14</c:f>
              <c:numCache>
                <c:formatCode>General</c:formatCode>
                <c:ptCount val="6"/>
                <c:pt idx="0">
                  <c:v>5.67</c:v>
                </c:pt>
                <c:pt idx="1">
                  <c:v>5.84</c:v>
                </c:pt>
                <c:pt idx="2">
                  <c:v>6.38</c:v>
                </c:pt>
                <c:pt idx="3">
                  <c:v>6.83</c:v>
                </c:pt>
                <c:pt idx="4">
                  <c:v>6.92</c:v>
                </c:pt>
                <c:pt idx="5">
                  <c:v>7.36</c:v>
                </c:pt>
              </c:numCache>
            </c:numRef>
          </c:xVal>
          <c:yVal>
            <c:numRef>
              <c:f>fitted_ke!$B$3:$G$3</c:f>
              <c:numCache>
                <c:formatCode>General</c:formatCode>
                <c:ptCount val="6"/>
                <c:pt idx="0">
                  <c:v>-1.566676269220433</c:v>
                </c:pt>
                <c:pt idx="1">
                  <c:v>-1.5638251092030633</c:v>
                </c:pt>
                <c:pt idx="2">
                  <c:v>-1.8382538061706724</c:v>
                </c:pt>
                <c:pt idx="3">
                  <c:v>-1.9618086670875006</c:v>
                </c:pt>
                <c:pt idx="4">
                  <c:v>-2.2500478909468731</c:v>
                </c:pt>
                <c:pt idx="5">
                  <c:v>-1.9177997335777546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13216"/>
        <c:axId val="186715520"/>
      </c:scatterChart>
      <c:valAx>
        <c:axId val="186713216"/>
        <c:scaling>
          <c:orientation val="minMax"/>
          <c:max val="10"/>
          <c:min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log(Kow)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15520"/>
        <c:crosses val="autoZero"/>
        <c:crossBetween val="midCat"/>
      </c:valAx>
      <c:valAx>
        <c:axId val="186715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log(ke)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13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Cylindrical</a:t>
            </a:r>
            <a:r>
              <a:rPr lang="en-US" baseline="0"/>
              <a:t> </a:t>
            </a:r>
            <a:r>
              <a:rPr lang="en-US"/>
              <a:t>diffusion</a:t>
            </a:r>
            <a:r>
              <a:rPr lang="en-US" baseline="0"/>
              <a:t> model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38952204044056"/>
          <c:y val="0.2021498969648487"/>
          <c:w val="0.67788022123001468"/>
          <c:h val="0.51118339298496773"/>
        </c:manualLayout>
      </c:layout>
      <c:scatterChart>
        <c:scatterStyle val="lineMarker"/>
        <c:varyColors val="0"/>
        <c:ser>
          <c:idx val="0"/>
          <c:order val="0"/>
          <c:tx>
            <c:v>Fitting results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Kow_fitting!$A$2:$A$62</c:f>
              <c:numCache>
                <c:formatCode>General</c:formatCode>
                <c:ptCount val="61"/>
                <c:pt idx="0">
                  <c:v>4</c:v>
                </c:pt>
                <c:pt idx="1">
                  <c:v>4.0999999999999996</c:v>
                </c:pt>
                <c:pt idx="2">
                  <c:v>4.1999999999999993</c:v>
                </c:pt>
                <c:pt idx="3">
                  <c:v>4.2999999999999989</c:v>
                </c:pt>
                <c:pt idx="4">
                  <c:v>4.3999999999999986</c:v>
                </c:pt>
                <c:pt idx="5">
                  <c:v>4.4999999999999982</c:v>
                </c:pt>
                <c:pt idx="6">
                  <c:v>4.5999999999999979</c:v>
                </c:pt>
                <c:pt idx="7">
                  <c:v>4.6999999999999975</c:v>
                </c:pt>
                <c:pt idx="8">
                  <c:v>4.7999999999999972</c:v>
                </c:pt>
                <c:pt idx="9">
                  <c:v>4.8999999999999968</c:v>
                </c:pt>
                <c:pt idx="10">
                  <c:v>4.9999999999999964</c:v>
                </c:pt>
                <c:pt idx="11">
                  <c:v>5.0999999999999961</c:v>
                </c:pt>
                <c:pt idx="12">
                  <c:v>5.1999999999999957</c:v>
                </c:pt>
                <c:pt idx="13">
                  <c:v>5.2999999999999954</c:v>
                </c:pt>
                <c:pt idx="14">
                  <c:v>5.399999999999995</c:v>
                </c:pt>
                <c:pt idx="15">
                  <c:v>5.4999999999999947</c:v>
                </c:pt>
                <c:pt idx="16">
                  <c:v>5.5999999999999943</c:v>
                </c:pt>
                <c:pt idx="17">
                  <c:v>5.699999999999994</c:v>
                </c:pt>
                <c:pt idx="18">
                  <c:v>5.7999999999999936</c:v>
                </c:pt>
                <c:pt idx="19">
                  <c:v>5.8999999999999932</c:v>
                </c:pt>
                <c:pt idx="20">
                  <c:v>5.9999999999999929</c:v>
                </c:pt>
                <c:pt idx="21">
                  <c:v>6.0999999999999925</c:v>
                </c:pt>
                <c:pt idx="22">
                  <c:v>6.1999999999999922</c:v>
                </c:pt>
                <c:pt idx="23">
                  <c:v>6.2999999999999918</c:v>
                </c:pt>
                <c:pt idx="24">
                  <c:v>6.3999999999999915</c:v>
                </c:pt>
                <c:pt idx="25">
                  <c:v>6.4999999999999911</c:v>
                </c:pt>
                <c:pt idx="26">
                  <c:v>6.5999999999999908</c:v>
                </c:pt>
                <c:pt idx="27">
                  <c:v>6.6999999999999904</c:v>
                </c:pt>
                <c:pt idx="28">
                  <c:v>6.7999999999999901</c:v>
                </c:pt>
                <c:pt idx="29">
                  <c:v>6.8999999999999897</c:v>
                </c:pt>
                <c:pt idx="30">
                  <c:v>6.9999999999999893</c:v>
                </c:pt>
                <c:pt idx="31">
                  <c:v>7.099999999999989</c:v>
                </c:pt>
                <c:pt idx="32">
                  <c:v>7.1999999999999886</c:v>
                </c:pt>
                <c:pt idx="33">
                  <c:v>7.2999999999999883</c:v>
                </c:pt>
                <c:pt idx="34">
                  <c:v>7.3999999999999879</c:v>
                </c:pt>
                <c:pt idx="35">
                  <c:v>7.4999999999999876</c:v>
                </c:pt>
                <c:pt idx="36">
                  <c:v>7.5999999999999872</c:v>
                </c:pt>
                <c:pt idx="37">
                  <c:v>7.6999999999999869</c:v>
                </c:pt>
                <c:pt idx="38">
                  <c:v>7.7999999999999865</c:v>
                </c:pt>
                <c:pt idx="39">
                  <c:v>7.8999999999999861</c:v>
                </c:pt>
                <c:pt idx="40">
                  <c:v>7.9999999999999858</c:v>
                </c:pt>
                <c:pt idx="41">
                  <c:v>8.0999999999999854</c:v>
                </c:pt>
                <c:pt idx="42">
                  <c:v>8.1999999999999851</c:v>
                </c:pt>
                <c:pt idx="43">
                  <c:v>8.2999999999999847</c:v>
                </c:pt>
                <c:pt idx="44">
                  <c:v>8.3999999999999844</c:v>
                </c:pt>
                <c:pt idx="45">
                  <c:v>8.499999999999984</c:v>
                </c:pt>
                <c:pt idx="46">
                  <c:v>8.5999999999999837</c:v>
                </c:pt>
                <c:pt idx="47">
                  <c:v>8.6999999999999833</c:v>
                </c:pt>
                <c:pt idx="48">
                  <c:v>8.7999999999999829</c:v>
                </c:pt>
                <c:pt idx="49">
                  <c:v>8.8999999999999826</c:v>
                </c:pt>
                <c:pt idx="50">
                  <c:v>8.9999999999999822</c:v>
                </c:pt>
                <c:pt idx="51">
                  <c:v>9.0999999999999819</c:v>
                </c:pt>
                <c:pt idx="52">
                  <c:v>9.1999999999999815</c:v>
                </c:pt>
                <c:pt idx="53">
                  <c:v>9.2999999999999812</c:v>
                </c:pt>
                <c:pt idx="54">
                  <c:v>9.3999999999999808</c:v>
                </c:pt>
                <c:pt idx="55">
                  <c:v>9.4999999999999805</c:v>
                </c:pt>
                <c:pt idx="56">
                  <c:v>9.5999999999999801</c:v>
                </c:pt>
                <c:pt idx="57">
                  <c:v>9.6999999999999797</c:v>
                </c:pt>
                <c:pt idx="58">
                  <c:v>9.7999999999999794</c:v>
                </c:pt>
                <c:pt idx="59">
                  <c:v>9.899999999999979</c:v>
                </c:pt>
                <c:pt idx="60">
                  <c:v>9.9999999999999787</c:v>
                </c:pt>
              </c:numCache>
            </c:numRef>
          </c:xVal>
          <c:yVal>
            <c:numRef>
              <c:f>Kow_fitting!$D$2:$D$62</c:f>
              <c:numCache>
                <c:formatCode>General</c:formatCode>
                <c:ptCount val="61"/>
                <c:pt idx="0">
                  <c:v>0.24978292817519065</c:v>
                </c:pt>
                <c:pt idx="1">
                  <c:v>0.42815245070092978</c:v>
                </c:pt>
                <c:pt idx="2">
                  <c:v>0.60652197322666801</c:v>
                </c:pt>
                <c:pt idx="3">
                  <c:v>0.78489149575240713</c:v>
                </c:pt>
                <c:pt idx="4">
                  <c:v>0.96326101827814536</c:v>
                </c:pt>
                <c:pt idx="5">
                  <c:v>1.1416305408038845</c:v>
                </c:pt>
                <c:pt idx="6">
                  <c:v>1.3200000633296227</c:v>
                </c:pt>
                <c:pt idx="7">
                  <c:v>1.498369585855361</c:v>
                </c:pt>
                <c:pt idx="8">
                  <c:v>1.676739108381101</c:v>
                </c:pt>
                <c:pt idx="9">
                  <c:v>1.8551086309068392</c:v>
                </c:pt>
                <c:pt idx="10">
                  <c:v>2.0334781534325774</c:v>
                </c:pt>
                <c:pt idx="11">
                  <c:v>2.2118476759583174</c:v>
                </c:pt>
                <c:pt idx="12">
                  <c:v>2.3902171984840557</c:v>
                </c:pt>
                <c:pt idx="13">
                  <c:v>2.5685867210097939</c:v>
                </c:pt>
                <c:pt idx="14">
                  <c:v>2.7469562435355321</c:v>
                </c:pt>
                <c:pt idx="15">
                  <c:v>2.9253257660612721</c:v>
                </c:pt>
                <c:pt idx="16">
                  <c:v>3.1036952885870104</c:v>
                </c:pt>
                <c:pt idx="17">
                  <c:v>3.2820648111127486</c:v>
                </c:pt>
                <c:pt idx="18">
                  <c:v>3.4604343336384886</c:v>
                </c:pt>
                <c:pt idx="19">
                  <c:v>3.6388038561642269</c:v>
                </c:pt>
                <c:pt idx="20">
                  <c:v>3.8171733786899651</c:v>
                </c:pt>
                <c:pt idx="21">
                  <c:v>3.9955429012157033</c:v>
                </c:pt>
                <c:pt idx="22">
                  <c:v>4.1739124237414433</c:v>
                </c:pt>
                <c:pt idx="23">
                  <c:v>4.3522819462671816</c:v>
                </c:pt>
                <c:pt idx="24">
                  <c:v>4.5306514687929198</c:v>
                </c:pt>
                <c:pt idx="25">
                  <c:v>4.7090209913186598</c:v>
                </c:pt>
                <c:pt idx="26">
                  <c:v>4.887390513844398</c:v>
                </c:pt>
                <c:pt idx="27">
                  <c:v>5.0657600363701363</c:v>
                </c:pt>
                <c:pt idx="28">
                  <c:v>5.2441295588958745</c:v>
                </c:pt>
                <c:pt idx="29">
                  <c:v>5.4224990814216145</c:v>
                </c:pt>
                <c:pt idx="30">
                  <c:v>5.6008686039473528</c:v>
                </c:pt>
                <c:pt idx="31">
                  <c:v>5.779238126473091</c:v>
                </c:pt>
                <c:pt idx="32">
                  <c:v>5.9576076489988292</c:v>
                </c:pt>
                <c:pt idx="33">
                  <c:v>6.1359771715245692</c:v>
                </c:pt>
                <c:pt idx="34">
                  <c:v>6.3143466940503075</c:v>
                </c:pt>
                <c:pt idx="35">
                  <c:v>6.4927162165760457</c:v>
                </c:pt>
                <c:pt idx="36">
                  <c:v>6.6710857391017857</c:v>
                </c:pt>
                <c:pt idx="37">
                  <c:v>6.8494552616275239</c:v>
                </c:pt>
                <c:pt idx="38">
                  <c:v>7.0278247841532622</c:v>
                </c:pt>
                <c:pt idx="39">
                  <c:v>7.2061943066790004</c:v>
                </c:pt>
                <c:pt idx="40">
                  <c:v>7.3845638292047404</c:v>
                </c:pt>
                <c:pt idx="41">
                  <c:v>7.5629333517304786</c:v>
                </c:pt>
                <c:pt idx="42">
                  <c:v>7.7413028742562169</c:v>
                </c:pt>
                <c:pt idx="43">
                  <c:v>7.9196723967819569</c:v>
                </c:pt>
                <c:pt idx="44">
                  <c:v>8.0980419193076951</c:v>
                </c:pt>
                <c:pt idx="45">
                  <c:v>8.2764114418334334</c:v>
                </c:pt>
                <c:pt idx="46">
                  <c:v>8.4547809643591716</c:v>
                </c:pt>
                <c:pt idx="47">
                  <c:v>8.6331504868849116</c:v>
                </c:pt>
                <c:pt idx="48">
                  <c:v>8.8115200094106498</c:v>
                </c:pt>
                <c:pt idx="49">
                  <c:v>8.9898895319363881</c:v>
                </c:pt>
                <c:pt idx="50">
                  <c:v>9.1682590544621281</c:v>
                </c:pt>
                <c:pt idx="51">
                  <c:v>9.3466285769878663</c:v>
                </c:pt>
                <c:pt idx="52">
                  <c:v>9.5249980995136045</c:v>
                </c:pt>
                <c:pt idx="53">
                  <c:v>9.7033676220393428</c:v>
                </c:pt>
                <c:pt idx="54">
                  <c:v>9.881737144565081</c:v>
                </c:pt>
                <c:pt idx="55">
                  <c:v>10.060106667090819</c:v>
                </c:pt>
                <c:pt idx="56">
                  <c:v>10.238476189616561</c:v>
                </c:pt>
                <c:pt idx="57">
                  <c:v>10.416845712142299</c:v>
                </c:pt>
                <c:pt idx="58">
                  <c:v>10.595215234668037</c:v>
                </c:pt>
                <c:pt idx="59">
                  <c:v>10.773584757193776</c:v>
                </c:pt>
                <c:pt idx="60">
                  <c:v>10.951954279719514</c:v>
                </c:pt>
              </c:numCache>
            </c:numRef>
          </c:yVal>
          <c:smooth val="0"/>
        </c:ser>
        <c:ser>
          <c:idx val="1"/>
          <c:order val="1"/>
          <c:tx>
            <c:v>Experimental 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'PRC model'!$B$14:$G$14</c:f>
              <c:numCache>
                <c:formatCode>General</c:formatCode>
                <c:ptCount val="6"/>
                <c:pt idx="0">
                  <c:v>5.67</c:v>
                </c:pt>
                <c:pt idx="1">
                  <c:v>5.84</c:v>
                </c:pt>
                <c:pt idx="2">
                  <c:v>6.38</c:v>
                </c:pt>
                <c:pt idx="3">
                  <c:v>6.83</c:v>
                </c:pt>
                <c:pt idx="4">
                  <c:v>6.92</c:v>
                </c:pt>
                <c:pt idx="5">
                  <c:v>7.36</c:v>
                </c:pt>
              </c:numCache>
            </c:numRef>
          </c:xVal>
          <c:yVal>
            <c:numRef>
              <c:f>fitted_R!$C$3:$H$3</c:f>
              <c:numCache>
                <c:formatCode>General</c:formatCode>
                <c:ptCount val="6"/>
                <c:pt idx="0">
                  <c:v>2.9375108062638922</c:v>
                </c:pt>
                <c:pt idx="1">
                  <c:v>3.9371936693530643</c:v>
                </c:pt>
                <c:pt idx="2">
                  <c:v>4.6181267164670761</c:v>
                </c:pt>
                <c:pt idx="3">
                  <c:v>5.3682569416420947</c:v>
                </c:pt>
                <c:pt idx="4">
                  <c:v>4.8161831490493778</c:v>
                </c:pt>
                <c:pt idx="5">
                  <c:v>6.576854665136536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742656"/>
        <c:axId val="186761600"/>
      </c:scatterChart>
      <c:valAx>
        <c:axId val="186742656"/>
        <c:scaling>
          <c:orientation val="minMax"/>
          <c:max val="10"/>
          <c:min val="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log(Kow)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61600"/>
        <c:crosses val="autoZero"/>
        <c:crossBetween val="midCat"/>
      </c:valAx>
      <c:valAx>
        <c:axId val="1867616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log(R)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742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38</xdr:row>
      <xdr:rowOff>180975</xdr:rowOff>
    </xdr:from>
    <xdr:to>
      <xdr:col>13</xdr:col>
      <xdr:colOff>57150</xdr:colOff>
      <xdr:row>55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32</xdr:row>
          <xdr:rowOff>19050</xdr:rowOff>
        </xdr:from>
        <xdr:to>
          <xdr:col>7</xdr:col>
          <xdr:colOff>9525</xdr:colOff>
          <xdr:row>34</xdr:row>
          <xdr:rowOff>66675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Fit fss Data</a:t>
              </a:r>
            </a:p>
          </xdr:txBody>
        </xdr:sp>
        <xdr:clientData fPrintsWithSheet="0"/>
      </xdr:twoCellAnchor>
    </mc:Choice>
    <mc:Fallback/>
  </mc:AlternateContent>
  <xdr:twoCellAnchor>
    <xdr:from>
      <xdr:col>13</xdr:col>
      <xdr:colOff>104775</xdr:colOff>
      <xdr:row>21</xdr:row>
      <xdr:rowOff>0</xdr:rowOff>
    </xdr:from>
    <xdr:to>
      <xdr:col>16</xdr:col>
      <xdr:colOff>866774</xdr:colOff>
      <xdr:row>34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381000</xdr:colOff>
      <xdr:row>21</xdr:row>
      <xdr:rowOff>47625</xdr:rowOff>
    </xdr:from>
    <xdr:to>
      <xdr:col>12</xdr:col>
      <xdr:colOff>342899</xdr:colOff>
      <xdr:row>35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1143000</xdr:colOff>
      <xdr:row>20</xdr:row>
      <xdr:rowOff>142875</xdr:rowOff>
    </xdr:from>
    <xdr:to>
      <xdr:col>20</xdr:col>
      <xdr:colOff>552449</xdr:colOff>
      <xdr:row>34</xdr:row>
      <xdr:rowOff>95250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_analysis_new_9_13%20(CECE288933's%20conflicted%20copy%202016-10-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Sim model"/>
      <sheetName val="rec vs Cyl"/>
      <sheetName val="in_situ_baseline_gen"/>
      <sheetName val="D"/>
      <sheetName val="in_situ_AC_general"/>
      <sheetName val="in_situ_baseline_general (2)"/>
      <sheetName val="PRC loading"/>
      <sheetName val="PRC model"/>
      <sheetName val="in_situ_AC_2_gen"/>
      <sheetName val="in_situ_baseline_general"/>
      <sheetName val="in_situ_baseline_no_measure"/>
      <sheetName val="in_situ_AC_2_extrac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8"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B93"/>
  <sheetViews>
    <sheetView tabSelected="1" topLeftCell="A19" zoomScaleNormal="100" workbookViewId="0">
      <selection activeCell="E38" sqref="E38"/>
    </sheetView>
  </sheetViews>
  <sheetFormatPr defaultRowHeight="15" x14ac:dyDescent="0.25"/>
  <cols>
    <col min="1" max="1" width="27" customWidth="1"/>
    <col min="2" max="2" width="10.85546875" customWidth="1"/>
    <col min="3" max="3" width="11.140625" customWidth="1"/>
    <col min="14" max="14" width="11.28515625" customWidth="1"/>
    <col min="15" max="15" width="13" customWidth="1"/>
    <col min="16" max="16" width="9.42578125" customWidth="1"/>
    <col min="17" max="17" width="26.5703125" customWidth="1"/>
  </cols>
  <sheetData>
    <row r="1" spans="1:28" x14ac:dyDescent="0.25">
      <c r="A1" s="2" t="s">
        <v>59</v>
      </c>
    </row>
    <row r="2" spans="1:28" x14ac:dyDescent="0.25">
      <c r="A2" t="s">
        <v>50</v>
      </c>
    </row>
    <row r="3" spans="1:28" x14ac:dyDescent="0.25">
      <c r="A3" t="s">
        <v>69</v>
      </c>
      <c r="P3" s="6"/>
    </row>
    <row r="4" spans="1:28" x14ac:dyDescent="0.25">
      <c r="A4" s="3">
        <v>43299</v>
      </c>
    </row>
    <row r="6" spans="1:28" x14ac:dyDescent="0.25">
      <c r="A6" s="9" t="s">
        <v>4</v>
      </c>
      <c r="B6" t="s">
        <v>7</v>
      </c>
      <c r="C6" t="s">
        <v>6</v>
      </c>
      <c r="D6" t="s">
        <v>5</v>
      </c>
    </row>
    <row r="7" spans="1:28" x14ac:dyDescent="0.25">
      <c r="A7" t="s">
        <v>57</v>
      </c>
      <c r="B7" s="11" t="s">
        <v>1</v>
      </c>
      <c r="C7" s="13">
        <v>2.4850000000000001E-2</v>
      </c>
      <c r="D7" s="11" t="s">
        <v>22</v>
      </c>
      <c r="E7" s="12"/>
      <c r="F7" s="12"/>
      <c r="G7" s="12"/>
      <c r="K7" s="1"/>
    </row>
    <row r="8" spans="1:28" x14ac:dyDescent="0.25">
      <c r="A8" t="s">
        <v>58</v>
      </c>
      <c r="B8" s="11" t="s">
        <v>2</v>
      </c>
      <c r="C8" s="13">
        <v>2.835E-2</v>
      </c>
      <c r="D8" s="11" t="s">
        <v>22</v>
      </c>
      <c r="E8" s="12"/>
      <c r="F8" s="12"/>
      <c r="G8" s="12"/>
      <c r="K8" s="1"/>
    </row>
    <row r="9" spans="1:28" x14ac:dyDescent="0.25">
      <c r="A9" t="s">
        <v>8</v>
      </c>
      <c r="B9" s="11" t="s">
        <v>3</v>
      </c>
      <c r="C9" s="13">
        <v>30</v>
      </c>
      <c r="D9" s="11" t="s">
        <v>0</v>
      </c>
      <c r="E9" s="12"/>
      <c r="F9" s="12"/>
      <c r="G9" s="12"/>
      <c r="K9" s="1"/>
    </row>
    <row r="10" spans="1:28" x14ac:dyDescent="0.25">
      <c r="B10" s="12"/>
      <c r="C10" s="12"/>
      <c r="D10" s="12"/>
      <c r="E10" s="12"/>
      <c r="F10" s="12"/>
      <c r="G10" s="11"/>
      <c r="H10" s="1"/>
      <c r="I10" s="1"/>
    </row>
    <row r="11" spans="1:28" x14ac:dyDescent="0.25">
      <c r="A11" s="9" t="s">
        <v>9</v>
      </c>
      <c r="B11" s="13">
        <v>6</v>
      </c>
      <c r="C11" s="12"/>
      <c r="D11" s="12"/>
      <c r="E11" s="12"/>
      <c r="F11" s="12"/>
      <c r="G11" s="11"/>
      <c r="H11" s="1"/>
      <c r="I11" s="1"/>
      <c r="K11" s="4"/>
    </row>
    <row r="12" spans="1:28" x14ac:dyDescent="0.25">
      <c r="A12" t="s">
        <v>10</v>
      </c>
      <c r="B12" s="12">
        <f>PRCNumber(1,$B$11)</f>
        <v>1</v>
      </c>
      <c r="C12" s="12">
        <f>PRCNumber(2,$B$11)</f>
        <v>2</v>
      </c>
      <c r="D12" s="12">
        <f>PRCNumber(3,$B$11)</f>
        <v>3</v>
      </c>
      <c r="E12" s="12">
        <f>PRCNumber(4,$B$11)</f>
        <v>4</v>
      </c>
      <c r="F12" s="12">
        <f>PRCNumber(5,$B$11)</f>
        <v>5</v>
      </c>
      <c r="G12" s="12">
        <f>PRCNumber(6,$B$11)</f>
        <v>6</v>
      </c>
      <c r="H12" t="str">
        <f>PRCNumber(7,$B$11)</f>
        <v/>
      </c>
      <c r="I12" t="str">
        <f>PRCNumber(8,$B$11)</f>
        <v/>
      </c>
      <c r="J12" t="str">
        <f>PRCNumber(9,$B$11)</f>
        <v/>
      </c>
      <c r="K12" t="str">
        <f>PRCNumber(10,$B$11)</f>
        <v/>
      </c>
      <c r="L12" t="str">
        <f>PRCNumber(11,$B$11)</f>
        <v/>
      </c>
      <c r="M12" t="str">
        <f>PRCNumber(12,$B$11)</f>
        <v/>
      </c>
      <c r="N12" t="str">
        <f>PRCNumber(13,$B$11)</f>
        <v/>
      </c>
      <c r="O12" t="str">
        <f>PRCNumber(14,$B$11)</f>
        <v/>
      </c>
      <c r="P12" t="str">
        <f>PRCNumber(15,$B$11)</f>
        <v/>
      </c>
      <c r="Q12" t="str">
        <f>PRCNumber(16,$B$11)</f>
        <v/>
      </c>
      <c r="R12" t="str">
        <f>PRCNumber(17,$B$11)</f>
        <v/>
      </c>
      <c r="S12" t="str">
        <f>PRCNumber(18,$B$11)</f>
        <v/>
      </c>
      <c r="T12" t="str">
        <f>PRCNumber(19,$B$11)</f>
        <v/>
      </c>
      <c r="U12" t="str">
        <f>PRCNumber(20,$B$11)</f>
        <v/>
      </c>
      <c r="V12" t="str">
        <f>PRCNumber(21,$B$11)</f>
        <v/>
      </c>
      <c r="W12" t="str">
        <f>PRCNumber(22,$B$11)</f>
        <v/>
      </c>
      <c r="X12" t="str">
        <f>PRCNumber(23,$B$11)</f>
        <v/>
      </c>
      <c r="Y12" t="str">
        <f>PRCNumber(24,$B$11)</f>
        <v/>
      </c>
      <c r="Z12" t="str">
        <f>PRCNumber(25,$B$11)</f>
        <v/>
      </c>
    </row>
    <row r="13" spans="1:28" x14ac:dyDescent="0.25">
      <c r="A13" t="s">
        <v>11</v>
      </c>
      <c r="B13" s="10" t="s">
        <v>13</v>
      </c>
      <c r="C13" s="10" t="s">
        <v>55</v>
      </c>
      <c r="D13" s="10" t="s">
        <v>14</v>
      </c>
      <c r="E13" s="10" t="s">
        <v>15</v>
      </c>
      <c r="F13" s="10" t="s">
        <v>56</v>
      </c>
      <c r="G13" s="10" t="s">
        <v>16</v>
      </c>
      <c r="H13" s="5"/>
      <c r="I13" s="5"/>
      <c r="K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x14ac:dyDescent="0.25">
      <c r="A14" t="s">
        <v>12</v>
      </c>
      <c r="B14" s="10">
        <v>5.67</v>
      </c>
      <c r="C14" s="10">
        <v>5.84</v>
      </c>
      <c r="D14" s="10">
        <v>6.38</v>
      </c>
      <c r="E14" s="10">
        <v>6.83</v>
      </c>
      <c r="F14" s="10">
        <v>6.92</v>
      </c>
      <c r="G14" s="10">
        <v>7.36</v>
      </c>
      <c r="H14" s="5"/>
      <c r="I14" s="5"/>
      <c r="K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8" x14ac:dyDescent="0.25">
      <c r="A15" t="s">
        <v>17</v>
      </c>
      <c r="B15" s="10">
        <v>5.3524900000000004</v>
      </c>
      <c r="C15" s="10">
        <v>5.5134800000000004</v>
      </c>
      <c r="D15" s="10">
        <v>6.0248600000000003</v>
      </c>
      <c r="E15" s="10">
        <v>6.4510100000000001</v>
      </c>
      <c r="F15" s="10">
        <v>6.5362400000000003</v>
      </c>
      <c r="G15" s="10">
        <v>6.9529199999999998</v>
      </c>
      <c r="K15" s="5"/>
    </row>
    <row r="16" spans="1:28" x14ac:dyDescent="0.25">
      <c r="A16" t="s">
        <v>23</v>
      </c>
      <c r="B16" s="10">
        <v>0.55676881507531728</v>
      </c>
      <c r="C16" s="10">
        <v>0.55913787309111374</v>
      </c>
      <c r="D16" s="10">
        <v>0.35298058095770457</v>
      </c>
      <c r="E16" s="10">
        <v>0.27933176001033722</v>
      </c>
      <c r="F16" s="10">
        <v>0.15522401667758556</v>
      </c>
      <c r="G16" s="10">
        <v>0.30407353432428263</v>
      </c>
    </row>
    <row r="17" spans="1:4" x14ac:dyDescent="0.25">
      <c r="B17" s="12"/>
    </row>
    <row r="18" spans="1:4" x14ac:dyDescent="0.25">
      <c r="A18" s="9" t="s">
        <v>54</v>
      </c>
      <c r="B18" s="12"/>
    </row>
    <row r="19" spans="1:4" x14ac:dyDescent="0.25">
      <c r="A19" t="s">
        <v>60</v>
      </c>
      <c r="B19" s="10" t="s">
        <v>70</v>
      </c>
    </row>
    <row r="20" spans="1:4" x14ac:dyDescent="0.25">
      <c r="A20" t="s">
        <v>61</v>
      </c>
      <c r="B20" s="10">
        <v>1</v>
      </c>
    </row>
    <row r="21" spans="1:4" x14ac:dyDescent="0.25">
      <c r="A21" t="s">
        <v>26</v>
      </c>
      <c r="B21" s="12">
        <v>1</v>
      </c>
    </row>
    <row r="22" spans="1:4" x14ac:dyDescent="0.25">
      <c r="A22" t="s">
        <v>36</v>
      </c>
      <c r="B22" s="12">
        <f>10^0.1</f>
        <v>1.2589254117941673</v>
      </c>
    </row>
    <row r="24" spans="1:4" x14ac:dyDescent="0.25">
      <c r="A24" t="s">
        <v>27</v>
      </c>
    </row>
    <row r="25" spans="1:4" x14ac:dyDescent="0.25">
      <c r="A25" t="s">
        <v>44</v>
      </c>
      <c r="B25" t="s">
        <v>51</v>
      </c>
    </row>
    <row r="26" spans="1:4" x14ac:dyDescent="0.25">
      <c r="B26" s="12" t="s">
        <v>52</v>
      </c>
      <c r="C26" s="12" t="s">
        <v>53</v>
      </c>
      <c r="D26" s="12" t="s">
        <v>39</v>
      </c>
    </row>
    <row r="27" spans="1:4" x14ac:dyDescent="0.25">
      <c r="B27">
        <v>-0.31826805293741045</v>
      </c>
      <c r="C27">
        <v>0.21900709805878504</v>
      </c>
      <c r="D27">
        <v>0.64570969677571244</v>
      </c>
    </row>
    <row r="29" spans="1:4" x14ac:dyDescent="0.25">
      <c r="A29" t="s">
        <v>45</v>
      </c>
      <c r="B29" t="s">
        <v>66</v>
      </c>
    </row>
    <row r="30" spans="1:4" x14ac:dyDescent="0.25">
      <c r="B30" s="12" t="s">
        <v>42</v>
      </c>
      <c r="C30" s="12" t="s">
        <v>43</v>
      </c>
      <c r="D30" s="12" t="s">
        <v>39</v>
      </c>
    </row>
    <row r="31" spans="1:4" x14ac:dyDescent="0.25">
      <c r="B31">
        <v>1.135184779683712</v>
      </c>
      <c r="C31">
        <v>-7.1865394761615784</v>
      </c>
      <c r="D31">
        <v>0.82259715062805272</v>
      </c>
    </row>
    <row r="33" spans="1:11" x14ac:dyDescent="0.25">
      <c r="A33" t="s">
        <v>46</v>
      </c>
      <c r="B33" t="s">
        <v>47</v>
      </c>
    </row>
    <row r="34" spans="1:11" x14ac:dyDescent="0.25">
      <c r="A34" t="s">
        <v>19</v>
      </c>
      <c r="B34" s="12" t="s">
        <v>20</v>
      </c>
      <c r="C34" s="12" t="s">
        <v>21</v>
      </c>
      <c r="D34" s="12" t="s">
        <v>39</v>
      </c>
    </row>
    <row r="35" spans="1:11" x14ac:dyDescent="0.25">
      <c r="A35" s="7">
        <v>1.0446480654270215E-5</v>
      </c>
      <c r="B35">
        <v>1.7836952252573937</v>
      </c>
      <c r="C35">
        <v>-6.884997972854384</v>
      </c>
      <c r="D35">
        <v>0.89672831554435639</v>
      </c>
    </row>
    <row r="37" spans="1:11" x14ac:dyDescent="0.25">
      <c r="B37" t="s">
        <v>25</v>
      </c>
    </row>
    <row r="38" spans="1:11" x14ac:dyDescent="0.25">
      <c r="A38" t="s">
        <v>24</v>
      </c>
      <c r="B38" t="s">
        <v>18</v>
      </c>
    </row>
    <row r="39" spans="1:11" x14ac:dyDescent="0.25">
      <c r="A39" s="1" t="s">
        <v>19</v>
      </c>
      <c r="B39" s="6" t="s">
        <v>20</v>
      </c>
      <c r="C39" s="6" t="s">
        <v>21</v>
      </c>
      <c r="D39" t="s">
        <v>39</v>
      </c>
      <c r="K39" s="6"/>
    </row>
    <row r="40" spans="1:11" x14ac:dyDescent="0.25">
      <c r="A40" s="7">
        <v>5.0000000000000004E-6</v>
      </c>
      <c r="B40">
        <v>1.3430040116817692</v>
      </c>
      <c r="C40">
        <v>-3.4090368136071207</v>
      </c>
      <c r="D40">
        <v>0.86304738547039261</v>
      </c>
    </row>
    <row r="41" spans="1:11" x14ac:dyDescent="0.25">
      <c r="A41" s="7">
        <f>A40*10^0.02</f>
        <v>5.2356427402544986E-6</v>
      </c>
      <c r="B41">
        <v>1.3549661742147456</v>
      </c>
      <c r="C41">
        <v>-3.5159300201827897</v>
      </c>
      <c r="D41">
        <v>0.86484854693893398</v>
      </c>
    </row>
    <row r="42" spans="1:11" x14ac:dyDescent="0.25">
      <c r="A42" s="7">
        <f t="shared" ref="A42:A77" si="0">A41*10^0.02</f>
        <v>5.4823909807159268E-6</v>
      </c>
      <c r="B42">
        <v>1.3678952648360729</v>
      </c>
      <c r="C42">
        <v>-3.6297496934693765</v>
      </c>
      <c r="D42">
        <v>0.86674889336741112</v>
      </c>
    </row>
    <row r="43" spans="1:11" x14ac:dyDescent="0.25">
      <c r="A43" s="7">
        <f t="shared" si="0"/>
        <v>5.7407681074844162E-6</v>
      </c>
      <c r="B43">
        <v>1.381861394743928</v>
      </c>
      <c r="C43">
        <v>-3.7509965590584269</v>
      </c>
      <c r="D43">
        <v>0.86873307256224575</v>
      </c>
    </row>
    <row r="44" spans="1:11" x14ac:dyDescent="0.25">
      <c r="A44" s="7">
        <f t="shared" si="0"/>
        <v>6.0113221730870676E-6</v>
      </c>
      <c r="B44">
        <v>1.3970458695041257</v>
      </c>
      <c r="C44">
        <v>-3.8809244995810364</v>
      </c>
      <c r="D44">
        <v>0.87081749478896509</v>
      </c>
    </row>
    <row r="45" spans="1:11" x14ac:dyDescent="0.25">
      <c r="A45" s="7">
        <f t="shared" si="0"/>
        <v>6.2946270589708399E-6</v>
      </c>
      <c r="B45">
        <v>1.4135333766429832</v>
      </c>
      <c r="C45">
        <v>-4.0201576484596879</v>
      </c>
      <c r="D45">
        <v>0.87298985151365494</v>
      </c>
    </row>
    <row r="46" spans="1:11" x14ac:dyDescent="0.25">
      <c r="A46" s="7">
        <f t="shared" si="0"/>
        <v>6.5912836927820397E-6</v>
      </c>
      <c r="B46">
        <v>1.4315319029162406</v>
      </c>
      <c r="C46">
        <v>-4.1701452101363925</v>
      </c>
      <c r="D46">
        <v>0.87525799924513403</v>
      </c>
    </row>
    <row r="47" spans="1:11" x14ac:dyDescent="0.25">
      <c r="A47" s="7">
        <f t="shared" si="0"/>
        <v>6.9019213230144295E-6</v>
      </c>
      <c r="B47">
        <v>1.451254527085204</v>
      </c>
      <c r="C47">
        <v>-4.3323963002943495</v>
      </c>
      <c r="D47">
        <v>0.87761190018783464</v>
      </c>
    </row>
    <row r="48" spans="1:11" x14ac:dyDescent="0.25">
      <c r="A48" s="7">
        <f t="shared" si="0"/>
        <v>7.2271988537296435E-6</v>
      </c>
      <c r="B48">
        <v>1.4729622927529746</v>
      </c>
      <c r="C48">
        <v>-4.5087405804614713</v>
      </c>
      <c r="D48">
        <v>0.88004512640246202</v>
      </c>
    </row>
    <row r="49" spans="1:4" x14ac:dyDescent="0.25">
      <c r="A49" s="7">
        <f t="shared" si="0"/>
        <v>7.5678062421810475E-6</v>
      </c>
      <c r="B49">
        <v>1.4969326981598579</v>
      </c>
      <c r="C49">
        <v>-4.7011144950174595</v>
      </c>
      <c r="D49">
        <v>0.88254531778990331</v>
      </c>
    </row>
    <row r="50" spans="1:4" x14ac:dyDescent="0.25">
      <c r="A50" s="7">
        <f t="shared" si="0"/>
        <v>7.9244659623055757E-6</v>
      </c>
      <c r="B50">
        <v>1.523592488708452</v>
      </c>
      <c r="C50">
        <v>-4.9125088362040525</v>
      </c>
      <c r="D50">
        <v>0.88508257803633927</v>
      </c>
    </row>
    <row r="51" spans="1:4" x14ac:dyDescent="0.25">
      <c r="A51" s="7">
        <f t="shared" si="0"/>
        <v>8.2979345371878126E-6</v>
      </c>
      <c r="B51">
        <v>1.5534025225068171</v>
      </c>
      <c r="C51">
        <v>-5.1461479148836089</v>
      </c>
      <c r="D51">
        <v>0.88762113880132665</v>
      </c>
    </row>
    <row r="52" spans="1:4" x14ac:dyDescent="0.25">
      <c r="A52" s="7">
        <f t="shared" si="0"/>
        <v>8.6890041437468887E-6</v>
      </c>
      <c r="B52">
        <v>1.5870637050654059</v>
      </c>
      <c r="C52">
        <v>-5.4069336101289194</v>
      </c>
      <c r="D52">
        <v>0.89011446407321593</v>
      </c>
    </row>
    <row r="53" spans="1:4" x14ac:dyDescent="0.25">
      <c r="A53" s="7">
        <f t="shared" si="0"/>
        <v>9.0985042930499305E-6</v>
      </c>
      <c r="B53">
        <v>1.6254200622375452</v>
      </c>
      <c r="C53">
        <v>-5.7007351338024259</v>
      </c>
      <c r="D53">
        <v>0.89246833849240104</v>
      </c>
    </row>
    <row r="54" spans="1:4" x14ac:dyDescent="0.25">
      <c r="A54" s="7">
        <f t="shared" si="0"/>
        <v>9.5273035898162505E-6</v>
      </c>
      <c r="B54">
        <v>1.6696502947095646</v>
      </c>
      <c r="C54">
        <v>-6.0357742285067673</v>
      </c>
      <c r="D54">
        <v>0.89453590860101961</v>
      </c>
    </row>
    <row r="55" spans="1:4" x14ac:dyDescent="0.25">
      <c r="A55" s="7">
        <f t="shared" si="0"/>
        <v>9.9763115748444134E-6</v>
      </c>
      <c r="B55">
        <v>1.7215273228426686</v>
      </c>
      <c r="C55">
        <v>-6.4244027036558835</v>
      </c>
      <c r="D55">
        <v>0.89608308959126415</v>
      </c>
    </row>
    <row r="56" spans="1:4" x14ac:dyDescent="0.25">
      <c r="A56" s="7">
        <f t="shared" si="0"/>
        <v>1.0446480654270215E-5</v>
      </c>
      <c r="B56">
        <v>1.7836952252573937</v>
      </c>
      <c r="C56">
        <v>-6.884997972854384</v>
      </c>
      <c r="D56">
        <v>0.89672831554435639</v>
      </c>
    </row>
    <row r="57" spans="1:4" x14ac:dyDescent="0.25">
      <c r="A57" s="7">
        <f t="shared" si="0"/>
        <v>1.0938808119747782E-5</v>
      </c>
      <c r="B57">
        <v>1.8604265003845155</v>
      </c>
      <c r="C57">
        <v>-7.4472530874475567</v>
      </c>
      <c r="D57">
        <v>0.8957525569869953</v>
      </c>
    </row>
    <row r="58" spans="1:4" x14ac:dyDescent="0.25">
      <c r="A58" s="7">
        <f t="shared" si="0"/>
        <v>1.1454338263838886E-5</v>
      </c>
      <c r="B58">
        <v>1.9599015043786896</v>
      </c>
      <c r="C58">
        <v>-8.1679530740183424</v>
      </c>
      <c r="D58">
        <v>0.89175633032106494</v>
      </c>
    </row>
    <row r="59" spans="1:4" x14ac:dyDescent="0.25">
      <c r="A59" s="7">
        <f t="shared" si="0"/>
        <v>1.1994164595097476E-5</v>
      </c>
      <c r="B59">
        <v>2.099957696195395</v>
      </c>
      <c r="C59">
        <v>-9.1708792251811531</v>
      </c>
      <c r="D59">
        <v>0.88151662501547323</v>
      </c>
    </row>
    <row r="60" spans="1:4" x14ac:dyDescent="0.25">
      <c r="A60" s="7">
        <f t="shared" si="0"/>
        <v>1.2559432157547926E-5</v>
      </c>
      <c r="B60">
        <v>2.3361113779056413</v>
      </c>
      <c r="C60">
        <v>-10.841113262882999</v>
      </c>
      <c r="D60">
        <v>0.85510318269775565</v>
      </c>
    </row>
    <row r="61" spans="1:4" x14ac:dyDescent="0.25">
      <c r="A61" s="7">
        <f t="shared" si="0"/>
        <v>1.3151339959476938E-5</v>
      </c>
      <c r="B61">
        <v>2.9587668539021346</v>
      </c>
      <c r="C61">
        <v>-15.192583324907659</v>
      </c>
      <c r="D61">
        <v>0.76943968051381562</v>
      </c>
    </row>
    <row r="62" spans="1:4" x14ac:dyDescent="0.25">
      <c r="A62" s="7">
        <f t="shared" si="0"/>
        <v>1.3771143516690862E-5</v>
      </c>
      <c r="B62">
        <v>2.9743492757992889</v>
      </c>
      <c r="C62">
        <v>-15.335507815595896</v>
      </c>
      <c r="D62">
        <v>0.78200323076591327</v>
      </c>
    </row>
    <row r="63" spans="1:4" x14ac:dyDescent="0.25">
      <c r="A63" s="7">
        <f t="shared" si="0"/>
        <v>1.4420157515633062E-5</v>
      </c>
      <c r="B63">
        <v>2.9947011554714318</v>
      </c>
      <c r="C63">
        <v>-15.512908555164977</v>
      </c>
      <c r="D63">
        <v>0.79628139621635952</v>
      </c>
    </row>
    <row r="64" spans="1:4" x14ac:dyDescent="0.25">
      <c r="A64" s="7">
        <f t="shared" si="0"/>
        <v>1.5099758602010116E-5</v>
      </c>
      <c r="B64">
        <v>3.0216331416042537</v>
      </c>
      <c r="C64">
        <v>-15.737621185198353</v>
      </c>
      <c r="D64">
        <v>0.81270382361511662</v>
      </c>
    </row>
    <row r="65" spans="1:4" x14ac:dyDescent="0.25">
      <c r="A65" s="7">
        <f t="shared" si="0"/>
        <v>1.5811388300841935E-5</v>
      </c>
      <c r="B65">
        <v>3.0580876502761987</v>
      </c>
      <c r="C65">
        <v>-16.030497002368225</v>
      </c>
      <c r="D65">
        <v>0.8318534562659271</v>
      </c>
    </row>
    <row r="66" spans="1:4" x14ac:dyDescent="0.25">
      <c r="A66" s="7">
        <f t="shared" si="0"/>
        <v>1.6556556074129596E-5</v>
      </c>
      <c r="B66">
        <v>3.109478253420173</v>
      </c>
      <c r="C66">
        <v>-16.429794156014168</v>
      </c>
      <c r="D66">
        <v>0.85456351242972739</v>
      </c>
    </row>
    <row r="67" spans="1:4" x14ac:dyDescent="0.25">
      <c r="A67" s="7">
        <f t="shared" si="0"/>
        <v>1.7336842522626628E-5</v>
      </c>
      <c r="B67">
        <v>3.187459130587055</v>
      </c>
      <c r="C67">
        <v>-17.01774987543391</v>
      </c>
      <c r="D67">
        <v>0.88200670112311541</v>
      </c>
    </row>
    <row r="68" spans="1:4" x14ac:dyDescent="0.25">
      <c r="A68" s="7">
        <f t="shared" si="0"/>
        <v>1.8153902738505117E-5</v>
      </c>
      <c r="B68">
        <v>3.3258456093122688</v>
      </c>
      <c r="C68">
        <v>-18.032825332549756</v>
      </c>
      <c r="D68">
        <v>0.91532580302391664</v>
      </c>
    </row>
    <row r="69" spans="1:4" x14ac:dyDescent="0.25">
      <c r="A69" s="7">
        <f t="shared" si="0"/>
        <v>1.9009469816028113E-5</v>
      </c>
      <c r="B69">
        <v>3.7704969426040309</v>
      </c>
      <c r="C69">
        <v>-21.207621605402615</v>
      </c>
      <c r="D69">
        <v>0.93655545501943827</v>
      </c>
    </row>
    <row r="70" spans="1:4" x14ac:dyDescent="0.25">
      <c r="A70" s="7">
        <f t="shared" si="0"/>
        <v>1.9905358527674918E-5</v>
      </c>
      <c r="B70">
        <v>3.8656444130584524</v>
      </c>
      <c r="C70">
        <v>-21.921560163406848</v>
      </c>
      <c r="D70">
        <v>0.93097663597466551</v>
      </c>
    </row>
    <row r="71" spans="1:4" x14ac:dyDescent="0.25">
      <c r="A71" s="7">
        <f t="shared" si="0"/>
        <v>2.084346917351683E-5</v>
      </c>
      <c r="B71">
        <v>3.8438327620772919</v>
      </c>
      <c r="C71">
        <v>-21.813540435065683</v>
      </c>
      <c r="D71">
        <v>0.93391879474807049</v>
      </c>
    </row>
    <row r="72" spans="1:4" x14ac:dyDescent="0.25">
      <c r="A72" s="7">
        <f t="shared" si="0"/>
        <v>2.1825791612008364E-5</v>
      </c>
      <c r="B72">
        <v>3.8215089298471554</v>
      </c>
      <c r="C72">
        <v>-21.704441054989559</v>
      </c>
      <c r="D72">
        <v>0.93707098552846113</v>
      </c>
    </row>
    <row r="73" spans="1:4" x14ac:dyDescent="0.25">
      <c r="A73" s="7">
        <f t="shared" si="0"/>
        <v>2.2854409480743823E-5</v>
      </c>
      <c r="B73">
        <v>3.7986623287125134</v>
      </c>
      <c r="C73">
        <v>-21.5946487043581</v>
      </c>
      <c r="D73">
        <v>0.94044479206260922</v>
      </c>
    </row>
    <row r="74" spans="1:4" x14ac:dyDescent="0.25">
      <c r="A74" s="7">
        <f t="shared" si="0"/>
        <v>2.3931504616131993E-5</v>
      </c>
      <c r="B74">
        <v>3.7752680073273881</v>
      </c>
      <c r="C74">
        <v>-21.484623936567978</v>
      </c>
      <c r="D74">
        <v>0.94404753451837198</v>
      </c>
    </row>
    <row r="75" spans="1:4" x14ac:dyDescent="0.25">
      <c r="A75" s="7">
        <f t="shared" si="0"/>
        <v>2.5059361681363697E-5</v>
      </c>
      <c r="B75">
        <v>3.7513681489298429</v>
      </c>
      <c r="C75">
        <v>-21.375510450325194</v>
      </c>
      <c r="D75">
        <v>0.94786400483805999</v>
      </c>
    </row>
    <row r="76" spans="1:4" x14ac:dyDescent="0.25">
      <c r="A76" s="7">
        <f t="shared" si="0"/>
        <v>2.6240373012488718E-5</v>
      </c>
      <c r="B76">
        <v>3.7270684346688339</v>
      </c>
      <c r="C76">
        <v>-21.269262149260644</v>
      </c>
      <c r="D76">
        <v>0.95183199202950375</v>
      </c>
    </row>
    <row r="77" spans="1:4" x14ac:dyDescent="0.25">
      <c r="A77" s="7">
        <f t="shared" si="0"/>
        <v>2.7477043692881322E-5</v>
      </c>
      <c r="B77">
        <v>3.7026237107289828</v>
      </c>
      <c r="C77">
        <v>-21.169591781201202</v>
      </c>
      <c r="D77">
        <v>0.95577222239888959</v>
      </c>
    </row>
    <row r="78" spans="1:4" x14ac:dyDescent="0.25">
      <c r="A78" s="7"/>
    </row>
    <row r="79" spans="1:4" x14ac:dyDescent="0.25">
      <c r="A79" s="7"/>
    </row>
    <row r="80" spans="1:4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3" name="Button 3">
              <controlPr defaultSize="0" print="0" autoFill="0" autoPict="0" macro="[0]!calculate_R">
                <anchor moveWithCells="1" sizeWithCells="1">
                  <from>
                    <xdr:col>5</xdr:col>
                    <xdr:colOff>0</xdr:colOff>
                    <xdr:row>32</xdr:row>
                    <xdr:rowOff>19050</xdr:rowOff>
                  </from>
                  <to>
                    <xdr:col>7</xdr:col>
                    <xdr:colOff>9525</xdr:colOff>
                    <xdr:row>34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8"/>
  <sheetViews>
    <sheetView workbookViewId="0">
      <selection activeCell="C3" sqref="C3:H3"/>
    </sheetView>
  </sheetViews>
  <sheetFormatPr defaultRowHeight="15" x14ac:dyDescent="0.25"/>
  <cols>
    <col min="2" max="2" width="11.140625" customWidth="1"/>
  </cols>
  <sheetData>
    <row r="1" spans="1:22" x14ac:dyDescent="0.25">
      <c r="C1" t="s">
        <v>38</v>
      </c>
    </row>
    <row r="2" spans="1:22" x14ac:dyDescent="0.25">
      <c r="B2" t="s">
        <v>37</v>
      </c>
      <c r="C2">
        <f>'PRC model'!B12</f>
        <v>1</v>
      </c>
      <c r="D2">
        <f>'PRC model'!C12</f>
        <v>2</v>
      </c>
      <c r="E2">
        <f>'PRC model'!D12</f>
        <v>3</v>
      </c>
      <c r="F2">
        <f>'PRC model'!E12</f>
        <v>4</v>
      </c>
      <c r="G2">
        <f>'PRC model'!F12</f>
        <v>5</v>
      </c>
      <c r="H2">
        <f>'PRC model'!G12</f>
        <v>6</v>
      </c>
      <c r="I2" t="str">
        <f>'PRC model'!H12</f>
        <v/>
      </c>
      <c r="J2" t="str">
        <f>'PRC model'!I12</f>
        <v/>
      </c>
      <c r="K2" t="str">
        <f>'PRC model'!J12</f>
        <v/>
      </c>
      <c r="L2" t="str">
        <f>'PRC model'!K12</f>
        <v/>
      </c>
      <c r="M2" t="str">
        <f>'PRC model'!L12</f>
        <v/>
      </c>
      <c r="N2" t="str">
        <f>'PRC model'!M12</f>
        <v/>
      </c>
      <c r="O2" t="str">
        <f>'PRC model'!N12</f>
        <v/>
      </c>
      <c r="P2" t="str">
        <f>'PRC model'!O12</f>
        <v/>
      </c>
      <c r="Q2" t="str">
        <f>'PRC model'!P12</f>
        <v/>
      </c>
      <c r="R2" t="str">
        <f>'PRC model'!Q12</f>
        <v/>
      </c>
      <c r="S2" t="str">
        <f>'PRC model'!R12</f>
        <v/>
      </c>
      <c r="T2" t="str">
        <f>'PRC model'!S12</f>
        <v/>
      </c>
      <c r="U2" t="str">
        <f>'PRC model'!T12</f>
        <v/>
      </c>
      <c r="V2" t="str">
        <f>'PRC model'!U12</f>
        <v/>
      </c>
    </row>
    <row r="3" spans="1:22" x14ac:dyDescent="0.25">
      <c r="A3" t="s">
        <v>67</v>
      </c>
      <c r="B3" s="7">
        <v>1.0446480654270215E-5</v>
      </c>
      <c r="C3">
        <v>2.9375108062638922</v>
      </c>
      <c r="D3">
        <v>3.9371936693530643</v>
      </c>
      <c r="E3">
        <v>4.6181267164670761</v>
      </c>
      <c r="F3">
        <v>5.3682569416420947</v>
      </c>
      <c r="G3">
        <v>4.8161831490493778</v>
      </c>
      <c r="H3">
        <v>6.576854665136536</v>
      </c>
      <c r="I3">
        <v>8.1508255522840098</v>
      </c>
      <c r="J3" s="7">
        <v>2.532408614071167</v>
      </c>
      <c r="K3" s="7">
        <v>3.0430548408932347</v>
      </c>
      <c r="L3" s="7">
        <v>3.6545755691220476</v>
      </c>
      <c r="M3" s="7">
        <v>4.3365269270776858</v>
      </c>
      <c r="N3" s="7">
        <f t="shared" ref="N3:O3" si="0">G3+LOG($B$3)</f>
        <v>-0.16484684661460225</v>
      </c>
      <c r="O3" s="7">
        <f t="shared" si="0"/>
        <v>1.595824669472556</v>
      </c>
    </row>
    <row r="5" spans="1:22" x14ac:dyDescent="0.25">
      <c r="A5" t="s">
        <v>68</v>
      </c>
      <c r="B5">
        <v>5.0000000000000004E-6</v>
      </c>
      <c r="C5">
        <v>4.1836636719437381</v>
      </c>
      <c r="D5">
        <v>4.6585804850548431</v>
      </c>
      <c r="E5">
        <v>5.121034087760485</v>
      </c>
      <c r="F5">
        <v>5.7674291635047021</v>
      </c>
      <c r="G5">
        <v>5.2748811536039408</v>
      </c>
      <c r="H5">
        <v>6.9173470120785616</v>
      </c>
      <c r="I5">
        <v>8.8945854850762682</v>
      </c>
      <c r="J5">
        <v>2.532408614071167</v>
      </c>
      <c r="K5">
        <v>3.0430548408932347</v>
      </c>
      <c r="L5">
        <v>3.6545755691220476</v>
      </c>
      <c r="M5">
        <v>4.3365269270776858</v>
      </c>
    </row>
    <row r="6" spans="1:22" x14ac:dyDescent="0.25">
      <c r="B6">
        <v>5.2356427402544986E-6</v>
      </c>
      <c r="C6">
        <v>4.1394087797914203</v>
      </c>
      <c r="D6">
        <v>4.6248370330734714</v>
      </c>
      <c r="E6">
        <v>5.0939178201149495</v>
      </c>
      <c r="F6">
        <v>5.7441489611719065</v>
      </c>
      <c r="G6">
        <v>5.2493164318194667</v>
      </c>
      <c r="H6">
        <v>6.8964716473071226</v>
      </c>
      <c r="I6">
        <v>8.8745319540184706</v>
      </c>
      <c r="J6">
        <v>2.4268560677917632</v>
      </c>
      <c r="K6">
        <v>2.9859381806487746</v>
      </c>
      <c r="L6">
        <v>3.6178946104440319</v>
      </c>
      <c r="M6">
        <v>4.3092521339567993</v>
      </c>
    </row>
    <row r="7" spans="1:22" x14ac:dyDescent="0.25">
      <c r="B7">
        <v>5.4823909807159268E-6</v>
      </c>
      <c r="C7">
        <v>4.0931933562167355</v>
      </c>
      <c r="D7">
        <v>4.5901429583617039</v>
      </c>
      <c r="E7">
        <v>5.0663625536990251</v>
      </c>
      <c r="F7">
        <v>5.720704683173035</v>
      </c>
      <c r="G7">
        <v>5.2234639473290354</v>
      </c>
      <c r="H7">
        <v>6.8755496690110425</v>
      </c>
      <c r="I7">
        <v>8.8544841177028601</v>
      </c>
      <c r="J7">
        <v>2.3065029373637218</v>
      </c>
      <c r="K7">
        <v>2.9252285472390707</v>
      </c>
      <c r="L7">
        <v>3.5800569886702425</v>
      </c>
      <c r="M7">
        <v>4.2815777369150227</v>
      </c>
    </row>
    <row r="8" spans="1:22" x14ac:dyDescent="0.25">
      <c r="B8">
        <v>5.7407681074844162E-6</v>
      </c>
      <c r="C8">
        <v>4.0448041126958563</v>
      </c>
      <c r="D8">
        <v>4.5544841177028603</v>
      </c>
      <c r="E8">
        <v>5.0383975595610195</v>
      </c>
      <c r="F8">
        <v>5.6970801265915041</v>
      </c>
      <c r="G8">
        <v>5.1972735549893443</v>
      </c>
      <c r="H8">
        <v>6.8545755691220478</v>
      </c>
      <c r="I8">
        <v>8.8344566895537753</v>
      </c>
      <c r="J8">
        <v>2.1662142060523286</v>
      </c>
      <c r="K8">
        <v>2.8604188379704305</v>
      </c>
      <c r="L8">
        <v>3.5409841127487707</v>
      </c>
      <c r="M8">
        <v>4.2534768790508917</v>
      </c>
    </row>
    <row r="9" spans="1:22" x14ac:dyDescent="0.25">
      <c r="B9">
        <v>6.0113221730870676E-6</v>
      </c>
      <c r="C9">
        <v>3.9939178201149486</v>
      </c>
      <c r="D9">
        <v>4.5177287444471634</v>
      </c>
      <c r="E9">
        <v>5.0099789456543649</v>
      </c>
      <c r="F9">
        <v>5.6732783447500701</v>
      </c>
      <c r="G9">
        <v>5.1707602179191685</v>
      </c>
      <c r="H9">
        <v>6.8335778402889673</v>
      </c>
      <c r="I9">
        <v>8.8143980516598308</v>
      </c>
      <c r="J9">
        <v>1.9976877545432121</v>
      </c>
      <c r="K9">
        <v>2.7907323183686925</v>
      </c>
      <c r="L9">
        <v>3.5005722617824278</v>
      </c>
      <c r="M9">
        <v>4.2249023099495879</v>
      </c>
    </row>
    <row r="10" spans="1:22" x14ac:dyDescent="0.25">
      <c r="B10">
        <v>6.2946270589708399E-6</v>
      </c>
      <c r="C10">
        <v>3.9402916701425181</v>
      </c>
      <c r="D10">
        <v>4.4798269785011318</v>
      </c>
      <c r="E10">
        <v>4.9810618533131361</v>
      </c>
      <c r="F10">
        <v>5.6492701514298789</v>
      </c>
      <c r="G10">
        <v>5.1438834995597551</v>
      </c>
      <c r="H10">
        <v>6.8125216453717945</v>
      </c>
      <c r="I10">
        <v>8.7943630441183753</v>
      </c>
      <c r="J10">
        <v>1.7868446591709801</v>
      </c>
      <c r="K10">
        <v>2.7153332233449232</v>
      </c>
      <c r="L10">
        <v>3.458610684812224</v>
      </c>
      <c r="M10">
        <v>4.1958345970228113</v>
      </c>
    </row>
    <row r="11" spans="1:22" x14ac:dyDescent="0.25">
      <c r="B11">
        <v>6.5912836927820397E-6</v>
      </c>
      <c r="C11">
        <v>3.8834926026157879</v>
      </c>
      <c r="D11">
        <v>4.4406380294501355</v>
      </c>
      <c r="E11">
        <v>4.9516395296117768</v>
      </c>
      <c r="F11">
        <v>5.6250654592275673</v>
      </c>
      <c r="G11">
        <v>5.1166324372311776</v>
      </c>
      <c r="H11">
        <v>6.7914048947785775</v>
      </c>
      <c r="I11">
        <v>8.774313561608917</v>
      </c>
      <c r="J11">
        <v>1.5051388632999005</v>
      </c>
      <c r="K11">
        <v>2.6331777746711493</v>
      </c>
      <c r="L11">
        <v>3.4150328519979638</v>
      </c>
      <c r="M11">
        <v>4.1662142060523291</v>
      </c>
    </row>
    <row r="12" spans="1:22" x14ac:dyDescent="0.25">
      <c r="B12">
        <v>6.9019213230144295E-6</v>
      </c>
      <c r="C12">
        <v>3.8230708384282019</v>
      </c>
      <c r="D12">
        <v>4.4000196463126739</v>
      </c>
      <c r="E12">
        <v>4.9216263871335508</v>
      </c>
      <c r="F12">
        <v>5.6006240334495532</v>
      </c>
      <c r="G12">
        <v>5.088961833531509</v>
      </c>
      <c r="H12">
        <v>6.7702460157013684</v>
      </c>
      <c r="I12">
        <v>8.7542554048684753</v>
      </c>
      <c r="J12">
        <v>1.079769456919824</v>
      </c>
      <c r="K12">
        <v>2.5427417281486346</v>
      </c>
      <c r="L12">
        <v>3.3695840027196469</v>
      </c>
      <c r="M12">
        <v>4.1360500551194885</v>
      </c>
    </row>
    <row r="13" spans="1:22" x14ac:dyDescent="0.25">
      <c r="B13">
        <v>7.2271988537296435E-6</v>
      </c>
      <c r="C13">
        <v>3.7584294547596651</v>
      </c>
      <c r="D13">
        <v>4.3578248078072432</v>
      </c>
      <c r="E13">
        <v>4.8910126851331013</v>
      </c>
      <c r="F13">
        <v>5.5759560881769303</v>
      </c>
      <c r="G13">
        <v>5.0608396593627969</v>
      </c>
      <c r="H13">
        <v>6.7490232393574416</v>
      </c>
      <c r="I13">
        <v>8.7342012076927524</v>
      </c>
      <c r="J13">
        <v>0.1946966628453457</v>
      </c>
      <c r="K13">
        <v>2.4421148246110742</v>
      </c>
      <c r="L13">
        <v>3.32215219817604</v>
      </c>
      <c r="M13">
        <v>4.1052583909701994</v>
      </c>
    </row>
    <row r="14" spans="1:22" x14ac:dyDescent="0.25">
      <c r="B14">
        <v>7.5678062421810475E-6</v>
      </c>
      <c r="C14">
        <v>3.6889336723231443</v>
      </c>
      <c r="D14">
        <v>4.3139297095878471</v>
      </c>
      <c r="E14">
        <v>4.8597868403309139</v>
      </c>
      <c r="F14">
        <v>5.5510253483540408</v>
      </c>
      <c r="G14">
        <v>5.0322802880946975</v>
      </c>
      <c r="H14">
        <v>6.727732399439061</v>
      </c>
      <c r="I14">
        <v>8.7141472169331369</v>
      </c>
      <c r="J14">
        <v>-3.0137789219800398E-2</v>
      </c>
      <c r="K14">
        <v>2.328606966359974</v>
      </c>
      <c r="L14">
        <v>3.2724015857055533</v>
      </c>
      <c r="M14">
        <v>4.0738181318496496</v>
      </c>
    </row>
    <row r="15" spans="1:22" x14ac:dyDescent="0.25">
      <c r="B15">
        <v>7.9244659623055757E-6</v>
      </c>
      <c r="C15">
        <v>3.6136618586107612</v>
      </c>
      <c r="D15">
        <v>4.2681092397868241</v>
      </c>
      <c r="E15">
        <v>4.8278296605582618</v>
      </c>
      <c r="F15">
        <v>5.5258477237429204</v>
      </c>
      <c r="G15">
        <v>5.0032047794141263</v>
      </c>
      <c r="H15">
        <v>6.7064007802924168</v>
      </c>
      <c r="I15">
        <v>8.6940848326085263</v>
      </c>
      <c r="J15">
        <v>-3.0137789219800398E-2</v>
      </c>
      <c r="K15">
        <v>2.1982394068324314</v>
      </c>
      <c r="L15">
        <v>3.2201111245667793</v>
      </c>
      <c r="M15">
        <v>4.041675453076226</v>
      </c>
    </row>
    <row r="16" spans="1:22" x14ac:dyDescent="0.25">
      <c r="B16">
        <v>8.2979345371878126E-6</v>
      </c>
      <c r="C16">
        <v>3.5315095349379044</v>
      </c>
      <c r="D16">
        <v>4.2201771155978669</v>
      </c>
      <c r="E16">
        <v>4.7951410895291131</v>
      </c>
      <c r="F16">
        <v>5.5003823795170774</v>
      </c>
      <c r="G16">
        <v>4.973599380096756</v>
      </c>
      <c r="H16">
        <v>6.6850013887854933</v>
      </c>
      <c r="I16">
        <v>8.6740222007896648</v>
      </c>
      <c r="J16">
        <v>-3.0137789219800398E-2</v>
      </c>
      <c r="K16">
        <v>2.0449287914852463</v>
      </c>
      <c r="L16">
        <v>3.1649065571011481</v>
      </c>
      <c r="M16">
        <v>4.0087782064860829</v>
      </c>
    </row>
    <row r="17" spans="2:13" x14ac:dyDescent="0.25">
      <c r="B17">
        <v>8.6890041437468887E-6</v>
      </c>
      <c r="C17">
        <v>3.4408582961837011</v>
      </c>
      <c r="D17">
        <v>4.1698195007444383</v>
      </c>
      <c r="E17">
        <v>4.7616500937563941</v>
      </c>
      <c r="F17">
        <v>5.4746192802413054</v>
      </c>
      <c r="G17">
        <v>4.9434302784472788</v>
      </c>
      <c r="H17">
        <v>6.663505387404193</v>
      </c>
      <c r="I17">
        <v>8.6539655289289286</v>
      </c>
      <c r="J17">
        <v>-3.0137789219800398E-2</v>
      </c>
      <c r="K17">
        <v>1.8585502831973002</v>
      </c>
      <c r="L17">
        <v>3.1064688876765425</v>
      </c>
      <c r="M17">
        <v>3.9750556481613231</v>
      </c>
    </row>
    <row r="18" spans="2:13" x14ac:dyDescent="0.25">
      <c r="B18">
        <v>9.0985042930499305E-6</v>
      </c>
      <c r="C18">
        <v>3.3397873811697951</v>
      </c>
      <c r="D18">
        <v>4.1167322159598569</v>
      </c>
      <c r="E18">
        <v>4.727278225989668</v>
      </c>
      <c r="F18">
        <v>5.4485599005169858</v>
      </c>
      <c r="G18">
        <v>4.9126559435848494</v>
      </c>
      <c r="H18">
        <v>6.6419579572285512</v>
      </c>
      <c r="I18">
        <v>8.6338816438732024</v>
      </c>
      <c r="J18">
        <v>-3.0137789219800398E-2</v>
      </c>
      <c r="K18">
        <v>1.620968226827761</v>
      </c>
      <c r="L18">
        <v>3.0442426147781054</v>
      </c>
      <c r="M18">
        <v>3.9404491404355375</v>
      </c>
    </row>
    <row r="19" spans="2:13" x14ac:dyDescent="0.25">
      <c r="B19">
        <v>9.5273035898162505E-6</v>
      </c>
      <c r="C19">
        <v>3.2254241720458903</v>
      </c>
      <c r="D19">
        <v>4.0605992399285968</v>
      </c>
      <c r="E19">
        <v>4.691964580550871</v>
      </c>
      <c r="F19">
        <v>5.4221521981760405</v>
      </c>
      <c r="G19">
        <v>4.8812338826116966</v>
      </c>
      <c r="H19">
        <v>6.6203420493193228</v>
      </c>
      <c r="I19">
        <v>8.6138292848294693</v>
      </c>
      <c r="J19">
        <v>-3.0137789219800398E-2</v>
      </c>
      <c r="K19">
        <v>1.2922441531889879</v>
      </c>
      <c r="L19">
        <v>2.9776935895674463</v>
      </c>
      <c r="M19">
        <v>3.9048655336026452</v>
      </c>
    </row>
    <row r="20" spans="2:13" x14ac:dyDescent="0.25">
      <c r="B20">
        <v>9.9763115748444134E-6</v>
      </c>
      <c r="C20">
        <v>3.0934721392145095</v>
      </c>
      <c r="D20">
        <v>4.0009517774334604</v>
      </c>
      <c r="E20">
        <v>4.6556106748961144</v>
      </c>
      <c r="F20">
        <v>5.3953908798222896</v>
      </c>
      <c r="G20">
        <v>4.8490849805372749</v>
      </c>
      <c r="H20">
        <v>6.5986389170251352</v>
      </c>
      <c r="I20">
        <v>8.5937507433702596</v>
      </c>
      <c r="J20">
        <v>-3.0137789219800398E-2</v>
      </c>
      <c r="K20">
        <v>0.75539776646783419</v>
      </c>
      <c r="L20">
        <v>2.9060941648197205</v>
      </c>
      <c r="M20">
        <v>3.8682569416420938</v>
      </c>
    </row>
    <row r="21" spans="2:13" x14ac:dyDescent="0.25">
      <c r="B21">
        <v>1.0446480654270215E-5</v>
      </c>
      <c r="C21">
        <v>2.9375108062638922</v>
      </c>
      <c r="D21">
        <v>3.9371936693530643</v>
      </c>
      <c r="E21">
        <v>4.6181267164670761</v>
      </c>
      <c r="F21">
        <v>5.3682569416420947</v>
      </c>
      <c r="G21">
        <v>4.8161831490493778</v>
      </c>
      <c r="H21">
        <v>6.576854665136536</v>
      </c>
      <c r="I21">
        <v>8.573657724671925</v>
      </c>
      <c r="J21">
        <v>-3.0137789219800398E-2</v>
      </c>
      <c r="K21">
        <v>-3.0137789219800398E-2</v>
      </c>
      <c r="L21">
        <v>2.8284775119679222</v>
      </c>
      <c r="M21">
        <v>3.8305119499734599</v>
      </c>
    </row>
    <row r="22" spans="2:13" x14ac:dyDescent="0.25">
      <c r="B22">
        <v>1.0938808119747782E-5</v>
      </c>
      <c r="C22">
        <v>2.7467946908384211</v>
      </c>
      <c r="D22">
        <v>3.8687587525404132</v>
      </c>
      <c r="E22">
        <v>4.5794241673487033</v>
      </c>
      <c r="F22">
        <v>5.3407009742029521</v>
      </c>
      <c r="G22">
        <v>4.7824647691536208</v>
      </c>
      <c r="H22">
        <v>6.554971636226659</v>
      </c>
      <c r="I22">
        <v>8.5535838182023145</v>
      </c>
      <c r="J22">
        <v>-3.0137789219800398E-2</v>
      </c>
      <c r="K22">
        <v>-3.0137789219800398E-2</v>
      </c>
      <c r="L22">
        <v>2.7436803899616229</v>
      </c>
      <c r="M22">
        <v>3.7915448838562242</v>
      </c>
    </row>
    <row r="23" spans="2:13" x14ac:dyDescent="0.25">
      <c r="B23">
        <v>1.1454338263838886E-5</v>
      </c>
      <c r="C23">
        <v>2.5007448100107901</v>
      </c>
      <c r="D23">
        <v>3.7946966628453467</v>
      </c>
      <c r="E23">
        <v>4.5394087797914207</v>
      </c>
      <c r="F23">
        <v>5.3127398588837256</v>
      </c>
      <c r="G23">
        <v>4.7478484861474071</v>
      </c>
      <c r="H23">
        <v>6.533001628980144</v>
      </c>
      <c r="I23">
        <v>8.5334978566427324</v>
      </c>
      <c r="J23">
        <v>-3.0137789219800398E-2</v>
      </c>
      <c r="K23">
        <v>-3.0137789219800398E-2</v>
      </c>
      <c r="L23">
        <v>2.6501332398765567</v>
      </c>
      <c r="M23">
        <v>3.7512096939492405</v>
      </c>
    </row>
    <row r="24" spans="2:13" x14ac:dyDescent="0.25">
      <c r="B24">
        <v>1.1994164595097476E-5</v>
      </c>
      <c r="C24">
        <v>2.1536907310278925</v>
      </c>
      <c r="D24">
        <v>3.7139297095878465</v>
      </c>
      <c r="E24">
        <v>4.4979084995528078</v>
      </c>
      <c r="F24">
        <v>5.2843188141678388</v>
      </c>
      <c r="G24">
        <v>4.7122865235223381</v>
      </c>
      <c r="H24">
        <v>6.5109405226747592</v>
      </c>
      <c r="I24">
        <v>8.5134105981985773</v>
      </c>
      <c r="J24">
        <v>-3.0137789219800398E-2</v>
      </c>
      <c r="K24">
        <v>-3.0137789219800398E-2</v>
      </c>
      <c r="L24">
        <v>2.5457383323234968</v>
      </c>
      <c r="M24">
        <v>3.7093874468680945</v>
      </c>
    </row>
    <row r="25" spans="2:13" x14ac:dyDescent="0.25">
      <c r="B25">
        <v>1.2559432157547926E-5</v>
      </c>
      <c r="C25">
        <v>1.5619199028252342</v>
      </c>
      <c r="D25">
        <v>3.6250980817297127</v>
      </c>
      <c r="E25">
        <v>4.4547888809068867</v>
      </c>
      <c r="F25">
        <v>5.2553977664678353</v>
      </c>
      <c r="G25">
        <v>4.675694862377715</v>
      </c>
      <c r="H25">
        <v>6.4887646667146308</v>
      </c>
      <c r="I25">
        <v>8.4933048908915829</v>
      </c>
      <c r="J25">
        <v>-3.0137789219800398E-2</v>
      </c>
      <c r="K25">
        <v>-3.0137789219800398E-2</v>
      </c>
      <c r="L25">
        <v>2.4275053720846533</v>
      </c>
      <c r="M25">
        <v>3.6659173586531995</v>
      </c>
    </row>
    <row r="26" spans="2:13" x14ac:dyDescent="0.25">
      <c r="B26">
        <v>1.3151339959476938E-5</v>
      </c>
      <c r="C26">
        <v>-3.0137789219800398E-2</v>
      </c>
      <c r="D26">
        <v>3.5262708627677344</v>
      </c>
      <c r="E26">
        <v>4.4098607103281413</v>
      </c>
      <c r="F26">
        <v>5.2259779642818511</v>
      </c>
      <c r="G26">
        <v>4.637954409236789</v>
      </c>
      <c r="H26">
        <v>6.4664811953425865</v>
      </c>
      <c r="I26">
        <v>8.4732199491820381</v>
      </c>
      <c r="J26">
        <v>-3.0137789219800398E-2</v>
      </c>
      <c r="K26">
        <v>-3.0137789219800398E-2</v>
      </c>
      <c r="L26">
        <v>2.2909566262580219</v>
      </c>
      <c r="M26">
        <v>3.6206717289685071</v>
      </c>
    </row>
    <row r="27" spans="2:13" x14ac:dyDescent="0.25">
      <c r="B27">
        <v>1.3771143516690862E-5</v>
      </c>
      <c r="C27">
        <v>-3.0137789219800398E-2</v>
      </c>
      <c r="D27">
        <v>3.4147322727612019</v>
      </c>
      <c r="E27">
        <v>4.3629376714755939</v>
      </c>
      <c r="F27">
        <v>5.195973165728387</v>
      </c>
      <c r="G27">
        <v>4.5989830276389307</v>
      </c>
      <c r="H27">
        <v>6.4440865142125743</v>
      </c>
      <c r="I27">
        <v>8.4531100304920344</v>
      </c>
      <c r="J27">
        <v>-3.0137789219800398E-2</v>
      </c>
      <c r="K27">
        <v>-3.0137789219800398E-2</v>
      </c>
      <c r="L27">
        <v>2.1292536601360861</v>
      </c>
      <c r="M27">
        <v>3.573395112335676</v>
      </c>
    </row>
    <row r="28" spans="2:13" x14ac:dyDescent="0.25">
      <c r="B28">
        <v>1.4420157515633062E-5</v>
      </c>
      <c r="C28">
        <v>-3.0137789219800398E-2</v>
      </c>
      <c r="D28">
        <v>3.2866182168576334</v>
      </c>
      <c r="E28">
        <v>4.3138292848294677</v>
      </c>
      <c r="F28">
        <v>5.165382521490101</v>
      </c>
      <c r="G28">
        <v>4.5586408824697351</v>
      </c>
      <c r="H28">
        <v>6.4215606159688399</v>
      </c>
      <c r="I28">
        <v>8.4330016289801453</v>
      </c>
      <c r="J28">
        <v>-3.0137789219800398E-2</v>
      </c>
      <c r="K28">
        <v>-3.0137789219800398E-2</v>
      </c>
      <c r="L28">
        <v>1.9307374114741451</v>
      </c>
      <c r="M28">
        <v>3.5238567007225536</v>
      </c>
    </row>
    <row r="29" spans="2:13" x14ac:dyDescent="0.25">
      <c r="B29">
        <v>1.5099758602010116E-5</v>
      </c>
      <c r="C29">
        <v>-3.0137789219800398E-2</v>
      </c>
      <c r="D29">
        <v>3.1359864326107028</v>
      </c>
      <c r="E29">
        <v>4.2622194942179013</v>
      </c>
      <c r="F29">
        <v>5.1341373137374626</v>
      </c>
      <c r="G29">
        <v>4.5168319717697383</v>
      </c>
      <c r="H29">
        <v>6.3989279882597803</v>
      </c>
      <c r="I29">
        <v>8.4128908655737913</v>
      </c>
      <c r="J29">
        <v>-3.0137789219800398E-2</v>
      </c>
      <c r="K29">
        <v>-3.0137789219800398E-2</v>
      </c>
      <c r="L29">
        <v>1.6732783447500694</v>
      </c>
      <c r="M29">
        <v>3.471816094789312</v>
      </c>
    </row>
    <row r="30" spans="2:13" x14ac:dyDescent="0.25">
      <c r="B30">
        <v>1.5811388300841935E-5</v>
      </c>
      <c r="C30">
        <v>-3.0137789219800398E-2</v>
      </c>
      <c r="D30">
        <v>2.9530794457866949</v>
      </c>
      <c r="E30">
        <v>4.2077609027492917</v>
      </c>
      <c r="F30">
        <v>5.102208708639874</v>
      </c>
      <c r="G30">
        <v>4.4733659233824232</v>
      </c>
      <c r="H30">
        <v>6.3761591552239096</v>
      </c>
      <c r="I30">
        <v>8.3927748458885727</v>
      </c>
      <c r="J30">
        <v>-3.0137789219800398E-2</v>
      </c>
      <c r="K30">
        <v>-3.0137789219800398E-2</v>
      </c>
      <c r="L30">
        <v>1.3056850071627695</v>
      </c>
      <c r="M30">
        <v>3.4169649438829732</v>
      </c>
    </row>
    <row r="31" spans="2:13" x14ac:dyDescent="0.25">
      <c r="B31">
        <v>1.6556556074129596E-5</v>
      </c>
      <c r="C31">
        <v>-3.0137789219800398E-2</v>
      </c>
      <c r="D31">
        <v>2.7200451235068335</v>
      </c>
      <c r="E31">
        <v>4.1501332398765571</v>
      </c>
      <c r="F31">
        <v>5.0695251082549442</v>
      </c>
      <c r="G31">
        <v>4.4280889171042084</v>
      </c>
      <c r="H31">
        <v>6.3532323477789934</v>
      </c>
      <c r="I31">
        <v>8.3726501805259357</v>
      </c>
      <c r="J31">
        <v>-3.0137789219800398E-2</v>
      </c>
      <c r="K31">
        <v>-3.0137789219800398E-2</v>
      </c>
      <c r="L31">
        <v>0.65564108186715309</v>
      </c>
      <c r="M31">
        <v>3.3588522073004734</v>
      </c>
    </row>
    <row r="32" spans="2:13" x14ac:dyDescent="0.25">
      <c r="B32">
        <v>1.7336842522626628E-5</v>
      </c>
      <c r="C32">
        <v>-3.0137789219800398E-2</v>
      </c>
      <c r="D32">
        <v>2.3986802246978094</v>
      </c>
      <c r="E32">
        <v>4.0888210092253949</v>
      </c>
      <c r="F32">
        <v>5.0360500551194889</v>
      </c>
      <c r="G32">
        <v>4.3808036815298621</v>
      </c>
      <c r="H32">
        <v>6.3301896589389122</v>
      </c>
      <c r="I32">
        <v>8.3525285524545634</v>
      </c>
      <c r="J32">
        <v>1.2698622107801998</v>
      </c>
      <c r="K32">
        <v>-3.0137789219800398E-2</v>
      </c>
      <c r="L32">
        <v>-3.0137789219800398E-2</v>
      </c>
      <c r="M32">
        <v>3.2970801265915033</v>
      </c>
    </row>
    <row r="33" spans="2:13" x14ac:dyDescent="0.25">
      <c r="B33">
        <v>1.8153902738505117E-5</v>
      </c>
      <c r="C33">
        <v>-3.0137789219800398E-2</v>
      </c>
      <c r="D33">
        <v>1.8779247320960593</v>
      </c>
      <c r="E33">
        <v>4.0233001951946301</v>
      </c>
      <c r="F33">
        <v>5.0017098152435588</v>
      </c>
      <c r="G33">
        <v>4.3312844740283802</v>
      </c>
      <c r="H33">
        <v>6.3069453405371103</v>
      </c>
      <c r="I33">
        <v>8.3323765361316831</v>
      </c>
      <c r="J33">
        <v>1.9698622107802</v>
      </c>
      <c r="K33">
        <v>-3.0137789219800398E-2</v>
      </c>
      <c r="L33">
        <v>-3.0137789219800398E-2</v>
      </c>
      <c r="M33">
        <v>3.2310592964268894</v>
      </c>
    </row>
    <row r="34" spans="2:13" x14ac:dyDescent="0.25">
      <c r="B34">
        <v>1.9009469816028113E-5</v>
      </c>
      <c r="C34">
        <v>-3.0137789219800398E-2</v>
      </c>
      <c r="D34">
        <v>0.35173158193147053</v>
      </c>
      <c r="E34">
        <v>3.9528346905728617</v>
      </c>
      <c r="F34">
        <v>4.9664218785721577</v>
      </c>
      <c r="G34">
        <v>4.2792226215819991</v>
      </c>
      <c r="H34">
        <v>6.2835781457028252</v>
      </c>
      <c r="I34">
        <v>8.3122361237036433</v>
      </c>
      <c r="J34">
        <v>2.2698622107802002</v>
      </c>
      <c r="K34">
        <v>-3.0137789219800398E-2</v>
      </c>
      <c r="L34">
        <v>-3.0137789219800398E-2</v>
      </c>
      <c r="M34">
        <v>3.1600578090863638</v>
      </c>
    </row>
    <row r="35" spans="2:13" x14ac:dyDescent="0.25">
      <c r="B35">
        <v>1.9905358527674918E-5</v>
      </c>
      <c r="C35">
        <v>-3.0137789219800398E-2</v>
      </c>
      <c r="D35">
        <v>-3.0137789219800398E-2</v>
      </c>
      <c r="E35">
        <v>3.8765939794298525</v>
      </c>
      <c r="F35">
        <v>4.9300929249713468</v>
      </c>
      <c r="G35">
        <v>4.2243471435108155</v>
      </c>
      <c r="H35">
        <v>6.2600126593661312</v>
      </c>
      <c r="I35">
        <v>8.2920904105100419</v>
      </c>
      <c r="J35">
        <v>2.4698622107802</v>
      </c>
      <c r="K35">
        <v>-3.0137789219800398E-2</v>
      </c>
      <c r="L35">
        <v>-3.0137789219800398E-2</v>
      </c>
      <c r="M35">
        <v>3.0832644053077018</v>
      </c>
    </row>
    <row r="36" spans="2:13" x14ac:dyDescent="0.25">
      <c r="B36">
        <v>2.084346917351683E-5</v>
      </c>
      <c r="C36">
        <v>-3.0137789219800398E-2</v>
      </c>
      <c r="D36">
        <v>-3.0137789219800398E-2</v>
      </c>
      <c r="E36">
        <v>3.7933606474892989</v>
      </c>
      <c r="F36">
        <v>4.8926631749879705</v>
      </c>
      <c r="G36">
        <v>4.1662142060523291</v>
      </c>
      <c r="H36">
        <v>6.2362726605302896</v>
      </c>
      <c r="I36">
        <v>8.2719332561356094</v>
      </c>
      <c r="J36">
        <v>2.6698622107802001</v>
      </c>
      <c r="K36">
        <v>-3.0137789219800398E-2</v>
      </c>
      <c r="L36">
        <v>-3.0137789219800398E-2</v>
      </c>
      <c r="M36">
        <v>2.9994505809480412</v>
      </c>
    </row>
    <row r="37" spans="2:13" x14ac:dyDescent="0.25">
      <c r="B37">
        <v>2.1825791612008364E-5</v>
      </c>
      <c r="C37">
        <v>-3.0137789219800398E-2</v>
      </c>
      <c r="D37">
        <v>-3.0137789219800398E-2</v>
      </c>
      <c r="E37">
        <v>3.7017098152435577</v>
      </c>
      <c r="F37">
        <v>4.8540265715234057</v>
      </c>
      <c r="G37">
        <v>4.1044210056219796</v>
      </c>
      <c r="H37">
        <v>6.212320120152377</v>
      </c>
      <c r="I37">
        <v>8.251762261702714</v>
      </c>
      <c r="J37">
        <v>2.7698622107802002</v>
      </c>
      <c r="K37">
        <v>-3.0137789219800398E-2</v>
      </c>
      <c r="L37">
        <v>-3.0137789219800398E-2</v>
      </c>
      <c r="M37">
        <v>2.9071833710967621</v>
      </c>
    </row>
    <row r="38" spans="2:13" x14ac:dyDescent="0.25">
      <c r="B38">
        <v>2.2854409480743823E-5</v>
      </c>
      <c r="C38">
        <v>-3.0137789219800398E-2</v>
      </c>
      <c r="D38">
        <v>-3.0137789219800398E-2</v>
      </c>
      <c r="E38">
        <v>3.5996154796573756</v>
      </c>
      <c r="F38">
        <v>4.8140635731529748</v>
      </c>
      <c r="G38">
        <v>4.0383342800500213</v>
      </c>
      <c r="H38">
        <v>6.1882008392186378</v>
      </c>
      <c r="I38">
        <v>8.2316059539213473</v>
      </c>
      <c r="J38">
        <v>2.9698622107802004</v>
      </c>
      <c r="K38">
        <v>-3.0137789219800398E-2</v>
      </c>
      <c r="L38">
        <v>-3.0137789219800398E-2</v>
      </c>
      <c r="M38">
        <v>2.8043867923082439</v>
      </c>
    </row>
    <row r="39" spans="2:13" x14ac:dyDescent="0.25">
      <c r="B39">
        <v>2.3931504616131993E-5</v>
      </c>
      <c r="C39">
        <v>-3.0137789219800398E-2</v>
      </c>
      <c r="D39">
        <v>-3.0137789219800398E-2</v>
      </c>
      <c r="E39">
        <v>3.4842334168604436</v>
      </c>
      <c r="F39">
        <v>4.7726063211904934</v>
      </c>
      <c r="G39">
        <v>3.9673107805822658</v>
      </c>
      <c r="H39">
        <v>6.163833726166672</v>
      </c>
      <c r="I39">
        <v>8.2114120976418814</v>
      </c>
      <c r="J39">
        <v>2.9698622107802004</v>
      </c>
      <c r="K39">
        <v>-3.0137789219800398E-2</v>
      </c>
      <c r="L39">
        <v>-3.0137789219800398E-2</v>
      </c>
      <c r="M39">
        <v>2.688257254919423</v>
      </c>
    </row>
    <row r="40" spans="2:13" x14ac:dyDescent="0.25">
      <c r="B40">
        <v>2.5059361681363697E-5</v>
      </c>
      <c r="C40">
        <v>-3.0137789219800398E-2</v>
      </c>
      <c r="D40">
        <v>-3.0137789219800398E-2</v>
      </c>
      <c r="E40">
        <v>3.351363255527243</v>
      </c>
      <c r="F40">
        <v>4.7295766462682636</v>
      </c>
      <c r="G40">
        <v>3.8903956391618681</v>
      </c>
      <c r="H40">
        <v>6.1392351437949424</v>
      </c>
      <c r="I40">
        <v>8.191236848300445</v>
      </c>
      <c r="J40">
        <v>3.0698622107802005</v>
      </c>
      <c r="K40">
        <v>-3.0137789219800398E-2</v>
      </c>
      <c r="L40">
        <v>-3.0137789219800398E-2</v>
      </c>
      <c r="M40">
        <v>2.5546670012879358</v>
      </c>
    </row>
    <row r="41" spans="2:13" x14ac:dyDescent="0.25">
      <c r="B41">
        <v>2.6240373012488718E-5</v>
      </c>
      <c r="C41">
        <v>-3.0137789219800398E-2</v>
      </c>
      <c r="D41">
        <v>-3.0137789219800398E-2</v>
      </c>
      <c r="E41">
        <v>3.1946966628453461</v>
      </c>
      <c r="F41">
        <v>4.6847739830913468</v>
      </c>
      <c r="G41">
        <v>3.8065029373637218</v>
      </c>
      <c r="H41">
        <v>6.1143980516598297</v>
      </c>
      <c r="I41">
        <v>8.1710244278995319</v>
      </c>
      <c r="J41">
        <v>3.1698622107802001</v>
      </c>
      <c r="K41">
        <v>-3.0137789219800398E-2</v>
      </c>
      <c r="L41">
        <v>-3.0137789219800398E-2</v>
      </c>
      <c r="M41">
        <v>2.3972459276350215</v>
      </c>
    </row>
    <row r="42" spans="2:13" x14ac:dyDescent="0.25">
      <c r="B42">
        <v>2.7477043692881322E-5</v>
      </c>
      <c r="C42">
        <v>-3.0137789219800398E-2</v>
      </c>
      <c r="D42">
        <v>-3.0137789219800398E-2</v>
      </c>
      <c r="E42">
        <v>3.0036334166900867</v>
      </c>
      <c r="F42">
        <v>4.637986077831739</v>
      </c>
      <c r="G42">
        <v>3.7141304894658171</v>
      </c>
      <c r="H42">
        <v>6.0892996256750767</v>
      </c>
      <c r="I42">
        <v>8.1508255522840098</v>
      </c>
      <c r="J42">
        <v>3.2698622107802002</v>
      </c>
      <c r="K42">
        <v>-3.0137789219800398E-2</v>
      </c>
      <c r="L42">
        <v>-3.0137789219800398E-2</v>
      </c>
      <c r="M42">
        <v>2.2052071688539021</v>
      </c>
    </row>
    <row r="43" spans="2:13" x14ac:dyDescent="0.25">
      <c r="B43">
        <v>5.7543993733715888E-6</v>
      </c>
      <c r="C43">
        <v>4.042240277734245</v>
      </c>
      <c r="D43">
        <v>4.5526204165511341</v>
      </c>
      <c r="E43">
        <v>5.0369397929780479</v>
      </c>
      <c r="F43">
        <v>5.6958623143011602</v>
      </c>
      <c r="G43">
        <v>5.1959177435515551</v>
      </c>
      <c r="H43">
        <v>6.8535074357812222</v>
      </c>
    </row>
    <row r="44" spans="2:13" x14ac:dyDescent="0.25">
      <c r="B44">
        <v>6.0255958607435986E-6</v>
      </c>
      <c r="C44">
        <v>3.9912368483004443</v>
      </c>
      <c r="D44">
        <v>4.5158333810594193</v>
      </c>
      <c r="E44">
        <v>5.0085071584053358</v>
      </c>
      <c r="F44">
        <v>5.6720503858833489</v>
      </c>
      <c r="G44">
        <v>5.1693778371421129</v>
      </c>
      <c r="H44">
        <v>6.8324887985555183</v>
      </c>
    </row>
    <row r="45" spans="2:13" x14ac:dyDescent="0.25">
      <c r="B45">
        <v>6.309573444801955E-6</v>
      </c>
      <c r="C45">
        <v>3.9374473974057715</v>
      </c>
      <c r="D45">
        <v>4.4778669579959995</v>
      </c>
      <c r="E45">
        <v>4.9795680713672779</v>
      </c>
      <c r="F45">
        <v>5.6480341848846409</v>
      </c>
      <c r="G45">
        <v>5.1424910753152888</v>
      </c>
      <c r="H45">
        <v>6.8114289301382467</v>
      </c>
    </row>
    <row r="46" spans="2:13" x14ac:dyDescent="0.25">
      <c r="B46">
        <v>6.6069344800759839E-6</v>
      </c>
      <c r="C46">
        <v>3.880459213575433</v>
      </c>
      <c r="D46">
        <v>4.438587342791414</v>
      </c>
      <c r="E46">
        <v>4.9501024448064932</v>
      </c>
      <c r="F46">
        <v>5.6238076259681966</v>
      </c>
      <c r="G46">
        <v>5.1151997506154956</v>
      </c>
      <c r="H46">
        <v>6.7903114285623687</v>
      </c>
    </row>
    <row r="47" spans="2:13" x14ac:dyDescent="0.25">
      <c r="B47">
        <v>6.9183097091893905E-6</v>
      </c>
      <c r="C47">
        <v>3.8198470601233496</v>
      </c>
      <c r="D47">
        <v>4.3979084995528082</v>
      </c>
      <c r="E47">
        <v>4.9200781252906047</v>
      </c>
      <c r="F47">
        <v>5.5993543611122538</v>
      </c>
      <c r="G47">
        <v>5.0875232785659072</v>
      </c>
      <c r="H47">
        <v>6.7691420994364968</v>
      </c>
    </row>
    <row r="48" spans="2:13" x14ac:dyDescent="0.25">
      <c r="B48">
        <v>7.2443596007499279E-6</v>
      </c>
      <c r="C48">
        <v>3.7549716362266583</v>
      </c>
      <c r="D48">
        <v>4.3556410818671534</v>
      </c>
      <c r="E48">
        <v>4.8894402948956497</v>
      </c>
      <c r="F48">
        <v>5.5746774879696028</v>
      </c>
      <c r="G48">
        <v>5.0593951423028045</v>
      </c>
      <c r="H48">
        <v>6.7479258702710805</v>
      </c>
    </row>
    <row r="49" spans="2:8" x14ac:dyDescent="0.25">
      <c r="B49">
        <v>7.585775750291867E-6</v>
      </c>
      <c r="C49">
        <v>3.6852002711365208</v>
      </c>
      <c r="D49">
        <v>4.3116476932434651</v>
      </c>
      <c r="E49">
        <v>4.8581574678015027</v>
      </c>
      <c r="F49">
        <v>5.5497327335422559</v>
      </c>
      <c r="G49">
        <v>5.0307857094285673</v>
      </c>
      <c r="H49">
        <v>6.7266448347076242</v>
      </c>
    </row>
    <row r="50" spans="2:8" x14ac:dyDescent="0.25">
      <c r="B50">
        <v>7.9432823472428455E-6</v>
      </c>
      <c r="C50">
        <v>3.6096241430642522</v>
      </c>
      <c r="D50">
        <v>4.2657391527728477</v>
      </c>
      <c r="E50">
        <v>4.8261732518860931</v>
      </c>
      <c r="F50">
        <v>5.5245431656530419</v>
      </c>
      <c r="G50">
        <v>5.001692601797032</v>
      </c>
      <c r="H50">
        <v>6.705309607045904</v>
      </c>
    </row>
    <row r="51" spans="2:8" x14ac:dyDescent="0.25">
      <c r="B51">
        <v>8.3176377110267433E-6</v>
      </c>
      <c r="C51">
        <v>3.52705096102983</v>
      </c>
      <c r="D51">
        <v>4.2176623803070123</v>
      </c>
      <c r="E51">
        <v>4.793444268966411</v>
      </c>
      <c r="F51">
        <v>5.4990655736311851</v>
      </c>
      <c r="G51">
        <v>4.9720650248808917</v>
      </c>
      <c r="H51">
        <v>6.683891659611116</v>
      </c>
    </row>
    <row r="52" spans="2:8" x14ac:dyDescent="0.25">
      <c r="B52">
        <v>8.7096358995608412E-6</v>
      </c>
      <c r="C52">
        <v>3.435986432610703</v>
      </c>
      <c r="D52">
        <v>4.1671627565356353</v>
      </c>
      <c r="E52">
        <v>4.7599072917616159</v>
      </c>
      <c r="F52">
        <v>5.4732783447500699</v>
      </c>
      <c r="G52">
        <v>4.9418638095947536</v>
      </c>
      <c r="H52">
        <v>6.6623991499027628</v>
      </c>
    </row>
    <row r="53" spans="2:8" x14ac:dyDescent="0.25">
      <c r="B53">
        <v>9.1201083935591353E-6</v>
      </c>
      <c r="C53">
        <v>3.3342650922492618</v>
      </c>
      <c r="D53">
        <v>4.1139297095878469</v>
      </c>
      <c r="E53">
        <v>4.7254893607380009</v>
      </c>
      <c r="F53">
        <v>5.4471979145593563</v>
      </c>
      <c r="G53">
        <v>4.9110416175690705</v>
      </c>
      <c r="H53">
        <v>6.6408582961837022</v>
      </c>
    </row>
    <row r="54" spans="2:8" x14ac:dyDescent="0.25">
      <c r="B54">
        <v>9.5499258602143993E-6</v>
      </c>
      <c r="C54">
        <v>3.2191200539276212</v>
      </c>
      <c r="D54">
        <v>4.0576432494445669</v>
      </c>
      <c r="E54">
        <v>4.6901148736401206</v>
      </c>
      <c r="F54">
        <v>5.4207705840813558</v>
      </c>
      <c r="G54">
        <v>4.8795824591469303</v>
      </c>
      <c r="H54">
        <v>6.6192192628276274</v>
      </c>
    </row>
    <row r="55" spans="2:8" x14ac:dyDescent="0.25">
      <c r="B55">
        <v>1.0000000000000043E-5</v>
      </c>
      <c r="C55">
        <v>3.0861649777199416</v>
      </c>
      <c r="D55">
        <v>3.9977981410731589</v>
      </c>
      <c r="E55">
        <v>4.6536907310278934</v>
      </c>
      <c r="F55">
        <v>5.3940013343900377</v>
      </c>
      <c r="G55">
        <v>4.8474148800571593</v>
      </c>
      <c r="H55">
        <v>6.5975221221227809</v>
      </c>
    </row>
    <row r="56" spans="2:8" x14ac:dyDescent="0.25">
      <c r="B56">
        <v>1.0471285480509041E-5</v>
      </c>
      <c r="C56">
        <v>2.9286716790884757</v>
      </c>
      <c r="D56">
        <v>3.9338177028825143</v>
      </c>
      <c r="E56">
        <v>4.6161664998168499</v>
      </c>
      <c r="F56">
        <v>5.3668369259322262</v>
      </c>
      <c r="G56">
        <v>4.8144649164598619</v>
      </c>
      <c r="H56">
        <v>6.575723895227032</v>
      </c>
    </row>
    <row r="57" spans="2:8" x14ac:dyDescent="0.25">
      <c r="B57">
        <v>1.0964781961431899E-5</v>
      </c>
      <c r="C57">
        <v>2.7357318493299956</v>
      </c>
      <c r="D57">
        <v>3.8650851048813899</v>
      </c>
      <c r="E57">
        <v>4.577404488302439</v>
      </c>
      <c r="F57">
        <v>5.3392825059519229</v>
      </c>
      <c r="G57">
        <v>4.7807175901522942</v>
      </c>
      <c r="H57">
        <v>6.5538434179942806</v>
      </c>
    </row>
    <row r="58" spans="2:8" x14ac:dyDescent="0.25">
      <c r="B58">
        <v>1.148153621496888E-5</v>
      </c>
      <c r="C58">
        <v>2.4859381806487741</v>
      </c>
      <c r="D58">
        <v>3.7906762232897568</v>
      </c>
      <c r="E58">
        <v>4.5373205519088735</v>
      </c>
      <c r="F58">
        <v>5.311277414179461</v>
      </c>
      <c r="G58">
        <v>4.7460492928171751</v>
      </c>
      <c r="H58">
        <v>6.5318629666067283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H90"/>
  <sheetViews>
    <sheetView topLeftCell="A63" workbookViewId="0">
      <selection activeCell="H3" sqref="H3:H90"/>
    </sheetView>
  </sheetViews>
  <sheetFormatPr defaultRowHeight="15" x14ac:dyDescent="0.25"/>
  <cols>
    <col min="1" max="1" width="11.140625" customWidth="1"/>
  </cols>
  <sheetData>
    <row r="2" spans="1:8" x14ac:dyDescent="0.25">
      <c r="A2" t="s">
        <v>28</v>
      </c>
      <c r="B2" t="s">
        <v>29</v>
      </c>
      <c r="C2" t="s">
        <v>34</v>
      </c>
      <c r="D2" t="s">
        <v>30</v>
      </c>
      <c r="E2" t="s">
        <v>31</v>
      </c>
      <c r="F2" t="s">
        <v>32</v>
      </c>
      <c r="G2" t="s">
        <v>33</v>
      </c>
      <c r="H2" t="s">
        <v>35</v>
      </c>
    </row>
    <row r="3" spans="1:8" x14ac:dyDescent="0.25">
      <c r="A3">
        <v>1</v>
      </c>
      <c r="B3">
        <v>4.46</v>
      </c>
      <c r="C3">
        <v>4.2066199999999991</v>
      </c>
      <c r="D3">
        <f>B3*'PRC model'!$B$35+'PRC model'!$C$35</f>
        <v>1.0702827317935917</v>
      </c>
      <c r="E3">
        <f t="shared" ref="E3:E34" si="0">10^C3*(Lo^2-Li^2)/10^D3/Lo^2</f>
        <v>317.11064310892897</v>
      </c>
      <c r="F3" s="7">
        <f>'PRC model'!$A$35*t*86400/10^D3/Lo^2</f>
        <v>2865.6037925543633</v>
      </c>
      <c r="G3">
        <f>IF(E3&gt;1,(1/E3-1/E3^2)^0.5,(1/E3^2-1/E3)^0.5)</f>
        <v>5.6067183581529144E-2</v>
      </c>
      <c r="H3">
        <f>IF(E3&gt;1,1-(EXP((1/E3^2-G3^2)*F3)*((COS(G3/E3*F3*2)*(1-erfzR(1/E3*F3^0.5,G3*F3^0.5))-SIN(G3/E3*F3*2)*(-erfzI(1/E3*F3^0.5,G3*F3^0.5)))+(COS(G3/E3*F3*2)*(-erfzI(1/E3*F3^0.5,G3*F3^0.5))+SIN(G3/E3*F3*2)*(1-erfzR(1/E3*F3^0.5,G3*F3^0.5)))/E3/G3)),1-((1/E3+G3)*EXP((1/E3+G3)^2*F3)*ERFC((1/E3+G3)*F3^0.5)-(1/E3-G3)*EXP((1/E3-G3)^2*F3)*ERFC((1/E3-G3)*F3^0.5))/2/G3)</f>
        <v>0.99801350548140744</v>
      </c>
    </row>
    <row r="4" spans="1:8" x14ac:dyDescent="0.25">
      <c r="A4">
        <v>4</v>
      </c>
      <c r="B4">
        <v>4.6500000000000004</v>
      </c>
      <c r="C4">
        <v>4.3865499999999997</v>
      </c>
      <c r="D4">
        <f>B4*'PRC model'!$B$35+'PRC model'!$C$35</f>
        <v>1.4091848245924972</v>
      </c>
      <c r="E4">
        <f t="shared" si="0"/>
        <v>219.90683376864297</v>
      </c>
      <c r="F4" s="7">
        <f>'PRC model'!$A$35*t*86400/10^D4/Lo^2</f>
        <v>1313.1491306263881</v>
      </c>
      <c r="G4">
        <f t="shared" ref="G4:G67" si="1">IF(E4&gt;1,(1/E4-1/E4^2)^0.5,(1/E4^2-1/E4)^0.5)</f>
        <v>6.7280767056178387E-2</v>
      </c>
      <c r="H4">
        <f>IF(E4&gt;1,1-(EXP((1/E4^2-G4^2)*F4)*((COS(G4/E4*F4*2)*(1-erfzR(1/E4*F4^0.5,G4*F4^0.5))-SIN(G4/E4*F4*2)*(-erfzI(1/E4*F4^0.5,G4*F4^0.5)))+(COS(G4/E4*F4*2)*(-erfzI(1/E4*F4^0.5,G4*F4^0.5))+SIN(G4/E4*F4*2)*(1-erfzR(1/E4*F4^0.5,G4*F4^0.5)))/E4/G4)),1-((1/E4+G4)*EXP((1/E4+G4)^2*F4)*ERFC((1/E4+G4)*F4^0.5)-(1/E4-G4)*EXP((1/E4-G4)^2*F4)*ERFC((1/E4-G4)*F4^0.5))/2/G4)</f>
        <v>0.99256306675280137</v>
      </c>
    </row>
    <row r="5" spans="1:8" x14ac:dyDescent="0.25">
      <c r="A5">
        <v>10</v>
      </c>
      <c r="B5">
        <v>4.84</v>
      </c>
      <c r="C5">
        <v>4.5664799999999994</v>
      </c>
      <c r="D5">
        <f>B5*'PRC model'!$B$35+'PRC model'!$C$35</f>
        <v>1.7480869173914009</v>
      </c>
      <c r="E5">
        <f t="shared" si="0"/>
        <v>152.49887251982923</v>
      </c>
      <c r="F5" s="7">
        <f>'PRC model'!$A$35*t*86400/10^D5/Lo^2</f>
        <v>601.74426197550986</v>
      </c>
      <c r="G5">
        <f t="shared" si="1"/>
        <v>8.071199229787332E-2</v>
      </c>
      <c r="H5">
        <f>IF(E5&gt;1,1-(EXP((1/E5^2-G5^2)*F5)*((COS(G5/E5*F5*2)*(1-erfzR(1/E5*F5^0.5,G5*F5^0.5))-SIN(G5/E5*F5*2)*(-erfzI(1/E5*F5^0.5,G5*F5^0.5)))+(COS(G5/E5*F5*2)*(-erfzI(1/E5*F5^0.5,G5*F5^0.5))+SIN(G5/E5*F5*2)*(1-erfzR(1/E5*F5^0.5,G5*F5^0.5)))/E5/G5)),1-((1/E5+G5)*EXP((1/E5+G5)^2*F5)*ERFC((1/E5+G5)*F5^0.5)-(1/E5-G5)*EXP((1/E5-G5)^2*F5)*ERFC((1/E5-G5)*F5^0.5))/2/G5)</f>
        <v>0.97234686584638153</v>
      </c>
    </row>
    <row r="6" spans="1:8" x14ac:dyDescent="0.25">
      <c r="A6">
        <v>9</v>
      </c>
      <c r="B6">
        <v>5.0599999999999996</v>
      </c>
      <c r="C6">
        <v>4.7748199999999992</v>
      </c>
      <c r="D6">
        <f>B6*'PRC model'!$B$35+'PRC model'!$C$35</f>
        <v>2.1404998669480264</v>
      </c>
      <c r="E6">
        <f t="shared" si="0"/>
        <v>99.814510948661265</v>
      </c>
      <c r="F6" s="7">
        <f>'PRC model'!$A$35*t*86400/10^D6/Lo^2</f>
        <v>243.7805250736811</v>
      </c>
      <c r="G6">
        <f t="shared" si="1"/>
        <v>9.9590217202360332E-2</v>
      </c>
      <c r="H6">
        <f>IF(E6&gt;1,1-(EXP((1/E6^2-G6^2)*F6)*((COS(G6/E6*F6*2)*(1-erfzR(1/E6*F6^0.5,G6*F6^0.5))-SIN(G6/E6*F6*2)*(-erfzI(1/E6*F6^0.5,G6*F6^0.5)))+(COS(G6/E6*F6*2)*(-erfzI(1/E6*F6^0.5,G6*F6^0.5))+SIN(G6/E6*F6*2)*(1-erfzR(1/E6*F6^0.5,G6*F6^0.5)))/E6/G6)),1-((1/E6+G6)*EXP((1/E6+G6)^2*F6)*ERFC((1/E6+G6)*F6^0.5)-(1/E6-G6)*EXP((1/E6-G6)^2*F6)*ERFC((1/E6-G6)*F6^0.5))/2/G6)</f>
        <v>0.91105065794129558</v>
      </c>
    </row>
    <row r="7" spans="1:8" x14ac:dyDescent="0.25">
      <c r="A7">
        <v>7</v>
      </c>
      <c r="B7">
        <v>5.07</v>
      </c>
      <c r="C7">
        <v>4.7842899999999995</v>
      </c>
      <c r="D7">
        <f>B7*'PRC model'!$B$35+'PRC model'!$C$35</f>
        <v>2.1583368192006027</v>
      </c>
      <c r="E7">
        <f t="shared" si="0"/>
        <v>97.909927951822439</v>
      </c>
      <c r="F7" s="7">
        <f>'PRC model'!$A$35*t*86400/10^D7/Lo^2</f>
        <v>233.97101326472233</v>
      </c>
      <c r="G7">
        <f t="shared" si="1"/>
        <v>0.10054428830936604</v>
      </c>
      <c r="H7">
        <f>IF(E7&gt;1,1-(EXP((1/E7^2-G7^2)*F7)*((COS(G7/E7*F7*2)*(1-erfzR(1/E7*F7^0.5,G7*F7^0.5))-SIN(G7/E7*F7*2)*(-erfzI(1/E7*F7^0.5,G7*F7^0.5)))+(COS(G7/E7*F7*2)*(-erfzI(1/E7*F7^0.5,G7*F7^0.5))+SIN(G7/E7*F7*2)*(1-erfzR(1/E7*F7^0.5,G7*F7^0.5)))/E7/G7)),1-((1/E7+G7)*EXP((1/E7+G7)^2*F7)*ERFC((1/E7+G7)*F7^0.5)-(1/E7-G7)*EXP((1/E7-G7)^2*F7)*ERFC((1/E7-G7)*F7^0.5))/2/G7)</f>
        <v>0.9071217125604395</v>
      </c>
    </row>
    <row r="8" spans="1:8" x14ac:dyDescent="0.25">
      <c r="A8">
        <v>6</v>
      </c>
      <c r="B8">
        <v>5.0599999999999996</v>
      </c>
      <c r="C8">
        <v>4.7748199999999992</v>
      </c>
      <c r="D8">
        <f>B8*'PRC model'!$B$35+'PRC model'!$C$35</f>
        <v>2.1404998669480264</v>
      </c>
      <c r="E8">
        <f t="shared" si="0"/>
        <v>99.814510948661265</v>
      </c>
      <c r="F8" s="7">
        <f>'PRC model'!$A$35*t*86400/10^D8/Lo^2</f>
        <v>243.7805250736811</v>
      </c>
      <c r="G8">
        <f t="shared" si="1"/>
        <v>9.9590217202360332E-2</v>
      </c>
      <c r="H8">
        <f>IF(E8&gt;1,1-(EXP((1/E8^2-G8^2)*F8)*((COS(G8/E8*F8*2)*(1-erfzR(1/E8*F8^0.5,G8*F8^0.5))-SIN(G8/E8*F8*2)*(-erfzI(1/E8*F8^0.5,G8*F8^0.5)))+(COS(G8/E8*F8*2)*(-erfzI(1/E8*F8^0.5,G8*F8^0.5))+SIN(G8/E8*F8*2)*(1-erfzR(1/E8*F8^0.5,G8*F8^0.5)))/E8/G8)),1-((1/E8+G8)*EXP((1/E8+G8)^2*F8)*ERFC((1/E8+G8)*F8^0.5)-(1/E8-G8)*EXP((1/E8-G8)^2*F8)*ERFC((1/E8-G8)*F8^0.5))/2/G8)</f>
        <v>0.91105065794129558</v>
      </c>
    </row>
    <row r="9" spans="1:8" x14ac:dyDescent="0.25">
      <c r="A9">
        <v>8</v>
      </c>
      <c r="B9">
        <v>5.07</v>
      </c>
      <c r="C9">
        <v>4.7842899999999995</v>
      </c>
      <c r="D9">
        <f>B9*'PRC model'!$B$35+'PRC model'!$C$35</f>
        <v>2.1583368192006027</v>
      </c>
      <c r="E9">
        <f t="shared" si="0"/>
        <v>97.909927951822439</v>
      </c>
      <c r="F9" s="7">
        <f>'PRC model'!$A$35*t*86400/10^D9/Lo^2</f>
        <v>233.97101326472233</v>
      </c>
      <c r="G9">
        <f t="shared" si="1"/>
        <v>0.10054428830936604</v>
      </c>
      <c r="H9">
        <f>IF(E9&gt;1,1-(EXP((1/E9^2-G9^2)*F9)*((COS(G9/E9*F9*2)*(1-erfzR(1/E9*F9^0.5,G9*F9^0.5))-SIN(G9/E9*F9*2)*(-erfzI(1/E9*F9^0.5,G9*F9^0.5)))+(COS(G9/E9*F9*2)*(-erfzI(1/E9*F9^0.5,G9*F9^0.5))+SIN(G9/E9*F9*2)*(1-erfzR(1/E9*F9^0.5,G9*F9^0.5)))/E9/G9)),1-((1/E9+G9)*EXP((1/E9+G9)^2*F9)*ERFC((1/E9+G9)*F9^0.5)-(1/E9-G9)*EXP((1/E9-G9)^2*F9)*ERFC((1/E9-G9)*F9^0.5))/2/G9)</f>
        <v>0.9071217125604395</v>
      </c>
    </row>
    <row r="10" spans="1:8" x14ac:dyDescent="0.25">
      <c r="A10">
        <v>5</v>
      </c>
      <c r="B10">
        <v>4.97</v>
      </c>
      <c r="C10">
        <v>4.689589999999999</v>
      </c>
      <c r="D10">
        <f>B10*'PRC model'!$B$35+'PRC model'!$C$35</f>
        <v>1.9799672966748627</v>
      </c>
      <c r="E10">
        <f t="shared" si="0"/>
        <v>118.71244601444165</v>
      </c>
      <c r="F10" s="7">
        <f>'PRC model'!$A$35*t*86400/10^D10/Lo^2</f>
        <v>352.80243864214287</v>
      </c>
      <c r="G10">
        <f t="shared" si="1"/>
        <v>9.1393421979364897E-2</v>
      </c>
      <c r="H10">
        <f>IF(E10&gt;1,1-(EXP((1/E10^2-G10^2)*F10)*((COS(G10/E10*F10*2)*(1-erfzR(1/E10*F10^0.5,G10*F10^0.5))-SIN(G10/E10*F10*2)*(-erfzI(1/E10*F10^0.5,G10*F10^0.5)))+(COS(G10/E10*F10*2)*(-erfzI(1/E10*F10^0.5,G10*F10^0.5))+SIN(G10/E10*F10*2)*(1-erfzR(1/E10*F10^0.5,G10*F10^0.5)))/E10/G10)),1-((1/E10+G10)*EXP((1/E10+G10)^2*F10)*ERFC((1/E10+G10)*F10^0.5)-(1/E10-G10)*EXP((1/E10-G10)^2*F10)*ERFC((1/E10-G10)*F10^0.5))/2/G10)</f>
        <v>0.94193986522773754</v>
      </c>
    </row>
    <row r="11" spans="1:8" x14ac:dyDescent="0.25">
      <c r="A11">
        <v>19</v>
      </c>
      <c r="B11">
        <v>5.0199999999999996</v>
      </c>
      <c r="C11">
        <v>4.7369399999999988</v>
      </c>
      <c r="D11">
        <f>B11*'PRC model'!$B$35+'PRC model'!$C$35</f>
        <v>2.0691520579377318</v>
      </c>
      <c r="E11">
        <f t="shared" si="0"/>
        <v>107.81060725299079</v>
      </c>
      <c r="F11" s="7">
        <f>'PRC model'!$A$35*t*86400/10^D11/Lo^2</f>
        <v>287.30740340507668</v>
      </c>
      <c r="G11">
        <f t="shared" si="1"/>
        <v>9.5861826564002772E-2</v>
      </c>
      <c r="H11">
        <f>IF(E11&gt;1,1-(EXP((1/E11^2-G11^2)*F11)*((COS(G11/E11*F11*2)*(1-erfzR(1/E11*F11^0.5,G11*F11^0.5))-SIN(G11/E11*F11*2)*(-erfzI(1/E11*F11^0.5,G11*F11^0.5)))+(COS(G11/E11*F11*2)*(-erfzI(1/E11*F11^0.5,G11*F11^0.5))+SIN(G11/E11*F11*2)*(1-erfzR(1/E11*F11^0.5,G11*F11^0.5)))/E11/G11)),1-((1/E11+G11)*EXP((1/E11+G11)^2*F11)*ERFC((1/E11+G11)*F11^0.5)-(1/E11-G11)*EXP((1/E11-G11)^2*F11)*ERFC((1/E11-G11)*F11^0.5))/2/G11)</f>
        <v>0.92578481603364615</v>
      </c>
    </row>
    <row r="12" spans="1:8" x14ac:dyDescent="0.25">
      <c r="A12">
        <v>18</v>
      </c>
      <c r="B12">
        <v>5.24</v>
      </c>
      <c r="C12">
        <v>4.9452799999999995</v>
      </c>
      <c r="D12">
        <f>B12*'PRC model'!$B$35+'PRC model'!$C$35</f>
        <v>2.4615650074943591</v>
      </c>
      <c r="E12">
        <f t="shared" si="0"/>
        <v>70.564869498534847</v>
      </c>
      <c r="F12" s="7">
        <f>'PRC model'!$A$35*t*86400/10^D12/Lo^2</f>
        <v>116.39487750112654</v>
      </c>
      <c r="G12">
        <f t="shared" si="1"/>
        <v>0.11819699754409961</v>
      </c>
      <c r="H12">
        <f>IF(E12&gt;1,1-(EXP((1/E12^2-G12^2)*F12)*((COS(G12/E12*F12*2)*(1-erfzR(1/E12*F12^0.5,G12*F12^0.5))-SIN(G12/E12*F12*2)*(-erfzI(1/E12*F12^0.5,G12*F12^0.5)))+(COS(G12/E12*F12*2)*(-erfzI(1/E12*F12^0.5,G12*F12^0.5))+SIN(G12/E12*F12*2)*(1-erfzR(1/E12*F12^0.5,G12*F12^0.5)))/E12/G12)),1-((1/E12+G12)*EXP((1/E12+G12)^2*F12)*ERFC((1/E12+G12)*F12^0.5)-(1/E12-G12)*EXP((1/E12-G12)^2*F12)*ERFC((1/E12-G12)*F12^0.5))/2/G12)</f>
        <v>0.827176190909234</v>
      </c>
    </row>
    <row r="13" spans="1:8" x14ac:dyDescent="0.25">
      <c r="A13">
        <v>17</v>
      </c>
      <c r="B13">
        <v>5.25</v>
      </c>
      <c r="C13">
        <v>4.9547499999999998</v>
      </c>
      <c r="D13">
        <f>B13*'PRC model'!$B$35+'PRC model'!$C$35</f>
        <v>2.4794019597469319</v>
      </c>
      <c r="E13">
        <f t="shared" si="0"/>
        <v>69.218405448932728</v>
      </c>
      <c r="F13" s="7">
        <f>'PRC model'!$A$35*t*86400/10^D13/Lo^2</f>
        <v>111.71125100961629</v>
      </c>
      <c r="G13">
        <f t="shared" si="1"/>
        <v>0.11932438138080452</v>
      </c>
      <c r="H13">
        <f>IF(E13&gt;1,1-(EXP((1/E13^2-G13^2)*F13)*((COS(G13/E13*F13*2)*(1-erfzR(1/E13*F13^0.5,G13*F13^0.5))-SIN(G13/E13*F13*2)*(-erfzI(1/E13*F13^0.5,G13*F13^0.5)))+(COS(G13/E13*F13*2)*(-erfzI(1/E13*F13^0.5,G13*F13^0.5))+SIN(G13/E13*F13*2)*(1-erfzR(1/E13*F13^0.5,G13*F13^0.5)))/E13/G13)),1-((1/E13+G13)*EXP((1/E13+G13)^2*F13)*ERFC((1/E13+G13)*F13^0.5)-(1/E13-G13)*EXP((1/E13-G13)^2*F13)*ERFC((1/E13-G13)*F13^0.5))/2/G13)</f>
        <v>0.8218306286795104</v>
      </c>
    </row>
    <row r="14" spans="1:8" x14ac:dyDescent="0.25">
      <c r="A14">
        <v>27</v>
      </c>
      <c r="B14">
        <v>5.44</v>
      </c>
      <c r="C14">
        <v>5.1346799999999995</v>
      </c>
      <c r="D14">
        <f>B14*'PRC model'!$B$35+'PRC model'!$C$35</f>
        <v>2.8183040525458374</v>
      </c>
      <c r="E14">
        <f t="shared" si="0"/>
        <v>48.000912967024668</v>
      </c>
      <c r="F14" s="7">
        <f>'PRC model'!$A$35*t*86400/10^D14/Lo^2</f>
        <v>51.191142517892544</v>
      </c>
      <c r="G14">
        <f t="shared" si="1"/>
        <v>0.14282480813960846</v>
      </c>
      <c r="H14">
        <f>IF(E14&gt;1,1-(EXP((1/E14^2-G14^2)*F14)*((COS(G14/E14*F14*2)*(1-erfzR(1/E14*F14^0.5,G14*F14^0.5))-SIN(G14/E14*F14*2)*(-erfzI(1/E14*F14^0.5,G14*F14^0.5)))+(COS(G14/E14*F14*2)*(-erfzI(1/E14*F14^0.5,G14*F14^0.5))+SIN(G14/E14*F14*2)*(1-erfzR(1/E14*F14^0.5,G14*F14^0.5)))/E14/G14)),1-((1/E14+G14)*EXP((1/E14+G14)^2*F14)*ERFC((1/E14+G14)*F14^0.5)-(1/E14-G14)*EXP((1/E14-G14)^2*F14)*ERFC((1/E14-G14)*F14^0.5))/2/G14)</f>
        <v>0.71332731702086405</v>
      </c>
    </row>
    <row r="15" spans="1:8" x14ac:dyDescent="0.25">
      <c r="A15">
        <v>24</v>
      </c>
      <c r="B15">
        <v>5.35</v>
      </c>
      <c r="C15">
        <v>5.0494499999999993</v>
      </c>
      <c r="D15">
        <f>B15*'PRC model'!$B$35+'PRC model'!$C$35</f>
        <v>2.6577714822726719</v>
      </c>
      <c r="E15">
        <f t="shared" si="0"/>
        <v>57.088951647248251</v>
      </c>
      <c r="F15" s="7">
        <f>'PRC model'!$A$35*t*86400/10^D15/Lo^2</f>
        <v>74.084506593508351</v>
      </c>
      <c r="G15">
        <f t="shared" si="1"/>
        <v>0.13118572913187634</v>
      </c>
      <c r="H15">
        <f>IF(E15&gt;1,1-(EXP((1/E15^2-G15^2)*F15)*((COS(G15/E15*F15*2)*(1-erfzR(1/E15*F15^0.5,G15*F15^0.5))-SIN(G15/E15*F15*2)*(-erfzI(1/E15*F15^0.5,G15*F15^0.5)))+(COS(G15/E15*F15*2)*(-erfzI(1/E15*F15^0.5,G15*F15^0.5))+SIN(G15/E15*F15*2)*(1-erfzR(1/E15*F15^0.5,G15*F15^0.5)))/E15/G15)),1-((1/E15+G15)*EXP((1/E15+G15)^2*F15)*ERFC((1/E15+G15)*F15^0.5)-(1/E15-G15)*EXP((1/E15-G15)^2*F15)*ERFC((1/E15-G15)*F15^0.5))/2/G15)</f>
        <v>0.76587692141940522</v>
      </c>
    </row>
    <row r="16" spans="1:8" x14ac:dyDescent="0.25">
      <c r="A16">
        <v>32</v>
      </c>
      <c r="B16">
        <v>5.44</v>
      </c>
      <c r="C16">
        <v>5.1346799999999995</v>
      </c>
      <c r="D16">
        <f>B16*'PRC model'!$B$35+'PRC model'!$C$35</f>
        <v>2.8183040525458374</v>
      </c>
      <c r="E16">
        <f t="shared" si="0"/>
        <v>48.000912967024668</v>
      </c>
      <c r="F16" s="7">
        <f>'PRC model'!$A$35*t*86400/10^D16/Lo^2</f>
        <v>51.191142517892544</v>
      </c>
      <c r="G16">
        <f t="shared" si="1"/>
        <v>0.14282480813960846</v>
      </c>
      <c r="H16">
        <f>IF(E16&gt;1,1-(EXP((1/E16^2-G16^2)*F16)*((COS(G16/E16*F16*2)*(1-erfzR(1/E16*F16^0.5,G16*F16^0.5))-SIN(G16/E16*F16*2)*(-erfzI(1/E16*F16^0.5,G16*F16^0.5)))+(COS(G16/E16*F16*2)*(-erfzI(1/E16*F16^0.5,G16*F16^0.5))+SIN(G16/E16*F16*2)*(1-erfzR(1/E16*F16^0.5,G16*F16^0.5)))/E16/G16)),1-((1/E16+G16)*EXP((1/E16+G16)^2*F16)*ERFC((1/E16+G16)*F16^0.5)-(1/E16-G16)*EXP((1/E16-G16)^2*F16)*ERFC((1/E16-G16)*F16^0.5))/2/G16)</f>
        <v>0.71332731702086405</v>
      </c>
    </row>
    <row r="17" spans="1:8" x14ac:dyDescent="0.25">
      <c r="A17">
        <v>16</v>
      </c>
      <c r="B17">
        <v>5.16</v>
      </c>
      <c r="C17">
        <v>4.8695199999999996</v>
      </c>
      <c r="D17">
        <f>B17*'PRC model'!$B$35+'PRC model'!$C$35</f>
        <v>2.3188693894737682</v>
      </c>
      <c r="E17">
        <f t="shared" si="0"/>
        <v>82.323563397395546</v>
      </c>
      <c r="F17" s="7">
        <f>'PRC model'!$A$35*t*86400/10^D17/Lo^2</f>
        <v>161.67001760310899</v>
      </c>
      <c r="G17">
        <f t="shared" si="1"/>
        <v>0.10954285087262346</v>
      </c>
      <c r="H17">
        <f>IF(E17&gt;1,1-(EXP((1/E17^2-G17^2)*F17)*((COS(G17/E17*F17*2)*(1-erfzR(1/E17*F17^0.5,G17*F17^0.5))-SIN(G17/E17*F17*2)*(-erfzI(1/E17*F17^0.5,G17*F17^0.5)))+(COS(G17/E17*F17*2)*(-erfzI(1/E17*F17^0.5,G17*F17^0.5))+SIN(G17/E17*F17*2)*(1-erfzR(1/E17*F17^0.5,G17*F17^0.5)))/E17/G17)),1-((1/E17+G17)*EXP((1/E17+G17)^2*F17)*ERFC((1/E17+G17)*F17^0.5)-(1/E17-G17)*EXP((1/E17-G17)^2*F17)*ERFC((1/E17-G17)*F17^0.5))/2/G17)</f>
        <v>0.86764217209193528</v>
      </c>
    </row>
    <row r="18" spans="1:8" x14ac:dyDescent="0.25">
      <c r="A18">
        <v>26</v>
      </c>
      <c r="B18">
        <v>5.66</v>
      </c>
      <c r="C18">
        <v>5.3430199999999992</v>
      </c>
      <c r="D18">
        <f>B18*'PRC model'!$B$35+'PRC model'!$C$35</f>
        <v>3.2107170021024647</v>
      </c>
      <c r="E18">
        <f t="shared" si="0"/>
        <v>31.417856235427646</v>
      </c>
      <c r="F18" s="7">
        <f>'PRC model'!$A$35*t*86400/10^D18/Lo^2</f>
        <v>20.738716412789554</v>
      </c>
      <c r="G18">
        <f t="shared" si="1"/>
        <v>0.17554471273073036</v>
      </c>
      <c r="H18">
        <f>IF(E18&gt;1,1-(EXP((1/E18^2-G18^2)*F18)*((COS(G18/E18*F18*2)*(1-erfzR(1/E18*F18^0.5,G18*F18^0.5))-SIN(G18/E18*F18*2)*(-erfzI(1/E18*F18^0.5,G18*F18^0.5)))+(COS(G18/E18*F18*2)*(-erfzI(1/E18*F18^0.5,G18*F18^0.5))+SIN(G18/E18*F18*2)*(1-erfzR(1/E18*F18^0.5,G18*F18^0.5)))/E18/G18)),1-((1/E18+G18)*EXP((1/E18+G18)^2*F18)*ERFC((1/E18+G18)*F18^0.5)-(1/E18-G18)*EXP((1/E18-G18)^2*F18)*ERFC((1/E18-G18)*F18^0.5))/2/G18)</f>
        <v>0.58821844477413232</v>
      </c>
    </row>
    <row r="19" spans="1:8" x14ac:dyDescent="0.25">
      <c r="A19">
        <v>25</v>
      </c>
      <c r="B19">
        <v>5.67</v>
      </c>
      <c r="C19">
        <v>5.3524899999999995</v>
      </c>
      <c r="D19">
        <f>B19*'PRC model'!$B$35+'PRC model'!$C$35</f>
        <v>3.2285539543550374</v>
      </c>
      <c r="E19">
        <f t="shared" si="0"/>
        <v>30.818365097171487</v>
      </c>
      <c r="F19" s="7">
        <f>'PRC model'!$A$35*t*86400/10^D19/Lo^2</f>
        <v>19.904208883968799</v>
      </c>
      <c r="G19">
        <f t="shared" si="1"/>
        <v>0.17718718893857913</v>
      </c>
      <c r="H19">
        <f>IF(E19&gt;1,1-(EXP((1/E19^2-G19^2)*F19)*((COS(G19/E19*F19*2)*(1-erfzR(1/E19*F19^0.5,G19*F19^0.5))-SIN(G19/E19*F19*2)*(-erfzI(1/E19*F19^0.5,G19*F19^0.5)))+(COS(G19/E19*F19*2)*(-erfzI(1/E19*F19^0.5,G19*F19^0.5))+SIN(G19/E19*F19*2)*(1-erfzR(1/E19*F19^0.5,G19*F19^0.5)))/E19/G19)),1-((1/E19+G19)*EXP((1/E19+G19)^2*F19)*ERFC((1/E19+G19)*F19^0.5)-(1/E19-G19)*EXP((1/E19-G19)^2*F19)*ERFC((1/E19-G19)*F19^0.5))/2/G19)</f>
        <v>0.58288846249198334</v>
      </c>
    </row>
    <row r="20" spans="1:8" x14ac:dyDescent="0.25">
      <c r="A20">
        <v>31</v>
      </c>
      <c r="B20">
        <v>5.67</v>
      </c>
      <c r="C20">
        <v>5.3524899999999995</v>
      </c>
      <c r="D20">
        <f>B20*'PRC model'!$B$35+'PRC model'!$C$35</f>
        <v>3.2285539543550374</v>
      </c>
      <c r="E20">
        <f t="shared" si="0"/>
        <v>30.818365097171487</v>
      </c>
      <c r="F20" s="7">
        <f>'PRC model'!$A$35*t*86400/10^D20/Lo^2</f>
        <v>19.904208883968799</v>
      </c>
      <c r="G20">
        <f t="shared" si="1"/>
        <v>0.17718718893857913</v>
      </c>
      <c r="H20">
        <f>IF(E20&gt;1,1-(EXP((1/E20^2-G20^2)*F20)*((COS(G20/E20*F20*2)*(1-erfzR(1/E20*F20^0.5,G20*F20^0.5))-SIN(G20/E20*F20*2)*(-erfzI(1/E20*F20^0.5,G20*F20^0.5)))+(COS(G20/E20*F20*2)*(-erfzI(1/E20*F20^0.5,G20*F20^0.5))+SIN(G20/E20*F20*2)*(1-erfzR(1/E20*F20^0.5,G20*F20^0.5)))/E20/G20)),1-((1/E20+G20)*EXP((1/E20+G20)^2*F20)*ERFC((1/E20+G20)*F20^0.5)-(1/E20-G20)*EXP((1/E20-G20)^2*F20)*ERFC((1/E20-G20)*F20^0.5))/2/G20)</f>
        <v>0.58288846249198334</v>
      </c>
    </row>
    <row r="21" spans="1:8" s="8" customFormat="1" x14ac:dyDescent="0.25">
      <c r="A21" s="8">
        <v>28</v>
      </c>
      <c r="B21" s="8">
        <v>5.67</v>
      </c>
      <c r="C21" s="8">
        <v>5.3524899999999995</v>
      </c>
      <c r="D21" s="8">
        <f>B21*'PRC model'!$B$35+'PRC model'!$C$35</f>
        <v>3.2285539543550374</v>
      </c>
      <c r="E21" s="8">
        <f t="shared" si="0"/>
        <v>30.818365097171487</v>
      </c>
      <c r="F21" s="7">
        <f>'PRC model'!$A$35*t*86400/10^D21/Lo^2</f>
        <v>19.904208883968799</v>
      </c>
      <c r="G21" s="8">
        <f t="shared" si="1"/>
        <v>0.17718718893857913</v>
      </c>
      <c r="H21">
        <f>IF(E21&gt;1,1-(EXP((1/E21^2-G21^2)*F21)*((COS(G21/E21*F21*2)*(1-erfzR(1/E21*F21^0.5,G21*F21^0.5))-SIN(G21/E21*F21*2)*(-erfzI(1/E21*F21^0.5,G21*F21^0.5)))+(COS(G21/E21*F21*2)*(-erfzI(1/E21*F21^0.5,G21*F21^0.5))+SIN(G21/E21*F21*2)*(1-erfzR(1/E21*F21^0.5,G21*F21^0.5)))/E21/G21)),1-((1/E21+G21)*EXP((1/E21+G21)^2*F21)*ERFC((1/E21+G21)*F21^0.5)-(1/E21-G21)*EXP((1/E21-G21)^2*F21)*ERFC((1/E21-G21)*F21^0.5))/2/G21)</f>
        <v>0.58288846249198334</v>
      </c>
    </row>
    <row r="22" spans="1:8" x14ac:dyDescent="0.25">
      <c r="A22">
        <v>20</v>
      </c>
      <c r="B22">
        <v>5.57</v>
      </c>
      <c r="C22">
        <v>5.25779</v>
      </c>
      <c r="D22">
        <f>B22*'PRC model'!$B$35+'PRC model'!$C$35</f>
        <v>3.0501844318292992</v>
      </c>
      <c r="E22">
        <f t="shared" si="0"/>
        <v>37.366215861700212</v>
      </c>
      <c r="F22" s="7">
        <f>'PRC model'!$A$35*t*86400/10^D22/Lo^2</f>
        <v>30.013347959311368</v>
      </c>
      <c r="G22">
        <f t="shared" si="1"/>
        <v>0.16138751621954245</v>
      </c>
      <c r="H22">
        <f>IF(E22&gt;1,1-(EXP((1/E22^2-G22^2)*F22)*((COS(G22/E22*F22*2)*(1-erfzR(1/E22*F22^0.5,G22*F22^0.5))-SIN(G22/E22*F22*2)*(-erfzI(1/E22*F22^0.5,G22*F22^0.5)))+(COS(G22/E22*F22*2)*(-erfzI(1/E22*F22^0.5,G22*F22^0.5))+SIN(G22/E22*F22*2)*(1-erfzR(1/E22*F22^0.5,G22*F22^0.5)))/E22/G22)),1-((1/E22+G22)*EXP((1/E22+G22)^2*F22)*ERFC((1/E22+G22)*F22^0.5)-(1/E22-G22)*EXP((1/E22-G22)^2*F22)*ERFC((1/E22-G22)*F22^0.5))/2/G22)</f>
        <v>0.63790097636021181</v>
      </c>
    </row>
    <row r="23" spans="1:8" x14ac:dyDescent="0.25">
      <c r="A23">
        <v>22</v>
      </c>
      <c r="B23">
        <v>5.58</v>
      </c>
      <c r="C23">
        <v>5.2672599999999994</v>
      </c>
      <c r="D23">
        <f>B23*'PRC model'!$B$35+'PRC model'!$C$35</f>
        <v>3.068021384081872</v>
      </c>
      <c r="E23">
        <f t="shared" si="0"/>
        <v>36.653222743665658</v>
      </c>
      <c r="F23" s="7">
        <f>'PRC model'!$A$35*t*86400/10^D23/Lo^2</f>
        <v>28.805637494563562</v>
      </c>
      <c r="G23">
        <f t="shared" si="1"/>
        <v>0.16290605626003543</v>
      </c>
      <c r="H23">
        <f>IF(E23&gt;1,1-(EXP((1/E23^2-G23^2)*F23)*((COS(G23/E23*F23*2)*(1-erfzR(1/E23*F23^0.5,G23*F23^0.5))-SIN(G23/E23*F23*2)*(-erfzI(1/E23*F23^0.5,G23*F23^0.5)))+(COS(G23/E23*F23*2)*(-erfzI(1/E23*F23^0.5,G23*F23^0.5))+SIN(G23/E23*F23*2)*(1-erfzR(1/E23*F23^0.5,G23*F23^0.5)))/E23/G23)),1-((1/E23+G23)*EXP((1/E23+G23)^2*F23)*ERFC((1/E23+G23)*F23^0.5)-(1/E23-G23)*EXP((1/E23-G23)^2*F23)*ERFC((1/E23-G23)*F23^0.5))/2/G23)</f>
        <v>0.6322450764075831</v>
      </c>
    </row>
    <row r="24" spans="1:8" x14ac:dyDescent="0.25">
      <c r="A24">
        <v>52</v>
      </c>
      <c r="B24">
        <v>5.84</v>
      </c>
      <c r="C24">
        <v>5.5134799999999995</v>
      </c>
      <c r="D24">
        <f>B24*'PRC model'!$B$35+'PRC model'!$C$35</f>
        <v>3.5317821426487939</v>
      </c>
      <c r="E24">
        <f t="shared" si="0"/>
        <v>22.211168537578605</v>
      </c>
      <c r="F24" s="7">
        <f>'PRC model'!$A$35*t*86400/10^D24/Lo^2</f>
        <v>9.901858877642848</v>
      </c>
      <c r="G24">
        <f t="shared" si="1"/>
        <v>0.20735327056219977</v>
      </c>
      <c r="H24">
        <f>IF(E24&gt;1,1-(EXP((1/E24^2-G24^2)*F24)*((COS(G24/E24*F24*2)*(1-erfzR(1/E24*F24^0.5,G24*F24^0.5))-SIN(G24/E24*F24*2)*(-erfzI(1/E24*F24^0.5,G24*F24^0.5)))+(COS(G24/E24*F24*2)*(-erfzI(1/E24*F24^0.5,G24*F24^0.5))+SIN(G24/E24*F24*2)*(1-erfzR(1/E24*F24^0.5,G24*F24^0.5)))/E24/G24)),1-((1/E24+G24)*EXP((1/E24+G24)^2*F24)*ERFC((1/E24+G24)*F24^0.5)-(1/E24-G24)*EXP((1/E24-G24)^2*F24)*ERFC((1/E24-G24)*F24^0.5))/2/G24)</f>
        <v>0.49944507723715437</v>
      </c>
    </row>
    <row r="25" spans="1:8" x14ac:dyDescent="0.25">
      <c r="A25">
        <v>47</v>
      </c>
      <c r="B25">
        <v>5.85</v>
      </c>
      <c r="C25">
        <v>5.5229499999999989</v>
      </c>
      <c r="D25">
        <f>B25*'PRC model'!$B$35+'PRC model'!$C$35</f>
        <v>3.5496190949013684</v>
      </c>
      <c r="E25">
        <f t="shared" si="0"/>
        <v>21.78735226543008</v>
      </c>
      <c r="F25" s="7">
        <f>'PRC model'!$A$35*t*86400/10^D25/Lo^2</f>
        <v>9.5034168709997182</v>
      </c>
      <c r="G25">
        <f t="shared" si="1"/>
        <v>0.20926429399833404</v>
      </c>
      <c r="H25">
        <f>IF(E25&gt;1,1-(EXP((1/E25^2-G25^2)*F25)*((COS(G25/E25*F25*2)*(1-erfzR(1/E25*F25^0.5,G25*F25^0.5))-SIN(G25/E25*F25*2)*(-erfzI(1/E25*F25^0.5,G25*F25^0.5)))+(COS(G25/E25*F25*2)*(-erfzI(1/E25*F25^0.5,G25*F25^0.5))+SIN(G25/E25*F25*2)*(1-erfzR(1/E25*F25^0.5,G25*F25^0.5)))/E25/G25)),1-((1/E25+G25)*EXP((1/E25+G25)^2*F25)*ERFC((1/E25+G25)*F25^0.5)-(1/E25-G25)*EXP((1/E25-G25)^2*F25)*ERFC((1/E25-G25)*F25^0.5))/2/G25)</f>
        <v>0.49499110740938412</v>
      </c>
    </row>
    <row r="26" spans="1:8" x14ac:dyDescent="0.25">
      <c r="A26">
        <v>44</v>
      </c>
      <c r="B26">
        <v>5.75</v>
      </c>
      <c r="C26">
        <v>5.4282499999999994</v>
      </c>
      <c r="D26">
        <f>B26*'PRC model'!$B$35+'PRC model'!$C$35</f>
        <v>3.3712495723756302</v>
      </c>
      <c r="E26">
        <f t="shared" si="0"/>
        <v>26.416421028112321</v>
      </c>
      <c r="F26" s="7">
        <f>'PRC model'!$A$35*t*86400/10^D26/Lo^2</f>
        <v>14.330102694080617</v>
      </c>
      <c r="G26">
        <f t="shared" si="1"/>
        <v>0.19084606958352626</v>
      </c>
      <c r="H26">
        <f>IF(E26&gt;1,1-(EXP((1/E26^2-G26^2)*F26)*((COS(G26/E26*F26*2)*(1-erfzR(1/E26*F26^0.5,G26*F26^0.5))-SIN(G26/E26*F26*2)*(-erfzI(1/E26*F26^0.5,G26*F26^0.5)))+(COS(G26/E26*F26*2)*(-erfzI(1/E26*F26^0.5,G26*F26^0.5))+SIN(G26/E26*F26*2)*(1-erfzR(1/E26*F26^0.5,G26*F26^0.5)))/E26/G26)),1-((1/E26+G26)*EXP((1/E26+G26)^2*F26)*ERFC((1/E26+G26)*F26^0.5)-(1/E26-G26)*EXP((1/E26-G26)^2*F26)*ERFC((1/E26-G26)*F26^0.5))/2/G26)</f>
        <v>0.54185831622361946</v>
      </c>
    </row>
    <row r="27" spans="1:8" x14ac:dyDescent="0.25">
      <c r="A27">
        <v>42</v>
      </c>
      <c r="B27">
        <v>5.76</v>
      </c>
      <c r="C27">
        <v>5.4377199999999988</v>
      </c>
      <c r="D27">
        <f>B27*'PRC model'!$B$35+'PRC model'!$C$35</f>
        <v>3.3890865246282029</v>
      </c>
      <c r="E27">
        <f t="shared" si="0"/>
        <v>25.912363393112351</v>
      </c>
      <c r="F27" s="7">
        <f>'PRC model'!$A$35*t*86400/10^D27/Lo^2</f>
        <v>13.753472089323902</v>
      </c>
      <c r="G27">
        <f t="shared" si="1"/>
        <v>0.19261958355262221</v>
      </c>
      <c r="H27">
        <f>IF(E27&gt;1,1-(EXP((1/E27^2-G27^2)*F27)*((COS(G27/E27*F27*2)*(1-erfzR(1/E27*F27^0.5,G27*F27^0.5))-SIN(G27/E27*F27*2)*(-erfzI(1/E27*F27^0.5,G27*F27^0.5)))+(COS(G27/E27*F27*2)*(-erfzI(1/E27*F27^0.5,G27*F27^0.5))+SIN(G27/E27*F27*2)*(1-erfzR(1/E27*F27^0.5,G27*F27^0.5)))/E27/G27)),1-((1/E27+G27)*EXP((1/E27+G27)^2*F27)*ERFC((1/E27+G27)*F27^0.5)-(1/E27-G27)*EXP((1/E27-G27)^2*F27)*ERFC((1/E27-G27)*F27^0.5))/2/G27)</f>
        <v>0.53694302634246793</v>
      </c>
    </row>
    <row r="28" spans="1:8" x14ac:dyDescent="0.25">
      <c r="A28">
        <v>71</v>
      </c>
      <c r="B28">
        <v>5.98</v>
      </c>
      <c r="C28">
        <v>5.6460599999999994</v>
      </c>
      <c r="D28">
        <f>B28*'PRC model'!$B$35+'PRC model'!$C$35</f>
        <v>3.7814994741848302</v>
      </c>
      <c r="E28">
        <f t="shared" si="0"/>
        <v>16.96032132480973</v>
      </c>
      <c r="F28" s="7">
        <f>'PRC model'!$A$35*t*86400/10^D28/Lo^2</f>
        <v>5.5718498029617098</v>
      </c>
      <c r="G28">
        <f t="shared" si="1"/>
        <v>0.23555196922736313</v>
      </c>
      <c r="H28">
        <f>IF(E28&gt;1,1-(EXP((1/E28^2-G28^2)*F28)*((COS(G28/E28*F28*2)*(1-erfzR(1/E28*F28^0.5,G28*F28^0.5))-SIN(G28/E28*F28*2)*(-erfzI(1/E28*F28^0.5,G28*F28^0.5)))+(COS(G28/E28*F28*2)*(-erfzI(1/E28*F28^0.5,G28*F28^0.5))+SIN(G28/E28*F28*2)*(1-erfzR(1/E28*F28^0.5,G28*F28^0.5)))/E28/G28)),1-((1/E28+G28)*EXP((1/E28+G28)^2*F28)*ERFC((1/E28+G28)*F28^0.5)-(1/E28-G28)*EXP((1/E28-G28)^2*F28)*ERFC((1/E28-G28)*F28^0.5))/2/G28)</f>
        <v>0.44188323393487328</v>
      </c>
    </row>
    <row r="29" spans="1:8" x14ac:dyDescent="0.25">
      <c r="A29">
        <v>41</v>
      </c>
      <c r="B29">
        <v>5.69</v>
      </c>
      <c r="C29">
        <v>5.3714300000000001</v>
      </c>
      <c r="D29">
        <f>B29*'PRC model'!$B$35+'PRC model'!$C$35</f>
        <v>3.2642278588601865</v>
      </c>
      <c r="E29">
        <f t="shared" si="0"/>
        <v>29.653481623350721</v>
      </c>
      <c r="F29" s="7">
        <f>'PRC model'!$A$35*t*86400/10^D29/Lo^2</f>
        <v>18.334582128629702</v>
      </c>
      <c r="G29">
        <f t="shared" si="1"/>
        <v>0.18051488063694879</v>
      </c>
      <c r="H29">
        <f>IF(E29&gt;1,1-(EXP((1/E29^2-G29^2)*F29)*((COS(G29/E29*F29*2)*(1-erfzR(1/E29*F29^0.5,G29*F29^0.5))-SIN(G29/E29*F29*2)*(-erfzI(1/E29*F29^0.5,G29*F29^0.5)))+(COS(G29/E29*F29*2)*(-erfzI(1/E29*F29^0.5,G29*F29^0.5))+SIN(G29/E29*F29*2)*(1-erfzR(1/E29*F29^0.5,G29*F29^0.5)))/E29/G29)),1-((1/E29+G29)*EXP((1/E29+G29)^2*F29)*ERFC((1/E29+G29)*F29^0.5)-(1/E29-G29)*EXP((1/E29-G29)^2*F29)*ERFC((1/E29-G29)*F29^0.5))/2/G29)</f>
        <v>0.57235711867464323</v>
      </c>
    </row>
    <row r="30" spans="1:8" x14ac:dyDescent="0.25">
      <c r="A30">
        <v>103</v>
      </c>
      <c r="B30">
        <v>6.22</v>
      </c>
      <c r="C30">
        <v>5.8733399999999989</v>
      </c>
      <c r="D30">
        <f>B30*'PRC model'!$B$35+'PRC model'!$C$35</f>
        <v>4.2095863282466048</v>
      </c>
      <c r="E30">
        <f t="shared" si="0"/>
        <v>10.681376462552551</v>
      </c>
      <c r="F30" s="7">
        <f>'PRC model'!$A$35*t*86400/10^D30/Lo^2</f>
        <v>2.0792779441436946</v>
      </c>
      <c r="G30">
        <f t="shared" si="1"/>
        <v>0.29130056844044122</v>
      </c>
      <c r="H30">
        <f>IF(E30&gt;1,1-(EXP((1/E30^2-G30^2)*F30)*((COS(G30/E30*F30*2)*(1-erfzR(1/E30*F30^0.5,G30*F30^0.5))-SIN(G30/E30*F30*2)*(-erfzI(1/E30*F30^0.5,G30*F30^0.5)))+(COS(G30/E30*F30*2)*(-erfzI(1/E30*F30^0.5,G30*F30^0.5))+SIN(G30/E30*F30*2)*(1-erfzR(1/E30*F30^0.5,G30*F30^0.5)))/E30/G30)),1-((1/E30+G30)*EXP((1/E30+G30)^2*F30)*ERFC((1/E30+G30)*F30^0.5)-(1/E30-G30)*EXP((1/E30-G30)^2*F30)*ERFC((1/E30-G30)*F30^0.5))/2/G30)</f>
        <v>0.36603700774711645</v>
      </c>
    </row>
    <row r="31" spans="1:8" x14ac:dyDescent="0.25">
      <c r="A31">
        <v>40</v>
      </c>
      <c r="B31">
        <v>5.66</v>
      </c>
      <c r="C31">
        <v>5.3430199999999992</v>
      </c>
      <c r="D31">
        <f>B31*'PRC model'!$B$35+'PRC model'!$C$35</f>
        <v>3.2107170021024647</v>
      </c>
      <c r="E31">
        <f t="shared" si="0"/>
        <v>31.417856235427646</v>
      </c>
      <c r="F31" s="7">
        <f>'PRC model'!$A$35*t*86400/10^D31/Lo^2</f>
        <v>20.738716412789554</v>
      </c>
      <c r="G31">
        <f t="shared" si="1"/>
        <v>0.17554471273073036</v>
      </c>
      <c r="H31">
        <f>IF(E31&gt;1,1-(EXP((1/E31^2-G31^2)*F31)*((COS(G31/E31*F31*2)*(1-erfzR(1/E31*F31^0.5,G31*F31^0.5))-SIN(G31/E31*F31*2)*(-erfzI(1/E31*F31^0.5,G31*F31^0.5)))+(COS(G31/E31*F31*2)*(-erfzI(1/E31*F31^0.5,G31*F31^0.5))+SIN(G31/E31*F31*2)*(1-erfzR(1/E31*F31^0.5,G31*F31^0.5)))/E31/G31)),1-((1/E31+G31)*EXP((1/E31+G31)^2*F31)*ERFC((1/E31+G31)*F31^0.5)-(1/E31-G31)*EXP((1/E31-G31)^2*F31)*ERFC((1/E31-G31)*F31^0.5))/2/G31)</f>
        <v>0.58821844477413232</v>
      </c>
    </row>
    <row r="32" spans="1:8" x14ac:dyDescent="0.25">
      <c r="A32">
        <v>74</v>
      </c>
      <c r="B32">
        <v>6.2</v>
      </c>
      <c r="C32">
        <v>5.8543999999999992</v>
      </c>
      <c r="D32">
        <f>B32*'PRC model'!$B$35+'PRC model'!$C$35</f>
        <v>4.1739124237414575</v>
      </c>
      <c r="E32">
        <f t="shared" si="0"/>
        <v>11.100975047195208</v>
      </c>
      <c r="F32" s="7">
        <f>'PRC model'!$A$35*t*86400/10^D32/Lo^2</f>
        <v>2.2572852894988946</v>
      </c>
      <c r="G32">
        <f t="shared" si="1"/>
        <v>0.28629945591168443</v>
      </c>
      <c r="H32">
        <f>IF(E32&gt;1,1-(EXP((1/E32^2-G32^2)*F32)*((COS(G32/E32*F32*2)*(1-erfzR(1/E32*F32^0.5,G32*F32^0.5))-SIN(G32/E32*F32*2)*(-erfzI(1/E32*F32^0.5,G32*F32^0.5)))+(COS(G32/E32*F32*2)*(-erfzI(1/E32*F32^0.5,G32*F32^0.5))+SIN(G32/E32*F32*2)*(1-erfzR(1/E32*F32^0.5,G32*F32^0.5)))/E32/G32)),1-((1/E32+G32)*EXP((1/E32+G32)^2*F32)*ERFC((1/E32+G32)*F32^0.5)-(1/E32-G32)*EXP((1/E32-G32)^2*F32)*ERFC((1/E32-G32)*F32^0.5))/2/G32)</f>
        <v>0.37135419408617909</v>
      </c>
    </row>
    <row r="33" spans="1:8" x14ac:dyDescent="0.25">
      <c r="A33">
        <v>70</v>
      </c>
      <c r="B33">
        <v>6.2</v>
      </c>
      <c r="C33">
        <v>5.8543999999999992</v>
      </c>
      <c r="D33">
        <f>B33*'PRC model'!$B$35+'PRC model'!$C$35</f>
        <v>4.1739124237414575</v>
      </c>
      <c r="E33">
        <f t="shared" si="0"/>
        <v>11.100975047195208</v>
      </c>
      <c r="F33" s="7">
        <f>'PRC model'!$A$35*t*86400/10^D33/Lo^2</f>
        <v>2.2572852894988946</v>
      </c>
      <c r="G33">
        <f t="shared" si="1"/>
        <v>0.28629945591168443</v>
      </c>
      <c r="H33">
        <f>IF(E33&gt;1,1-(EXP((1/E33^2-G33^2)*F33)*((COS(G33/E33*F33*2)*(1-erfzR(1/E33*F33^0.5,G33*F33^0.5))-SIN(G33/E33*F33*2)*(-erfzI(1/E33*F33^0.5,G33*F33^0.5)))+(COS(G33/E33*F33*2)*(-erfzI(1/E33*F33^0.5,G33*F33^0.5))+SIN(G33/E33*F33*2)*(1-erfzR(1/E33*F33^0.5,G33*F33^0.5)))/E33/G33)),1-((1/E33+G33)*EXP((1/E33+G33)^2*F33)*ERFC((1/E33+G33)*F33^0.5)-(1/E33-G33)*EXP((1/E33-G33)^2*F33)*ERFC((1/E33-G33)*F33^0.5))/2/G33)</f>
        <v>0.37135419408617909</v>
      </c>
    </row>
    <row r="34" spans="1:8" x14ac:dyDescent="0.25">
      <c r="A34">
        <v>66</v>
      </c>
      <c r="B34">
        <v>6.2</v>
      </c>
      <c r="C34">
        <v>5.8543999999999992</v>
      </c>
      <c r="D34">
        <f>B34*'PRC model'!$B$35+'PRC model'!$C$35</f>
        <v>4.1739124237414575</v>
      </c>
      <c r="E34">
        <f t="shared" si="0"/>
        <v>11.100975047195208</v>
      </c>
      <c r="F34" s="7">
        <f>'PRC model'!$A$35*t*86400/10^D34/Lo^2</f>
        <v>2.2572852894988946</v>
      </c>
      <c r="G34">
        <f t="shared" si="1"/>
        <v>0.28629945591168443</v>
      </c>
      <c r="H34">
        <f>IF(E34&gt;1,1-(EXP((1/E34^2-G34^2)*F34)*((COS(G34/E34*F34*2)*(1-erfzR(1/E34*F34^0.5,G34*F34^0.5))-SIN(G34/E34*F34*2)*(-erfzI(1/E34*F34^0.5,G34*F34^0.5)))+(COS(G34/E34*F34*2)*(-erfzI(1/E34*F34^0.5,G34*F34^0.5))+SIN(G34/E34*F34*2)*(1-erfzR(1/E34*F34^0.5,G34*F34^0.5)))/E34/G34)),1-((1/E34+G34)*EXP((1/E34+G34)^2*F34)*ERFC((1/E34+G34)*F34^0.5)-(1/E34-G34)*EXP((1/E34-G34)^2*F34)*ERFC((1/E34-G34)*F34^0.5))/2/G34)</f>
        <v>0.37135419408617909</v>
      </c>
    </row>
    <row r="35" spans="1:8" x14ac:dyDescent="0.25">
      <c r="A35">
        <v>95</v>
      </c>
      <c r="B35">
        <v>6.13</v>
      </c>
      <c r="C35">
        <v>5.7881099999999996</v>
      </c>
      <c r="D35">
        <f>B35*'PRC model'!$B$35+'PRC model'!$C$35</f>
        <v>4.0490537579734394</v>
      </c>
      <c r="E35">
        <f t="shared" ref="E35:E66" si="2">10^C35*(Lo^2-Li^2)/10^D35/Lo^2</f>
        <v>12.703687215608337</v>
      </c>
      <c r="F35" s="7">
        <f>'PRC model'!$A$35*t*86400/10^D35/Lo^2</f>
        <v>3.0091588697948799</v>
      </c>
      <c r="G35">
        <f t="shared" si="1"/>
        <v>0.26929702837029895</v>
      </c>
      <c r="H35">
        <f>IF(E35&gt;1,1-(EXP((1/E35^2-G35^2)*F35)*((COS(G35/E35*F35*2)*(1-erfzR(1/E35*F35^0.5,G35*F35^0.5))-SIN(G35/E35*F35*2)*(-erfzI(1/E35*F35^0.5,G35*F35^0.5)))+(COS(G35/E35*F35*2)*(-erfzI(1/E35*F35^0.5,G35*F35^0.5))+SIN(G35/E35*F35*2)*(1-erfzR(1/E35*F35^0.5,G35*F35^0.5)))/E35/G35)),1-((1/E35+G35)*EXP((1/E35+G35)^2*F35)*ERFC((1/E35+G35)*F35^0.5)-(1/E35-G35)*EXP((1/E35-G35)^2*F35)*ERFC((1/E35-G35)*F35^0.5))/2/G35)</f>
        <v>0.39132770460393485</v>
      </c>
    </row>
    <row r="36" spans="1:8" x14ac:dyDescent="0.25">
      <c r="A36">
        <v>93</v>
      </c>
      <c r="B36">
        <v>6.04</v>
      </c>
      <c r="C36">
        <v>5.7028799999999995</v>
      </c>
      <c r="D36">
        <f>B36*'PRC model'!$B$35+'PRC model'!$C$35</f>
        <v>3.8885211877002739</v>
      </c>
      <c r="E36">
        <f t="shared" si="2"/>
        <v>15.108883151698588</v>
      </c>
      <c r="F36" s="7">
        <f>'PRC model'!$A$35*t*86400/10^D36/Lo^2</f>
        <v>4.3548949909120038</v>
      </c>
      <c r="G36">
        <f t="shared" si="1"/>
        <v>0.24860734518222313</v>
      </c>
      <c r="H36">
        <f>IF(E36&gt;1,1-(EXP((1/E36^2-G36^2)*F36)*((COS(G36/E36*F36*2)*(1-erfzR(1/E36*F36^0.5,G36*F36^0.5))-SIN(G36/E36*F36*2)*(-erfzI(1/E36*F36^0.5,G36*F36^0.5)))+(COS(G36/E36*F36*2)*(-erfzI(1/E36*F36^0.5,G36*F36^0.5))+SIN(G36/E36*F36*2)*(1-erfzR(1/E36*F36^0.5,G36*F36^0.5)))/E36/G36)),1-((1/E36+G36)*EXP((1/E36+G36)^2*F36)*ERFC((1/E36+G36)*F36^0.5)-(1/E36-G36)*EXP((1/E36-G36)^2*F36)*ERFC((1/E36-G36)*F36^0.5))/2/G36)</f>
        <v>0.420331058751794</v>
      </c>
    </row>
    <row r="37" spans="1:8" x14ac:dyDescent="0.25">
      <c r="A37">
        <v>56</v>
      </c>
      <c r="B37">
        <v>6.11</v>
      </c>
      <c r="C37">
        <v>5.7691699999999999</v>
      </c>
      <c r="D37">
        <f>B37*'PRC model'!$B$35+'PRC model'!$C$35</f>
        <v>4.0133798534682921</v>
      </c>
      <c r="E37">
        <f t="shared" si="2"/>
        <v>13.202728626057622</v>
      </c>
      <c r="F37" s="7">
        <f>'PRC model'!$A$35*t*86400/10^D37/Lo^2</f>
        <v>3.2667734824410148</v>
      </c>
      <c r="G37">
        <f t="shared" si="1"/>
        <v>0.26458473230042717</v>
      </c>
      <c r="H37">
        <f>IF(E37&gt;1,1-(EXP((1/E37^2-G37^2)*F37)*((COS(G37/E37*F37*2)*(1-erfzR(1/E37*F37^0.5,G37*F37^0.5))-SIN(G37/E37*F37*2)*(-erfzI(1/E37*F37^0.5,G37*F37^0.5)))+(COS(G37/E37*F37*2)*(-erfzI(1/E37*F37^0.5,G37*F37^0.5))+SIN(G37/E37*F37*2)*(1-erfzR(1/E37*F37^0.5,G37*F37^0.5)))/E37/G37)),1-((1/E37+G37)*EXP((1/E37+G37)^2*F37)*ERFC((1/E37+G37)*F37^0.5)-(1/E37-G37)*EXP((1/E37-G37)^2*F37)*ERFC((1/E37-G37)*F37^0.5))/2/G37)</f>
        <v>0.39744017748361038</v>
      </c>
    </row>
    <row r="38" spans="1:8" x14ac:dyDescent="0.25">
      <c r="A38">
        <v>60</v>
      </c>
      <c r="B38">
        <v>6.11</v>
      </c>
      <c r="C38">
        <v>5.7691699999999999</v>
      </c>
      <c r="D38">
        <f>B38*'PRC model'!$B$35+'PRC model'!$C$35</f>
        <v>4.0133798534682921</v>
      </c>
      <c r="E38">
        <f t="shared" si="2"/>
        <v>13.202728626057622</v>
      </c>
      <c r="F38" s="7">
        <f>'PRC model'!$A$35*t*86400/10^D38/Lo^2</f>
        <v>3.2667734824410148</v>
      </c>
      <c r="G38">
        <f t="shared" si="1"/>
        <v>0.26458473230042717</v>
      </c>
      <c r="H38">
        <f>IF(E38&gt;1,1-(EXP((1/E38^2-G38^2)*F38)*((COS(G38/E38*F38*2)*(1-erfzR(1/E38*F38^0.5,G38*F38^0.5))-SIN(G38/E38*F38*2)*(-erfzI(1/E38*F38^0.5,G38*F38^0.5)))+(COS(G38/E38*F38*2)*(-erfzI(1/E38*F38^0.5,G38*F38^0.5))+SIN(G38/E38*F38*2)*(1-erfzR(1/E38*F38^0.5,G38*F38^0.5)))/E38/G38)),1-((1/E38+G38)*EXP((1/E38+G38)^2*F38)*ERFC((1/E38+G38)*F38^0.5)-(1/E38-G38)*EXP((1/E38-G38)^2*F38)*ERFC((1/E38-G38)*F38^0.5))/2/G38)</f>
        <v>0.39744017748361038</v>
      </c>
    </row>
    <row r="39" spans="1:8" x14ac:dyDescent="0.25">
      <c r="A39">
        <v>92</v>
      </c>
      <c r="B39">
        <v>6.35</v>
      </c>
      <c r="C39">
        <v>5.9964499999999994</v>
      </c>
      <c r="D39">
        <f>B39*'PRC model'!$B$35+'PRC model'!$C$35</f>
        <v>4.4414667075300649</v>
      </c>
      <c r="E39">
        <f t="shared" si="2"/>
        <v>8.3148964036165456</v>
      </c>
      <c r="F39" s="7">
        <f>'PRC model'!$A$35*t*86400/10^D39/Lo^2</f>
        <v>1.2190798910161873</v>
      </c>
      <c r="G39">
        <f t="shared" si="1"/>
        <v>0.32527242483874758</v>
      </c>
      <c r="H39">
        <f>IF(E39&gt;1,1-(EXP((1/E39^2-G39^2)*F39)*((COS(G39/E39*F39*2)*(1-erfzR(1/E39*F39^0.5,G39*F39^0.5))-SIN(G39/E39*F39*2)*(-erfzI(1/E39*F39^0.5,G39*F39^0.5)))+(COS(G39/E39*F39*2)*(-erfzI(1/E39*F39^0.5,G39*F39^0.5))+SIN(G39/E39*F39*2)*(1-erfzR(1/E39*F39^0.5,G39*F39^0.5)))/E39/G39)),1-((1/E39+G39)*EXP((1/E39+G39)^2*F39)*ERFC((1/E39+G39)*F39^0.5)-(1/E39-G39)*EXP((1/E39-G39)^2*F39)*ERFC((1/E39-G39)*F39^0.5))/2/G39)</f>
        <v>0.33532849049769164</v>
      </c>
    </row>
    <row r="40" spans="1:8" x14ac:dyDescent="0.25">
      <c r="A40">
        <v>84</v>
      </c>
      <c r="B40">
        <v>6.04</v>
      </c>
      <c r="C40">
        <v>5.7028799999999995</v>
      </c>
      <c r="D40">
        <f>B40*'PRC model'!$B$35+'PRC model'!$C$35</f>
        <v>3.8885211877002739</v>
      </c>
      <c r="E40">
        <f t="shared" si="2"/>
        <v>15.108883151698588</v>
      </c>
      <c r="F40" s="7">
        <f>'PRC model'!$A$35*t*86400/10^D40/Lo^2</f>
        <v>4.3548949909120038</v>
      </c>
      <c r="G40">
        <f t="shared" si="1"/>
        <v>0.24860734518222313</v>
      </c>
      <c r="H40">
        <f>IF(E40&gt;1,1-(EXP((1/E40^2-G40^2)*F40)*((COS(G40/E40*F40*2)*(1-erfzR(1/E40*F40^0.5,G40*F40^0.5))-SIN(G40/E40*F40*2)*(-erfzI(1/E40*F40^0.5,G40*F40^0.5)))+(COS(G40/E40*F40*2)*(-erfzI(1/E40*F40^0.5,G40*F40^0.5))+SIN(G40/E40*F40*2)*(1-erfzR(1/E40*F40^0.5,G40*F40^0.5)))/E40/G40)),1-((1/E40+G40)*EXP((1/E40+G40)^2*F40)*ERFC((1/E40+G40)*F40^0.5)-(1/E40-G40)*EXP((1/E40-G40)^2*F40)*ERFC((1/E40-G40)*F40^0.5))/2/G40)</f>
        <v>0.420331058751794</v>
      </c>
    </row>
    <row r="41" spans="1:8" x14ac:dyDescent="0.25">
      <c r="A41">
        <v>101</v>
      </c>
      <c r="B41">
        <v>6.38</v>
      </c>
      <c r="C41">
        <v>6.0248599999999994</v>
      </c>
      <c r="D41">
        <f>B41*'PRC model'!$B$35+'PRC model'!$C$35</f>
        <v>4.4949775642877867</v>
      </c>
      <c r="E41">
        <f t="shared" si="2"/>
        <v>7.8479456350262735</v>
      </c>
      <c r="F41" s="7">
        <f>'PRC model'!$A$35*t*86400/10^D41/Lo^2</f>
        <v>1.0777581378861611</v>
      </c>
      <c r="G41">
        <f t="shared" si="1"/>
        <v>0.33344496657781919</v>
      </c>
      <c r="H41">
        <f>IF(E41&gt;1,1-(EXP((1/E41^2-G41^2)*F41)*((COS(G41/E41*F41*2)*(1-erfzR(1/E41*F41^0.5,G41*F41^0.5))-SIN(G41/E41*F41*2)*(-erfzI(1/E41*F41^0.5,G41*F41^0.5)))+(COS(G41/E41*F41*2)*(-erfzI(1/E41*F41^0.5,G41*F41^0.5))+SIN(G41/E41*F41*2)*(1-erfzR(1/E41*F41^0.5,G41*F41^0.5)))/E41/G41)),1-((1/E41+G41)*EXP((1/E41+G41)^2*F41)*ERFC((1/E41+G41)*F41^0.5)-(1/E41-G41)*EXP((1/E41-G41)^2*F41)*ERFC((1/E41-G41)*F41^0.5))/2/G41)</f>
        <v>0.32911565777355123</v>
      </c>
    </row>
    <row r="42" spans="1:8" x14ac:dyDescent="0.25">
      <c r="A42">
        <v>99</v>
      </c>
      <c r="B42">
        <v>6.39</v>
      </c>
      <c r="C42">
        <v>6.0343299999999989</v>
      </c>
      <c r="D42">
        <f>B42*'PRC model'!$B$35+'PRC model'!$C$35</f>
        <v>4.5128145165403613</v>
      </c>
      <c r="E42">
        <f t="shared" si="2"/>
        <v>7.698197229964479</v>
      </c>
      <c r="F42" s="7">
        <f>'PRC model'!$A$35*t*86400/10^D42/Lo^2</f>
        <v>1.0343901076565132</v>
      </c>
      <c r="G42">
        <f t="shared" si="1"/>
        <v>0.33619397957144653</v>
      </c>
      <c r="H42">
        <f>IF(E42&gt;1,1-(EXP((1/E42^2-G42^2)*F42)*((COS(G42/E42*F42*2)*(1-erfzR(1/E42*F42^0.5,G42*F42^0.5))-SIN(G42/E42*F42*2)*(-erfzI(1/E42*F42^0.5,G42*F42^0.5)))+(COS(G42/E42*F42*2)*(-erfzI(1/E42*F42^0.5,G42*F42^0.5))+SIN(G42/E42*F42*2)*(1-erfzR(1/E42*F42^0.5,G42*F42^0.5)))/E42/G42)),1-((1/E42+G42)*EXP((1/E42+G42)^2*F42)*ERFC((1/E42+G42)*F42^0.5)-(1/E42-G42)*EXP((1/E42-G42)^2*F42)*ERFC((1/E42-G42)*F42^0.5))/2/G42)</f>
        <v>0.32711169909157078</v>
      </c>
    </row>
    <row r="43" spans="1:8" x14ac:dyDescent="0.25">
      <c r="A43">
        <v>119</v>
      </c>
      <c r="B43">
        <v>6.58</v>
      </c>
      <c r="C43">
        <v>6.2142599999999995</v>
      </c>
      <c r="D43">
        <f>B43*'PRC model'!$B$35+'PRC model'!$C$35</f>
        <v>4.8517166093392667</v>
      </c>
      <c r="E43">
        <f t="shared" si="2"/>
        <v>5.3384716513173371</v>
      </c>
      <c r="F43" s="7">
        <f>'PRC model'!$A$35*t*86400/10^D43/Lo^2</f>
        <v>0.47400428284152557</v>
      </c>
      <c r="G43">
        <f t="shared" si="1"/>
        <v>0.39016781467113143</v>
      </c>
      <c r="H43">
        <f>IF(E43&gt;1,1-(EXP((1/E43^2-G43^2)*F43)*((COS(G43/E43*F43*2)*(1-erfzR(1/E43*F43^0.5,G43*F43^0.5))-SIN(G43/E43*F43*2)*(-erfzI(1/E43*F43^0.5,G43*F43^0.5)))+(COS(G43/E43*F43*2)*(-erfzI(1/E43*F43^0.5,G43*F43^0.5))+SIN(G43/E43*F43*2)*(1-erfzR(1/E43*F43^0.5,G43*F43^0.5)))/E43/G43)),1-((1/E43+G43)*EXP((1/E43+G43)^2*F43)*ERFC((1/E43+G43)*F43^0.5)-(1/E43-G43)*EXP((1/E43-G43)^2*F43)*ERFC((1/E43-G43)*F43^0.5))/2/G43)</f>
        <v>0.29469023366594638</v>
      </c>
    </row>
    <row r="44" spans="1:8" x14ac:dyDescent="0.25">
      <c r="A44">
        <v>83</v>
      </c>
      <c r="B44">
        <v>6.26</v>
      </c>
      <c r="C44">
        <v>5.9112199999999993</v>
      </c>
      <c r="D44">
        <f>B44*'PRC model'!$B$35+'PRC model'!$C$35</f>
        <v>4.2809341372568994</v>
      </c>
      <c r="E44">
        <f t="shared" si="2"/>
        <v>9.88916021376596</v>
      </c>
      <c r="F44" s="7">
        <f>'PRC model'!$A$35*t*86400/10^D44/Lo^2</f>
        <v>1.7642687344287118</v>
      </c>
      <c r="G44">
        <f t="shared" si="1"/>
        <v>0.30148864087239657</v>
      </c>
      <c r="H44">
        <f>IF(E44&gt;1,1-(EXP((1/E44^2-G44^2)*F44)*((COS(G44/E44*F44*2)*(1-erfzR(1/E44*F44^0.5,G44*F44^0.5))-SIN(G44/E44*F44*2)*(-erfzI(1/E44*F44^0.5,G44*F44^0.5)))+(COS(G44/E44*F44*2)*(-erfzI(1/E44*F44^0.5,G44*F44^0.5))+SIN(G44/E44*F44*2)*(1-erfzR(1/E44*F44^0.5,G44*F44^0.5)))/E44/G44)),1-((1/E44+G44)*EXP((1/E44+G44)^2*F44)*ERFC((1/E44+G44)*F44^0.5)-(1/E44-G44)*EXP((1/E44-G44)^2*F44)*ERFC((1/E44-G44)*F44^0.5))/2/G44)</f>
        <v>0.35589557104862224</v>
      </c>
    </row>
    <row r="45" spans="1:8" x14ac:dyDescent="0.25">
      <c r="A45">
        <v>87</v>
      </c>
      <c r="B45">
        <v>6.29</v>
      </c>
      <c r="C45">
        <v>5.9396299999999993</v>
      </c>
      <c r="D45">
        <f>B45*'PRC model'!$B$35+'PRC model'!$C$35</f>
        <v>4.334444994014623</v>
      </c>
      <c r="E45">
        <f t="shared" si="2"/>
        <v>9.3338014049030917</v>
      </c>
      <c r="F45" s="7">
        <f>'PRC model'!$A$35*t*86400/10^D45/Lo^2</f>
        <v>1.5597460018503475</v>
      </c>
      <c r="G45">
        <f t="shared" si="1"/>
        <v>0.30928796231590094</v>
      </c>
      <c r="H45">
        <f>IF(E45&gt;1,1-(EXP((1/E45^2-G45^2)*F45)*((COS(G45/E45*F45*2)*(1-erfzR(1/E45*F45^0.5,G45*F45^0.5))-SIN(G45/E45*F45*2)*(-erfzI(1/E45*F45^0.5,G45*F45^0.5)))+(COS(G45/E45*F45*2)*(-erfzI(1/E45*F45^0.5,G45*F45^0.5))+SIN(G45/E45*F45*2)*(1-erfzR(1/E45*F45^0.5,G45*F45^0.5)))/E45/G45)),1-((1/E45+G45)*EXP((1/E45+G45)^2*F45)*ERFC((1/E45+G45)*F45^0.5)-(1/E45-G45)*EXP((1/E45-G45)^2*F45)*ERFC((1/E45-G45)*F45^0.5))/2/G45)</f>
        <v>0.34870447819538941</v>
      </c>
    </row>
    <row r="46" spans="1:8" x14ac:dyDescent="0.25">
      <c r="A46">
        <v>81</v>
      </c>
      <c r="B46">
        <v>6.36</v>
      </c>
      <c r="C46">
        <v>6.0059199999999997</v>
      </c>
      <c r="D46">
        <f>B46*'PRC model'!$B$35+'PRC model'!$C$35</f>
        <v>4.4593036597826394</v>
      </c>
      <c r="E46">
        <f t="shared" si="2"/>
        <v>8.1562380065529485</v>
      </c>
      <c r="F46" s="7">
        <f>'PRC model'!$A$35*t*86400/10^D46/Lo^2</f>
        <v>1.1700251989591741</v>
      </c>
      <c r="G46">
        <f t="shared" si="1"/>
        <v>0.32798387884965818</v>
      </c>
      <c r="H46">
        <f>IF(E46&gt;1,1-(EXP((1/E46^2-G46^2)*F46)*((COS(G46/E46*F46*2)*(1-erfzR(1/E46*F46^0.5,G46*F46^0.5))-SIN(G46/E46*F46*2)*(-erfzI(1/E46*F46^0.5,G46*F46^0.5)))+(COS(G46/E46*F46*2)*(-erfzI(1/E46*F46^0.5,G46*F46^0.5))+SIN(G46/E46*F46*2)*(1-erfzR(1/E46*F46^0.5,G46*F46^0.5)))/E46/G46)),1-((1/E46+G46)*EXP((1/E46+G46)^2*F46)*ERFC((1/E46+G46)*F46^0.5)-(1/E46-G46)*EXP((1/E46-G46)^2*F46)*ERFC((1/E46-G46)*F46^0.5))/2/G46)</f>
        <v>0.33322354640612817</v>
      </c>
    </row>
    <row r="47" spans="1:8" x14ac:dyDescent="0.25">
      <c r="A47">
        <v>136</v>
      </c>
      <c r="B47">
        <v>6.22</v>
      </c>
      <c r="C47">
        <v>5.8733399999999989</v>
      </c>
      <c r="D47">
        <f>B47*'PRC model'!$B$35+'PRC model'!$C$35</f>
        <v>4.2095863282466048</v>
      </c>
      <c r="E47">
        <f t="shared" si="2"/>
        <v>10.681376462552551</v>
      </c>
      <c r="F47" s="7">
        <f>'PRC model'!$A$35*t*86400/10^D47/Lo^2</f>
        <v>2.0792779441436946</v>
      </c>
      <c r="G47">
        <f t="shared" si="1"/>
        <v>0.29130056844044122</v>
      </c>
      <c r="H47">
        <f>IF(E47&gt;1,1-(EXP((1/E47^2-G47^2)*F47)*((COS(G47/E47*F47*2)*(1-erfzR(1/E47*F47^0.5,G47*F47^0.5))-SIN(G47/E47*F47*2)*(-erfzI(1/E47*F47^0.5,G47*F47^0.5)))+(COS(G47/E47*F47*2)*(-erfzI(1/E47*F47^0.5,G47*F47^0.5))+SIN(G47/E47*F47*2)*(1-erfzR(1/E47*F47^0.5,G47*F47^0.5)))/E47/G47)),1-((1/E47+G47)*EXP((1/E47+G47)^2*F47)*ERFC((1/E47+G47)*F47^0.5)-(1/E47-G47)*EXP((1/E47-G47)^2*F47)*ERFC((1/E47-G47)*F47^0.5))/2/G47)</f>
        <v>0.36603700774711645</v>
      </c>
    </row>
    <row r="48" spans="1:8" x14ac:dyDescent="0.25">
      <c r="A48">
        <v>110</v>
      </c>
      <c r="B48">
        <v>6.48</v>
      </c>
      <c r="C48">
        <v>6.1195599999999999</v>
      </c>
      <c r="D48">
        <f>B48*'PRC model'!$B$35+'PRC model'!$C$35</f>
        <v>4.6733470868135285</v>
      </c>
      <c r="E48">
        <f t="shared" si="2"/>
        <v>6.4727146772947783</v>
      </c>
      <c r="F48" s="7">
        <f>'PRC model'!$A$35*t*86400/10^D48/Lo^2</f>
        <v>0.71474609003851453</v>
      </c>
      <c r="G48">
        <f t="shared" si="1"/>
        <v>0.36142229550476035</v>
      </c>
      <c r="H48">
        <f>IF(E48&gt;1,1-(EXP((1/E48^2-G48^2)*F48)*((COS(G48/E48*F48*2)*(1-erfzR(1/E48*F48^0.5,G48*F48^0.5))-SIN(G48/E48*F48*2)*(-erfzI(1/E48*F48^0.5,G48*F48^0.5)))+(COS(G48/E48*F48*2)*(-erfzI(1/E48*F48^0.5,G48*F48^0.5))+SIN(G48/E48*F48*2)*(1-erfzR(1/E48*F48^0.5,G48*F48^0.5)))/E48/G48)),1-((1/E48+G48)*EXP((1/E48+G48)^2*F48)*ERFC((1/E48+G48)*F48^0.5)-(1/E48-G48)*EXP((1/E48-G48)^2*F48)*ERFC((1/E48-G48)*F48^0.5))/2/G48)</f>
        <v>0.31048627643752325</v>
      </c>
    </row>
    <row r="49" spans="1:8" x14ac:dyDescent="0.25">
      <c r="A49">
        <v>77</v>
      </c>
      <c r="B49">
        <v>6.36</v>
      </c>
      <c r="C49">
        <v>6.0059199999999997</v>
      </c>
      <c r="D49">
        <f>B49*'PRC model'!$B$35+'PRC model'!$C$35</f>
        <v>4.4593036597826394</v>
      </c>
      <c r="E49">
        <f t="shared" si="2"/>
        <v>8.1562380065529485</v>
      </c>
      <c r="F49" s="7">
        <f>'PRC model'!$A$35*t*86400/10^D49/Lo^2</f>
        <v>1.1700251989591741</v>
      </c>
      <c r="G49">
        <f t="shared" si="1"/>
        <v>0.32798387884965818</v>
      </c>
      <c r="H49">
        <f>IF(E49&gt;1,1-(EXP((1/E49^2-G49^2)*F49)*((COS(G49/E49*F49*2)*(1-erfzR(1/E49*F49^0.5,G49*F49^0.5))-SIN(G49/E49*F49*2)*(-erfzI(1/E49*F49^0.5,G49*F49^0.5)))+(COS(G49/E49*F49*2)*(-erfzI(1/E49*F49^0.5,G49*F49^0.5))+SIN(G49/E49*F49*2)*(1-erfzR(1/E49*F49^0.5,G49*F49^0.5)))/E49/G49)),1-((1/E49+G49)*EXP((1/E49+G49)^2*F49)*ERFC((1/E49+G49)*F49^0.5)-(1/E49-G49)*EXP((1/E49-G49)^2*F49)*ERFC((1/E49-G49)*F49^0.5))/2/G49)</f>
        <v>0.33322354640612817</v>
      </c>
    </row>
    <row r="50" spans="1:8" x14ac:dyDescent="0.25">
      <c r="A50">
        <v>82</v>
      </c>
      <c r="B50">
        <v>6.2</v>
      </c>
      <c r="C50">
        <v>5.8543999999999992</v>
      </c>
      <c r="D50">
        <f>B50*'PRC model'!$B$35+'PRC model'!$C$35</f>
        <v>4.1739124237414575</v>
      </c>
      <c r="E50">
        <f t="shared" si="2"/>
        <v>11.100975047195208</v>
      </c>
      <c r="F50" s="7">
        <f>'PRC model'!$A$35*t*86400/10^D50/Lo^2</f>
        <v>2.2572852894988946</v>
      </c>
      <c r="G50">
        <f t="shared" si="1"/>
        <v>0.28629945591168443</v>
      </c>
      <c r="H50">
        <f>IF(E50&gt;1,1-(EXP((1/E50^2-G50^2)*F50)*((COS(G50/E50*F50*2)*(1-erfzR(1/E50*F50^0.5,G50*F50^0.5))-SIN(G50/E50*F50*2)*(-erfzI(1/E50*F50^0.5,G50*F50^0.5)))+(COS(G50/E50*F50*2)*(-erfzI(1/E50*F50^0.5,G50*F50^0.5))+SIN(G50/E50*F50*2)*(1-erfzR(1/E50*F50^0.5,G50*F50^0.5)))/E50/G50)),1-((1/E50+G50)*EXP((1/E50+G50)^2*F50)*ERFC((1/E50+G50)*F50^0.5)-(1/E50-G50)*EXP((1/E50-G50)^2*F50)*ERFC((1/E50-G50)*F50^0.5))/2/G50)</f>
        <v>0.37135419408617909</v>
      </c>
    </row>
    <row r="51" spans="1:8" x14ac:dyDescent="0.25">
      <c r="A51">
        <v>151</v>
      </c>
      <c r="B51">
        <v>6.64</v>
      </c>
      <c r="C51">
        <v>6.2710799999999987</v>
      </c>
      <c r="D51">
        <f>B51*'PRC model'!$B$35+'PRC model'!$C$35</f>
        <v>4.9587383228547086</v>
      </c>
      <c r="E51">
        <f t="shared" si="2"/>
        <v>4.7557085059715947</v>
      </c>
      <c r="F51" s="7">
        <f>'PRC model'!$A$35*t*86400/10^D51/Lo^2</f>
        <v>0.37047640371069585</v>
      </c>
      <c r="G51">
        <f t="shared" si="1"/>
        <v>0.40750290731057343</v>
      </c>
      <c r="H51">
        <f>IF(E51&gt;1,1-(EXP((1/E51^2-G51^2)*F51)*((COS(G51/E51*F51*2)*(1-erfzR(1/E51*F51^0.5,G51*F51^0.5))-SIN(G51/E51*F51*2)*(-erfzI(1/E51*F51^0.5,G51*F51^0.5)))+(COS(G51/E51*F51*2)*(-erfzI(1/E51*F51^0.5,G51*F51^0.5))+SIN(G51/E51*F51*2)*(1-erfzR(1/E51*F51^0.5,G51*F51^0.5)))/E51/G51)),1-((1/E51+G51)*EXP((1/E51+G51)^2*F51)*ERFC((1/E51+G51)*F51^0.5)-(1/E51-G51)*EXP((1/E51-G51)^2*F51)*ERFC((1/E51-G51)*F51^0.5))/2/G51)</f>
        <v>0.28638734687622314</v>
      </c>
    </row>
    <row r="52" spans="1:8" x14ac:dyDescent="0.25">
      <c r="A52">
        <v>135</v>
      </c>
      <c r="B52">
        <v>6.64</v>
      </c>
      <c r="C52">
        <v>6.2710799999999987</v>
      </c>
      <c r="D52">
        <f>B52*'PRC model'!$B$35+'PRC model'!$C$35</f>
        <v>4.9587383228547086</v>
      </c>
      <c r="E52">
        <f t="shared" si="2"/>
        <v>4.7557085059715947</v>
      </c>
      <c r="F52" s="7">
        <f>'PRC model'!$A$35*t*86400/10^D52/Lo^2</f>
        <v>0.37047640371069585</v>
      </c>
      <c r="G52">
        <f t="shared" si="1"/>
        <v>0.40750290731057343</v>
      </c>
      <c r="H52">
        <f>IF(E52&gt;1,1-(EXP((1/E52^2-G52^2)*F52)*((COS(G52/E52*F52*2)*(1-erfzR(1/E52*F52^0.5,G52*F52^0.5))-SIN(G52/E52*F52*2)*(-erfzI(1/E52*F52^0.5,G52*F52^0.5)))+(COS(G52/E52*F52*2)*(-erfzI(1/E52*F52^0.5,G52*F52^0.5))+SIN(G52/E52*F52*2)*(1-erfzR(1/E52*F52^0.5,G52*F52^0.5)))/E52/G52)),1-((1/E52+G52)*EXP((1/E52+G52)^2*F52)*ERFC((1/E52+G52)*F52^0.5)-(1/E52-G52)*EXP((1/E52-G52)^2*F52)*ERFC((1/E52-G52)*F52^0.5))/2/G52)</f>
        <v>0.28638734687622314</v>
      </c>
    </row>
    <row r="53" spans="1:8" x14ac:dyDescent="0.25">
      <c r="A53">
        <v>144</v>
      </c>
      <c r="B53">
        <v>6.67</v>
      </c>
      <c r="C53">
        <v>6.2994899999999996</v>
      </c>
      <c r="D53">
        <f>B53*'PRC model'!$B$35+'PRC model'!$C$35</f>
        <v>5.0122491796124322</v>
      </c>
      <c r="E53">
        <f t="shared" si="2"/>
        <v>4.4886358168772542</v>
      </c>
      <c r="F53" s="7">
        <f>'PRC model'!$A$35*t*86400/10^D53/Lo^2</f>
        <v>0.32752895190582548</v>
      </c>
      <c r="G53">
        <f t="shared" si="1"/>
        <v>0.416115072485014</v>
      </c>
      <c r="H53">
        <f>IF(E53&gt;1,1-(EXP((1/E53^2-G53^2)*F53)*((COS(G53/E53*F53*2)*(1-erfzR(1/E53*F53^0.5,G53*F53^0.5))-SIN(G53/E53*F53*2)*(-erfzI(1/E53*F53^0.5,G53*F53^0.5)))+(COS(G53/E53*F53*2)*(-erfzI(1/E53*F53^0.5,G53*F53^0.5))+SIN(G53/E53*F53*2)*(1-erfzR(1/E53*F53^0.5,G53*F53^0.5)))/E53/G53)),1-((1/E53+G53)*EXP((1/E53+G53)^2*F53)*ERFC((1/E53+G53)*F53^0.5)-(1/E53-G53)*EXP((1/E53-G53)^2*F53)*ERFC((1/E53-G53)*F53^0.5))/2/G53)</f>
        <v>0.2825313464567254</v>
      </c>
    </row>
    <row r="54" spans="1:8" x14ac:dyDescent="0.25">
      <c r="A54">
        <v>107</v>
      </c>
      <c r="B54">
        <v>6.71</v>
      </c>
      <c r="C54">
        <v>6.3373699999999991</v>
      </c>
      <c r="D54">
        <f>B54*'PRC model'!$B$35+'PRC model'!$C$35</f>
        <v>5.0835969886227268</v>
      </c>
      <c r="E54">
        <f t="shared" si="2"/>
        <v>4.1557227095186224</v>
      </c>
      <c r="F54" s="7">
        <f>'PRC model'!$A$35*t*86400/10^D54/Lo^2</f>
        <v>0.27790853603539167</v>
      </c>
      <c r="G54">
        <f t="shared" si="1"/>
        <v>0.4274672585977235</v>
      </c>
      <c r="H54">
        <f>IF(E54&gt;1,1-(EXP((1/E54^2-G54^2)*F54)*((COS(G54/E54*F54*2)*(1-erfzR(1/E54*F54^0.5,G54*F54^0.5))-SIN(G54/E54*F54*2)*(-erfzI(1/E54*F54^0.5,G54*F54^0.5)))+(COS(G54/E54*F54*2)*(-erfzI(1/E54*F54^0.5,G54*F54^0.5))+SIN(G54/E54*F54*2)*(1-erfzR(1/E54*F54^0.5,G54*F54^0.5)))/E54/G54)),1-((1/E54+G54)*EXP((1/E54+G54)^2*F54)*ERFC((1/E54+G54)*F54^0.5)-(1/E54-G54)*EXP((1/E54-G54)^2*F54)*ERFC((1/E54-G54)*F54^0.5))/2/G54)</f>
        <v>0.27767343464908112</v>
      </c>
    </row>
    <row r="55" spans="1:8" x14ac:dyDescent="0.25">
      <c r="A55">
        <v>123</v>
      </c>
      <c r="B55">
        <v>6.74</v>
      </c>
      <c r="C55">
        <v>6.3657799999999991</v>
      </c>
      <c r="D55">
        <f>B55*'PRC model'!$B$35+'PRC model'!$C$35</f>
        <v>5.1371078453804504</v>
      </c>
      <c r="E55">
        <f t="shared" si="2"/>
        <v>3.9223442260039194</v>
      </c>
      <c r="F55" s="7">
        <f>'PRC model'!$A$35*t*86400/10^D55/Lo^2</f>
        <v>0.24569200797045557</v>
      </c>
      <c r="G55">
        <f t="shared" si="1"/>
        <v>0.4358328693766359</v>
      </c>
      <c r="H55">
        <f>IF(E55&gt;1,1-(EXP((1/E55^2-G55^2)*F55)*((COS(G55/E55*F55*2)*(1-erfzR(1/E55*F55^0.5,G55*F55^0.5))-SIN(G55/E55*F55*2)*(-erfzI(1/E55*F55^0.5,G55*F55^0.5)))+(COS(G55/E55*F55*2)*(-erfzI(1/E55*F55^0.5,G55*F55^0.5))+SIN(G55/E55*F55*2)*(1-erfzR(1/E55*F55^0.5,G55*F55^0.5)))/E55/G55)),1-((1/E55+G55)*EXP((1/E55+G55)^2*F55)*ERFC((1/E55+G55)*F55^0.5)-(1/E55-G55)*EXP((1/E55-G55)^2*F55)*ERFC((1/E55-G55)*F55^0.5))/2/G55)</f>
        <v>0.27423005863616534</v>
      </c>
    </row>
    <row r="56" spans="1:8" x14ac:dyDescent="0.25">
      <c r="A56">
        <v>149</v>
      </c>
      <c r="B56">
        <v>6.67</v>
      </c>
      <c r="C56">
        <v>6.2994899999999996</v>
      </c>
      <c r="D56">
        <f>B56*'PRC model'!$B$35+'PRC model'!$C$35</f>
        <v>5.0122491796124322</v>
      </c>
      <c r="E56">
        <f t="shared" si="2"/>
        <v>4.4886358168772542</v>
      </c>
      <c r="F56" s="7">
        <f>'PRC model'!$A$35*t*86400/10^D56/Lo^2</f>
        <v>0.32752895190582548</v>
      </c>
      <c r="G56">
        <f t="shared" si="1"/>
        <v>0.416115072485014</v>
      </c>
      <c r="H56">
        <f>IF(E56&gt;1,1-(EXP((1/E56^2-G56^2)*F56)*((COS(G56/E56*F56*2)*(1-erfzR(1/E56*F56^0.5,G56*F56^0.5))-SIN(G56/E56*F56*2)*(-erfzI(1/E56*F56^0.5,G56*F56^0.5)))+(COS(G56/E56*F56*2)*(-erfzI(1/E56*F56^0.5,G56*F56^0.5))+SIN(G56/E56*F56*2)*(1-erfzR(1/E56*F56^0.5,G56*F56^0.5)))/E56/G56)),1-((1/E56+G56)*EXP((1/E56+G56)^2*F56)*ERFC((1/E56+G56)*F56^0.5)-(1/E56-G56)*EXP((1/E56-G56)^2*F56)*ERFC((1/E56-G56)*F56^0.5))/2/G56)</f>
        <v>0.2825313464567254</v>
      </c>
    </row>
    <row r="57" spans="1:8" x14ac:dyDescent="0.25">
      <c r="A57">
        <v>118</v>
      </c>
      <c r="B57">
        <v>6.74</v>
      </c>
      <c r="C57">
        <v>6.3657799999999991</v>
      </c>
      <c r="D57">
        <f>B57*'PRC model'!$B$35+'PRC model'!$C$35</f>
        <v>5.1371078453804504</v>
      </c>
      <c r="E57">
        <f t="shared" si="2"/>
        <v>3.9223442260039194</v>
      </c>
      <c r="F57" s="7">
        <f>'PRC model'!$A$35*t*86400/10^D57/Lo^2</f>
        <v>0.24569200797045557</v>
      </c>
      <c r="G57">
        <f t="shared" si="1"/>
        <v>0.4358328693766359</v>
      </c>
      <c r="H57">
        <f>IF(E57&gt;1,1-(EXP((1/E57^2-G57^2)*F57)*((COS(G57/E57*F57*2)*(1-erfzR(1/E57*F57^0.5,G57*F57^0.5))-SIN(G57/E57*F57*2)*(-erfzI(1/E57*F57^0.5,G57*F57^0.5)))+(COS(G57/E57*F57*2)*(-erfzI(1/E57*F57^0.5,G57*F57^0.5))+SIN(G57/E57*F57*2)*(1-erfzR(1/E57*F57^0.5,G57*F57^0.5)))/E57/G57)),1-((1/E57+G57)*EXP((1/E57+G57)^2*F57)*ERFC((1/E57+G57)*F57^0.5)-(1/E57-G57)*EXP((1/E57-G57)^2*F57)*ERFC((1/E57-G57)*F57^0.5))/2/G57)</f>
        <v>0.27423005863616534</v>
      </c>
    </row>
    <row r="58" spans="1:8" x14ac:dyDescent="0.25">
      <c r="A58">
        <v>134</v>
      </c>
      <c r="B58">
        <v>6.55</v>
      </c>
      <c r="C58">
        <v>6.1858499999999994</v>
      </c>
      <c r="D58">
        <f>B58*'PRC model'!$B$35+'PRC model'!$C$35</f>
        <v>4.7982057525815449</v>
      </c>
      <c r="E58">
        <f t="shared" si="2"/>
        <v>5.6561093563435128</v>
      </c>
      <c r="F58" s="7">
        <f>'PRC model'!$A$35*t*86400/10^D58/Lo^2</f>
        <v>0.53615840990169239</v>
      </c>
      <c r="G58">
        <f t="shared" si="1"/>
        <v>0.3814993376966439</v>
      </c>
      <c r="H58">
        <f>IF(E58&gt;1,1-(EXP((1/E58^2-G58^2)*F58)*((COS(G58/E58*F58*2)*(1-erfzR(1/E58*F58^0.5,G58*F58^0.5))-SIN(G58/E58*F58*2)*(-erfzI(1/E58*F58^0.5,G58*F58^0.5)))+(COS(G58/E58*F58*2)*(-erfzI(1/E58*F58^0.5,G58*F58^0.5))+SIN(G58/E58*F58*2)*(1-erfzR(1/E58*F58^0.5,G58*F58^0.5)))/E58/G58)),1-((1/E58+G58)*EXP((1/E58+G58)^2*F58)*ERFC((1/E58+G58)*F58^0.5)-(1/E58-G58)*EXP((1/E58-G58)^2*F58)*ERFC((1/E58-G58)*F58^0.5))/2/G58)</f>
        <v>0.29915870268599987</v>
      </c>
    </row>
    <row r="59" spans="1:8" x14ac:dyDescent="0.25">
      <c r="A59">
        <v>146</v>
      </c>
      <c r="B59">
        <v>6.89</v>
      </c>
      <c r="C59">
        <v>6.5078299999999993</v>
      </c>
      <c r="D59">
        <f>B59*'PRC model'!$B$35+'PRC model'!$C$35</f>
        <v>5.4046621291690577</v>
      </c>
      <c r="E59">
        <f t="shared" si="2"/>
        <v>2.9379298448910882</v>
      </c>
      <c r="F59" s="7">
        <f>'PRC model'!$A$35*t*86400/10^D59/Lo^2</f>
        <v>0.13268955753779033</v>
      </c>
      <c r="G59">
        <f t="shared" si="1"/>
        <v>0.47383551020060205</v>
      </c>
      <c r="H59">
        <f>IF(E59&gt;1,1-(EXP((1/E59^2-G59^2)*F59)*((COS(G59/E59*F59*2)*(1-erfzR(1/E59*F59^0.5,G59*F59^0.5))-SIN(G59/E59*F59*2)*(-erfzI(1/E59*F59^0.5,G59*F59^0.5)))+(COS(G59/E59*F59*2)*(-erfzI(1/E59*F59^0.5,G59*F59^0.5))+SIN(G59/E59*F59*2)*(1-erfzR(1/E59*F59^0.5,G59*F59^0.5)))/E59/G59)),1-((1/E59+G59)*EXP((1/E59+G59)^2*F59)*ERFC((1/E59+G59)*F59^0.5)-(1/E59-G59)*EXP((1/E59-G59)^2*F59)*ERFC((1/E59-G59)*F59^0.5))/2/G59)</f>
        <v>0.2592633762866321</v>
      </c>
    </row>
    <row r="60" spans="1:8" x14ac:dyDescent="0.25">
      <c r="A60">
        <v>153</v>
      </c>
      <c r="B60">
        <v>6.92</v>
      </c>
      <c r="C60">
        <v>6.5362399999999994</v>
      </c>
      <c r="D60">
        <f>B60*'PRC model'!$B$35+'PRC model'!$C$35</f>
        <v>5.4581729859267796</v>
      </c>
      <c r="E60">
        <f t="shared" si="2"/>
        <v>2.7729405855493279</v>
      </c>
      <c r="F60" s="7">
        <f>'PRC model'!$A$35*t*86400/10^D60/Lo^2</f>
        <v>0.11730752963996566</v>
      </c>
      <c r="G60">
        <f t="shared" si="1"/>
        <v>0.48018271924165357</v>
      </c>
      <c r="H60">
        <f>IF(E60&gt;1,1-(EXP((1/E60^2-G60^2)*F60)*((COS(G60/E60*F60*2)*(1-erfzR(1/E60*F60^0.5,G60*F60^0.5))-SIN(G60/E60*F60*2)*(-erfzI(1/E60*F60^0.5,G60*F60^0.5)))+(COS(G60/E60*F60*2)*(-erfzI(1/E60*F60^0.5,G60*F60^0.5))+SIN(G60/E60*F60*2)*(1-erfzR(1/E60*F60^0.5,G60*F60^0.5)))/E60/G60)),1-((1/E60+G60)*EXP((1/E60+G60)^2*F60)*ERFC((1/E60+G60)*F60^0.5)-(1/E60-G60)*EXP((1/E60-G60)^2*F60)*ERFC((1/E60-G60)*F60^0.5))/2/G60)</f>
        <v>0.25666445693173001</v>
      </c>
    </row>
    <row r="61" spans="1:8" x14ac:dyDescent="0.25">
      <c r="A61">
        <v>132</v>
      </c>
      <c r="B61">
        <v>6.58</v>
      </c>
      <c r="C61">
        <v>6.2142599999999995</v>
      </c>
      <c r="D61">
        <f>B61*'PRC model'!$B$35+'PRC model'!$C$35</f>
        <v>4.8517166093392667</v>
      </c>
      <c r="E61">
        <f t="shared" si="2"/>
        <v>5.3384716513173371</v>
      </c>
      <c r="F61" s="7">
        <f>'PRC model'!$A$35*t*86400/10^D61/Lo^2</f>
        <v>0.47400428284152557</v>
      </c>
      <c r="G61">
        <f t="shared" si="1"/>
        <v>0.39016781467113143</v>
      </c>
      <c r="H61">
        <f>IF(E61&gt;1,1-(EXP((1/E61^2-G61^2)*F61)*((COS(G61/E61*F61*2)*(1-erfzR(1/E61*F61^0.5,G61*F61^0.5))-SIN(G61/E61*F61*2)*(-erfzI(1/E61*F61^0.5,G61*F61^0.5)))+(COS(G61/E61*F61*2)*(-erfzI(1/E61*F61^0.5,G61*F61^0.5))+SIN(G61/E61*F61*2)*(1-erfzR(1/E61*F61^0.5,G61*F61^0.5)))/E61/G61)),1-((1/E61+G61)*EXP((1/E61+G61)^2*F61)*ERFC((1/E61+G61)*F61^0.5)-(1/E61-G61)*EXP((1/E61-G61)^2*F61)*ERFC((1/E61-G61)*F61^0.5))/2/G61)</f>
        <v>0.29469023366594638</v>
      </c>
    </row>
    <row r="62" spans="1:8" x14ac:dyDescent="0.25">
      <c r="A62">
        <v>105</v>
      </c>
      <c r="B62">
        <v>6.65</v>
      </c>
      <c r="C62">
        <v>6.2805499999999999</v>
      </c>
      <c r="D62">
        <f>B62*'PRC model'!$B$35+'PRC model'!$C$35</f>
        <v>4.9765752751072849</v>
      </c>
      <c r="E62">
        <f t="shared" si="2"/>
        <v>4.664963768835606</v>
      </c>
      <c r="F62" s="7">
        <f>'PRC model'!$A$35*t*86400/10^D62/Lo^2</f>
        <v>0.35556876227361944</v>
      </c>
      <c r="G62">
        <f t="shared" si="1"/>
        <v>0.41038035964360942</v>
      </c>
      <c r="H62">
        <f>IF(E62&gt;1,1-(EXP((1/E62^2-G62^2)*F62)*((COS(G62/E62*F62*2)*(1-erfzR(1/E62*F62^0.5,G62*F62^0.5))-SIN(G62/E62*F62*2)*(-erfzI(1/E62*F62^0.5,G62*F62^0.5)))+(COS(G62/E62*F62*2)*(-erfzI(1/E62*F62^0.5,G62*F62^0.5))+SIN(G62/E62*F62*2)*(1-erfzR(1/E62*F62^0.5,G62*F62^0.5)))/E62/G62)),1-((1/E62+G62)*EXP((1/E62+G62)^2*F62)*ERFC((1/E62+G62)*F62^0.5)-(1/E62-G62)*EXP((1/E62-G62)^2*F62)*ERFC((1/E62-G62)*F62^0.5))/2/G62)</f>
        <v>0.28508103048078537</v>
      </c>
    </row>
    <row r="63" spans="1:8" x14ac:dyDescent="0.25">
      <c r="A63">
        <v>141</v>
      </c>
      <c r="B63">
        <v>6.82</v>
      </c>
      <c r="C63">
        <v>6.4415399999999998</v>
      </c>
      <c r="D63">
        <f>B63*'PRC model'!$B$35+'PRC model'!$C$35</f>
        <v>5.2798034634010413</v>
      </c>
      <c r="E63">
        <f t="shared" si="2"/>
        <v>3.3620958206123421</v>
      </c>
      <c r="F63" s="7">
        <f>'PRC model'!$A$35*t*86400/10^D63/Lo^2</f>
        <v>0.17688679443910105</v>
      </c>
      <c r="G63">
        <f t="shared" si="1"/>
        <v>0.45712888974874161</v>
      </c>
      <c r="H63">
        <f>IF(E63&gt;1,1-(EXP((1/E63^2-G63^2)*F63)*((COS(G63/E63*F63*2)*(1-erfzR(1/E63*F63^0.5,G63*F63^0.5))-SIN(G63/E63*F63*2)*(-erfzI(1/E63*F63^0.5,G63*F63^0.5)))+(COS(G63/E63*F63*2)*(-erfzI(1/E63*F63^0.5,G63*F63^0.5))+SIN(G63/E63*F63*2)*(1-erfzR(1/E63*F63^0.5,G63*F63^0.5)))/E63/G63)),1-((1/E63+G63)*EXP((1/E63+G63)^2*F63)*ERFC((1/E63+G63)*F63^0.5)-(1/E63-G63)*EXP((1/E63-G63)^2*F63)*ERFC((1/E63-G63)*F63^0.5))/2/G63)</f>
        <v>0.26581257355550947</v>
      </c>
    </row>
    <row r="64" spans="1:8" x14ac:dyDescent="0.25">
      <c r="A64">
        <v>179</v>
      </c>
      <c r="B64">
        <v>6.73</v>
      </c>
      <c r="C64">
        <v>6.3563099999999997</v>
      </c>
      <c r="D64">
        <f>B64*'PRC model'!$B$35+'PRC model'!$C$35</f>
        <v>5.1192708931278759</v>
      </c>
      <c r="E64">
        <f t="shared" si="2"/>
        <v>3.9986432313945803</v>
      </c>
      <c r="F64" s="7">
        <f>'PRC model'!$A$35*t*86400/10^D64/Lo^2</f>
        <v>0.2559929363629222</v>
      </c>
      <c r="G64">
        <f t="shared" si="1"/>
        <v>0.43306166559697451</v>
      </c>
      <c r="H64">
        <f>IF(E64&gt;1,1-(EXP((1/E64^2-G64^2)*F64)*((COS(G64/E64*F64*2)*(1-erfzR(1/E64*F64^0.5,G64*F64^0.5))-SIN(G64/E64*F64*2)*(-erfzI(1/E64*F64^0.5,G64*F64^0.5)))+(COS(G64/E64*F64*2)*(-erfzI(1/E64*F64^0.5,G64*F64^0.5))+SIN(G64/E64*F64*2)*(1-erfzR(1/E64*F64^0.5,G64*F64^0.5)))/E64/G64)),1-((1/E64+G64)*EXP((1/E64+G64)^2*F64)*ERFC((1/E64+G64)*F64^0.5)-(1/E64-G64)*EXP((1/E64-G64)^2*F64)*ERFC((1/E64-G64)*F64^0.5))/2/G64)</f>
        <v>0.27535948872341875</v>
      </c>
    </row>
    <row r="65" spans="1:8" x14ac:dyDescent="0.25">
      <c r="A65">
        <v>163</v>
      </c>
      <c r="B65">
        <v>6.99</v>
      </c>
      <c r="C65">
        <v>6.6025299999999998</v>
      </c>
      <c r="D65">
        <f>B65*'PRC model'!$B$35+'PRC model'!$C$35</f>
        <v>5.5830316516947978</v>
      </c>
      <c r="E65">
        <f t="shared" si="2"/>
        <v>2.4231031294376857</v>
      </c>
      <c r="F65" s="7">
        <f>'PRC model'!$A$35*t*86400/10^D65/Lo^2</f>
        <v>8.7996869710571302E-2</v>
      </c>
      <c r="G65">
        <f t="shared" si="1"/>
        <v>0.49231865037559813</v>
      </c>
      <c r="H65">
        <f>IF(E65&gt;1,1-(EXP((1/E65^2-G65^2)*F65)*((COS(G65/E65*F65*2)*(1-erfzR(1/E65*F65^0.5,G65*F65^0.5))-SIN(G65/E65*F65*2)*(-erfzI(1/E65*F65^0.5,G65*F65^0.5)))+(COS(G65/E65*F65*2)*(-erfzI(1/E65*F65^0.5,G65*F65^0.5))+SIN(G65/E65*F65*2)*(1-erfzR(1/E65*F65^0.5,G65*F65^0.5)))/E65/G65)),1-((1/E65+G65)*EXP((1/E65+G65)^2*F65)*ERFC((1/E65+G65)*F65^0.5)-(1/E65-G65)*EXP((1/E65-G65)^2*F65)*ERFC((1/E65-G65)*F65^0.5))/2/G65)</f>
        <v>0.25103527558126304</v>
      </c>
    </row>
    <row r="66" spans="1:8" x14ac:dyDescent="0.25">
      <c r="A66">
        <v>138</v>
      </c>
      <c r="B66">
        <v>6.83</v>
      </c>
      <c r="C66">
        <v>6.4510099999999992</v>
      </c>
      <c r="D66">
        <f>B66*'PRC model'!$B$35+'PRC model'!$C$35</f>
        <v>5.2976404156536141</v>
      </c>
      <c r="E66">
        <f t="shared" si="2"/>
        <v>3.2979429186663274</v>
      </c>
      <c r="F66" s="7">
        <f>'PRC model'!$A$35*t*86400/10^D66/Lo^2</f>
        <v>0.16976902693747467</v>
      </c>
      <c r="G66">
        <f t="shared" si="1"/>
        <v>0.45964917369797531</v>
      </c>
      <c r="H66">
        <f>IF(E66&gt;1,1-(EXP((1/E66^2-G66^2)*F66)*((COS(G66/E66*F66*2)*(1-erfzR(1/E66*F66^0.5,G66*F66^0.5))-SIN(G66/E66*F66*2)*(-erfzI(1/E66*F66^0.5,G66*F66^0.5)))+(COS(G66/E66*F66*2)*(-erfzI(1/E66*F66^0.5,G66*F66^0.5))+SIN(G66/E66*F66*2)*(1-erfzR(1/E66*F66^0.5,G66*F66^0.5)))/E66/G66)),1-((1/E66+G66)*EXP((1/E66+G66)^2*F66)*ERFC((1/E66+G66)*F66^0.5)-(1/E66-G66)*EXP((1/E66-G66)^2*F66)*ERFC((1/E66-G66)*F66^0.5))/2/G66)</f>
        <v>0.26483296431499637</v>
      </c>
    </row>
    <row r="67" spans="1:8" x14ac:dyDescent="0.25">
      <c r="A67">
        <v>158</v>
      </c>
      <c r="B67">
        <v>7.02</v>
      </c>
      <c r="C67">
        <v>6.6309399999999989</v>
      </c>
      <c r="D67">
        <f>B67*'PRC model'!$B$35+'PRC model'!$C$35</f>
        <v>5.6365425084525196</v>
      </c>
      <c r="E67">
        <f t="shared" ref="E67:E90" si="3">10^C67*(Lo^2-Li^2)/10^D67/Lo^2</f>
        <v>2.2870256831603841</v>
      </c>
      <c r="F67" s="7">
        <f>'PRC model'!$A$35*t*86400/10^D67/Lo^2</f>
        <v>7.77958385976011E-2</v>
      </c>
      <c r="G67">
        <f t="shared" si="1"/>
        <v>0.4960467002705542</v>
      </c>
      <c r="H67">
        <f>IF(E67&gt;1,1-(EXP((1/E67^2-G67^2)*F67)*((COS(G67/E67*F67*2)*(1-erfzR(1/E67*F67^0.5,G67*F67^0.5))-SIN(G67/E67*F67*2)*(-erfzI(1/E67*F67^0.5,G67*F67^0.5)))+(COS(G67/E67*F67*2)*(-erfzI(1/E67*F67^0.5,G67*F67^0.5))+SIN(G67/E67*F67*2)*(1-erfzR(1/E67*F67^0.5,G67*F67^0.5)))/E67/G67)),1-((1/E67+G67)*EXP((1/E67+G67)^2*F67)*ERFC((1/E67+G67)*F67^0.5)-(1/E67-G67)*EXP((1/E67-G67)^2*F67)*ERFC((1/E67-G67)*F67^0.5))/2/G67)</f>
        <v>0.24879415328113419</v>
      </c>
    </row>
    <row r="68" spans="1:8" x14ac:dyDescent="0.25">
      <c r="A68">
        <v>178</v>
      </c>
      <c r="B68">
        <v>7.14</v>
      </c>
      <c r="C68">
        <v>6.7445799999999991</v>
      </c>
      <c r="D68">
        <f>B68*'PRC model'!$B$35+'PRC model'!$C$35</f>
        <v>5.8505859354834069</v>
      </c>
      <c r="E68">
        <f t="shared" si="3"/>
        <v>1.8149623263628414</v>
      </c>
      <c r="F68" s="7">
        <f>'PRC model'!$A$35*t*86400/10^D68/Lo^2</f>
        <v>4.7523994789485852E-2</v>
      </c>
      <c r="G68">
        <f t="shared" ref="G68:G90" si="4">IF(E68&gt;1,(1/E68-1/E68^2)^0.5,(1/E68^2-1/E68)^0.5)</f>
        <v>0.49739469817731441</v>
      </c>
      <c r="H68">
        <f>IF(E68&gt;1,1-(EXP((1/E68^2-G68^2)*F68)*((COS(G68/E68*F68*2)*(1-erfzR(1/E68*F68^0.5,G68*F68^0.5))-SIN(G68/E68*F68*2)*(-erfzI(1/E68*F68^0.5,G68*F68^0.5)))+(COS(G68/E68*F68*2)*(-erfzI(1/E68*F68^0.5,G68*F68^0.5))+SIN(G68/E68*F68*2)*(1-erfzR(1/E68*F68^0.5,G68*F68^0.5)))/E68/G68)),1-((1/E68+G68)*EXP((1/E68+G68)^2*F68)*ERFC((1/E68+G68)*F68^0.5)-(1/E68-G68)*EXP((1/E68-G68)^2*F68)*ERFC((1/E68-G68)*F68^0.5))/2/G68)</f>
        <v>0.24072152828102833</v>
      </c>
    </row>
    <row r="69" spans="1:8" x14ac:dyDescent="0.25">
      <c r="A69">
        <v>187</v>
      </c>
      <c r="B69">
        <v>7.17</v>
      </c>
      <c r="C69">
        <v>6.7729899999999992</v>
      </c>
      <c r="D69">
        <f>B69*'PRC model'!$B$35+'PRC model'!$C$35</f>
        <v>5.9040967922411287</v>
      </c>
      <c r="E69">
        <f t="shared" si="3"/>
        <v>1.7130370572892661</v>
      </c>
      <c r="F69" s="7">
        <f>'PRC model'!$A$35*t*86400/10^D69/Lo^2</f>
        <v>4.2014778938345869E-2</v>
      </c>
      <c r="G69">
        <f t="shared" si="4"/>
        <v>0.49293458805858958</v>
      </c>
      <c r="H69">
        <f>IF(E69&gt;1,1-(EXP((1/E69^2-G69^2)*F69)*((COS(G69/E69*F69*2)*(1-erfzR(1/E69*F69^0.5,G69*F69^0.5))-SIN(G69/E69*F69*2)*(-erfzI(1/E69*F69^0.5,G69*F69^0.5)))+(COS(G69/E69*F69*2)*(-erfzI(1/E69*F69^0.5,G69*F69^0.5))+SIN(G69/E69*F69*2)*(1-erfzR(1/E69*F69^0.5,G69*F69^0.5)))/E69/G69)),1-((1/E69+G69)*EXP((1/E69+G69)^2*F69)*ERFC((1/E69+G69)*F69^0.5)-(1/E69-G69)*EXP((1/E69-G69)^2*F69)*ERFC((1/E69-G69)*F69^0.5))/2/G69)</f>
        <v>0.2389014791859253</v>
      </c>
    </row>
    <row r="70" spans="1:8" x14ac:dyDescent="0.25">
      <c r="A70">
        <v>183</v>
      </c>
      <c r="B70">
        <v>7.2</v>
      </c>
      <c r="C70">
        <v>6.8013999999999992</v>
      </c>
      <c r="D70">
        <f>B70*'PRC model'!$B$35+'PRC model'!$C$35</f>
        <v>5.9576076489988505</v>
      </c>
      <c r="E70">
        <f t="shared" si="3"/>
        <v>1.6168357419996464</v>
      </c>
      <c r="F70" s="7">
        <f>'PRC model'!$A$35*t*86400/10^D70/Lo^2</f>
        <v>3.7144218558592394E-2</v>
      </c>
      <c r="G70">
        <f t="shared" si="4"/>
        <v>0.48575677225745262</v>
      </c>
      <c r="H70">
        <f>IF(E70&gt;1,1-(EXP((1/E70^2-G70^2)*F70)*((COS(G70/E70*F70*2)*(1-erfzR(1/E70*F70^0.5,G70*F70^0.5))-SIN(G70/E70*F70*2)*(-erfzI(1/E70*F70^0.5,G70*F70^0.5)))+(COS(G70/E70*F70*2)*(-erfzI(1/E70*F70^0.5,G70*F70^0.5))+SIN(G70/E70*F70*2)*(1-erfzR(1/E70*F70^0.5,G70*F70^0.5)))/E70/G70)),1-((1/E70+G70)*EXP((1/E70+G70)^2*F70)*ERFC((1/E70+G70)*F70^0.5)-(1/E70-G70)*EXP((1/E70-G70)^2*F70)*ERFC((1/E70-G70)*F70^0.5))/2/G70)</f>
        <v>0.23715166931396214</v>
      </c>
    </row>
    <row r="71" spans="1:8" x14ac:dyDescent="0.25">
      <c r="A71">
        <v>128</v>
      </c>
      <c r="B71">
        <v>6.74</v>
      </c>
      <c r="C71">
        <v>6.3657799999999991</v>
      </c>
      <c r="D71">
        <f>B71*'PRC model'!$B$35+'PRC model'!$C$35</f>
        <v>5.1371078453804504</v>
      </c>
      <c r="E71">
        <f t="shared" si="3"/>
        <v>3.9223442260039194</v>
      </c>
      <c r="F71" s="7">
        <f>'PRC model'!$A$35*t*86400/10^D71/Lo^2</f>
        <v>0.24569200797045557</v>
      </c>
      <c r="G71">
        <f t="shared" si="4"/>
        <v>0.4358328693766359</v>
      </c>
      <c r="H71">
        <f>IF(E71&gt;1,1-(EXP((1/E71^2-G71^2)*F71)*((COS(G71/E71*F71*2)*(1-erfzR(1/E71*F71^0.5,G71*F71^0.5))-SIN(G71/E71*F71*2)*(-erfzI(1/E71*F71^0.5,G71*F71^0.5)))+(COS(G71/E71*F71*2)*(-erfzI(1/E71*F71^0.5,G71*F71^0.5))+SIN(G71/E71*F71*2)*(1-erfzR(1/E71*F71^0.5,G71*F71^0.5)))/E71/G71)),1-((1/E71+G71)*EXP((1/E71+G71)^2*F71)*ERFC((1/E71+G71)*F71^0.5)-(1/E71-G71)*EXP((1/E71-G71)^2*F71)*ERFC((1/E71-G71)*F71^0.5))/2/G71)</f>
        <v>0.27423005863616534</v>
      </c>
    </row>
    <row r="72" spans="1:8" x14ac:dyDescent="0.25">
      <c r="A72">
        <v>167</v>
      </c>
      <c r="B72">
        <v>7.27</v>
      </c>
      <c r="C72">
        <v>6.8676899999999987</v>
      </c>
      <c r="D72">
        <f>B72*'PRC model'!$B$35+'PRC model'!$C$35</f>
        <v>6.0824663147668669</v>
      </c>
      <c r="E72">
        <f t="shared" si="3"/>
        <v>1.4128538370575787</v>
      </c>
      <c r="F72" s="7">
        <f>'PRC model'!$A$35*t*86400/10^D72/Lo^2</f>
        <v>2.7863300599997306E-2</v>
      </c>
      <c r="G72">
        <f t="shared" si="4"/>
        <v>0.45477954959629258</v>
      </c>
      <c r="H72">
        <f>IF(E72&gt;1,1-(EXP((1/E72^2-G72^2)*F72)*((COS(G72/E72*F72*2)*(1-erfzR(1/E72*F72^0.5,G72*F72^0.5))-SIN(G72/E72*F72*2)*(-erfzI(1/E72*F72^0.5,G72*F72^0.5)))+(COS(G72/E72*F72*2)*(-erfzI(1/E72*F72^0.5,G72*F72^0.5))+SIN(G72/E72*F72*2)*(1-erfzR(1/E72*F72^0.5,G72*F72^0.5)))/E72/G72)),1-((1/E72+G72)*EXP((1/E72+G72)^2*F72)*ERFC((1/E72+G72)*F72^0.5)-(1/E72-G72)*EXP((1/E72-G72)^2*F72)*ERFC((1/E72-G72)*F72^0.5))/2/G72)</f>
        <v>0.23331951487847136</v>
      </c>
    </row>
    <row r="73" spans="1:8" x14ac:dyDescent="0.25">
      <c r="A73">
        <v>174</v>
      </c>
      <c r="B73">
        <v>7.11</v>
      </c>
      <c r="C73">
        <v>6.71617</v>
      </c>
      <c r="D73">
        <f>B73*'PRC model'!$B$35+'PRC model'!$C$35</f>
        <v>5.7970750787256851</v>
      </c>
      <c r="E73">
        <f t="shared" si="3"/>
        <v>1.9229521230142177</v>
      </c>
      <c r="F73" s="7">
        <f>'PRC model'!$A$35*t*86400/10^D73/Lo^2</f>
        <v>5.3755610235753801E-2</v>
      </c>
      <c r="G73">
        <f t="shared" si="4"/>
        <v>0.499598487723873</v>
      </c>
      <c r="H73">
        <f>IF(E73&gt;1,1-(EXP((1/E73^2-G73^2)*F73)*((COS(G73/E73*F73*2)*(1-erfzR(1/E73*F73^0.5,G73*F73^0.5))-SIN(G73/E73*F73*2)*(-erfzI(1/E73*F73^0.5,G73*F73^0.5)))+(COS(G73/E73*F73*2)*(-erfzI(1/E73*F73^0.5,G73*F73^0.5))+SIN(G73/E73*F73*2)*(1-erfzR(1/E73*F73^0.5,G73*F73^0.5)))/E73/G73)),1-((1/E73+G73)*EXP((1/E73+G73)^2*F73)*ERFC((1/E73+G73)*F73^0.5)-(1/E73-G73)*EXP((1/E73-G73)^2*F73)*ERFC((1/E73-G73)*F73^0.5))/2/G73)</f>
        <v>0.24261612463954851</v>
      </c>
    </row>
    <row r="74" spans="1:8" x14ac:dyDescent="0.25">
      <c r="A74">
        <v>177</v>
      </c>
      <c r="B74">
        <v>7.08</v>
      </c>
      <c r="C74">
        <v>6.687759999999999</v>
      </c>
      <c r="D74">
        <f>B74*'PRC model'!$B$35+'PRC model'!$C$35</f>
        <v>5.7435642219679632</v>
      </c>
      <c r="E74">
        <f t="shared" si="3"/>
        <v>2.0373672850913089</v>
      </c>
      <c r="F74" s="7">
        <f>'PRC model'!$A$35*t*86400/10^D74/Lo^2</f>
        <v>6.0804350404852422E-2</v>
      </c>
      <c r="G74">
        <f t="shared" si="4"/>
        <v>0.49991589516348539</v>
      </c>
      <c r="H74">
        <f>IF(E74&gt;1,1-(EXP((1/E74^2-G74^2)*F74)*((COS(G74/E74*F74*2)*(1-erfzR(1/E74*F74^0.5,G74*F74^0.5))-SIN(G74/E74*F74*2)*(-erfzI(1/E74*F74^0.5,G74*F74^0.5)))+(COS(G74/E74*F74*2)*(-erfzI(1/E74*F74^0.5,G74*F74^0.5))+SIN(G74/E74*F74*2)*(1-erfzR(1/E74*F74^0.5,G74*F74^0.5)))/E74/G74)),1-((1/E74+G74)*EXP((1/E74+G74)^2*F74)*ERFC((1/E74+G74)*F74^0.5)-(1/E74-G74)*EXP((1/E74-G74)^2*F74)*ERFC((1/E74-G74)*F74^0.5))/2/G74)</f>
        <v>0.24458982963870013</v>
      </c>
    </row>
    <row r="75" spans="1:8" x14ac:dyDescent="0.25">
      <c r="A75">
        <v>171</v>
      </c>
      <c r="B75">
        <v>7.11</v>
      </c>
      <c r="C75">
        <v>6.71617</v>
      </c>
      <c r="D75">
        <f>B75*'PRC model'!$B$35+'PRC model'!$C$35</f>
        <v>5.7970750787256851</v>
      </c>
      <c r="E75">
        <f t="shared" si="3"/>
        <v>1.9229521230142177</v>
      </c>
      <c r="F75" s="7">
        <f>'PRC model'!$A$35*t*86400/10^D75/Lo^2</f>
        <v>5.3755610235753801E-2</v>
      </c>
      <c r="G75">
        <f t="shared" si="4"/>
        <v>0.499598487723873</v>
      </c>
      <c r="H75">
        <f>IF(E75&gt;1,1-(EXP((1/E75^2-G75^2)*F75)*((COS(G75/E75*F75*2)*(1-erfzR(1/E75*F75^0.5,G75*F75^0.5))-SIN(G75/E75*F75*2)*(-erfzI(1/E75*F75^0.5,G75*F75^0.5)))+(COS(G75/E75*F75*2)*(-erfzI(1/E75*F75^0.5,G75*F75^0.5))+SIN(G75/E75*F75*2)*(1-erfzR(1/E75*F75^0.5,G75*F75^0.5)))/E75/G75)),1-((1/E75+G75)*EXP((1/E75+G75)^2*F75)*ERFC((1/E75+G75)*F75^0.5)-(1/E75-G75)*EXP((1/E75-G75)^2*F75)*ERFC((1/E75-G75)*F75^0.5))/2/G75)</f>
        <v>0.24261612463954851</v>
      </c>
    </row>
    <row r="76" spans="1:8" x14ac:dyDescent="0.25">
      <c r="A76">
        <v>156</v>
      </c>
      <c r="B76">
        <v>7.18</v>
      </c>
      <c r="C76">
        <v>6.7824599999999986</v>
      </c>
      <c r="D76">
        <f>B76*'PRC model'!$B$35+'PRC model'!$C$35</f>
        <v>5.9219337444937015</v>
      </c>
      <c r="E76">
        <f t="shared" si="3"/>
        <v>1.6803502142515352</v>
      </c>
      <c r="F76" s="7">
        <f>'PRC model'!$A$35*t*86400/10^D76/Lo^2</f>
        <v>4.0324141550384461E-2</v>
      </c>
      <c r="G76">
        <f t="shared" si="4"/>
        <v>0.49086996232982227</v>
      </c>
      <c r="H76">
        <f>IF(E76&gt;1,1-(EXP((1/E76^2-G76^2)*F76)*((COS(G76/E76*F76*2)*(1-erfzR(1/E76*F76^0.5,G76*F76^0.5))-SIN(G76/E76*F76*2)*(-erfzI(1/E76*F76^0.5,G76*F76^0.5)))+(COS(G76/E76*F76*2)*(-erfzI(1/E76*F76^0.5,G76*F76^0.5))+SIN(G76/E76*F76*2)*(1-erfzR(1/E76*F76^0.5,G76*F76^0.5)))/E76/G76)),1-((1/E76+G76)*EXP((1/E76+G76)^2*F76)*ERFC((1/E76+G76)*F76^0.5)-(1/E76-G76)*EXP((1/E76-G76)^2*F76)*ERFC((1/E76-G76)*F76^0.5))/2/G76)</f>
        <v>0.23831061055196956</v>
      </c>
    </row>
    <row r="77" spans="1:8" x14ac:dyDescent="0.25">
      <c r="A77">
        <v>157</v>
      </c>
      <c r="B77">
        <v>7.18</v>
      </c>
      <c r="C77">
        <v>6.7824599999999986</v>
      </c>
      <c r="D77">
        <f>B77*'PRC model'!$B$35+'PRC model'!$C$35</f>
        <v>5.9219337444937015</v>
      </c>
      <c r="E77">
        <f t="shared" si="3"/>
        <v>1.6803502142515352</v>
      </c>
      <c r="F77" s="7">
        <f>'PRC model'!$A$35*t*86400/10^D77/Lo^2</f>
        <v>4.0324141550384461E-2</v>
      </c>
      <c r="G77">
        <f t="shared" si="4"/>
        <v>0.49086996232982227</v>
      </c>
      <c r="H77">
        <f>IF(E77&gt;1,1-(EXP((1/E77^2-G77^2)*F77)*((COS(G77/E77*F77*2)*(1-erfzR(1/E77*F77^0.5,G77*F77^0.5))-SIN(G77/E77*F77*2)*(-erfzI(1/E77*F77^0.5,G77*F77^0.5)))+(COS(G77/E77*F77*2)*(-erfzI(1/E77*F77^0.5,G77*F77^0.5))+SIN(G77/E77*F77*2)*(1-erfzR(1/E77*F77^0.5,G77*F77^0.5)))/E77/G77)),1-((1/E77+G77)*EXP((1/E77+G77)^2*F77)*ERFC((1/E77+G77)*F77^0.5)-(1/E77-G77)*EXP((1/E77-G77)^2*F77)*ERFC((1/E77-G77)*F77^0.5))/2/G77)</f>
        <v>0.23831061055196956</v>
      </c>
    </row>
    <row r="78" spans="1:8" x14ac:dyDescent="0.25">
      <c r="A78">
        <v>173</v>
      </c>
      <c r="B78">
        <v>7.02</v>
      </c>
      <c r="C78">
        <v>6.6309399999999989</v>
      </c>
      <c r="D78">
        <f>B78*'PRC model'!$B$35+'PRC model'!$C$35</f>
        <v>5.6365425084525196</v>
      </c>
      <c r="E78">
        <f t="shared" si="3"/>
        <v>2.2870256831603841</v>
      </c>
      <c r="F78" s="7">
        <f>'PRC model'!$A$35*t*86400/10^D78/Lo^2</f>
        <v>7.77958385976011E-2</v>
      </c>
      <c r="G78">
        <f t="shared" si="4"/>
        <v>0.4960467002705542</v>
      </c>
      <c r="H78">
        <f>IF(E78&gt;1,1-(EXP((1/E78^2-G78^2)*F78)*((COS(G78/E78*F78*2)*(1-erfzR(1/E78*F78^0.5,G78*F78^0.5))-SIN(G78/E78*F78*2)*(-erfzI(1/E78*F78^0.5,G78*F78^0.5)))+(COS(G78/E78*F78*2)*(-erfzI(1/E78*F78^0.5,G78*F78^0.5))+SIN(G78/E78*F78*2)*(1-erfzR(1/E78*F78^0.5,G78*F78^0.5)))/E78/G78)),1-((1/E78+G78)*EXP((1/E78+G78)^2*F78)*ERFC((1/E78+G78)*F78^0.5)-(1/E78-G78)*EXP((1/E78-G78)^2*F78)*ERFC((1/E78-G78)*F78^0.5))/2/G78)</f>
        <v>0.24879415328113419</v>
      </c>
    </row>
    <row r="79" spans="1:8" x14ac:dyDescent="0.25">
      <c r="A79">
        <v>172</v>
      </c>
      <c r="B79">
        <v>7.33</v>
      </c>
      <c r="C79">
        <v>6.9245099999999997</v>
      </c>
      <c r="D79">
        <f>B79*'PRC model'!$B$35+'PRC model'!$C$35</f>
        <v>6.1894880282823124</v>
      </c>
      <c r="E79">
        <f t="shared" si="3"/>
        <v>1.2586225889073104</v>
      </c>
      <c r="F79" s="7">
        <f>'PRC model'!$A$35*t*86400/10^D79/Lo^2</f>
        <v>2.1777641627867321E-2</v>
      </c>
      <c r="G79">
        <f t="shared" si="4"/>
        <v>0.40405241374488904</v>
      </c>
      <c r="H79">
        <f>IF(E79&gt;1,1-(EXP((1/E79^2-G79^2)*F79)*((COS(G79/E79*F79*2)*(1-erfzR(1/E79*F79^0.5,G79*F79^0.5))-SIN(G79/E79*F79*2)*(-erfzI(1/E79*F79^0.5,G79*F79^0.5)))+(COS(G79/E79*F79*2)*(-erfzI(1/E79*F79^0.5,G79*F79^0.5))+SIN(G79/E79*F79*2)*(1-erfzR(1/E79*F79^0.5,G79*F79^0.5)))/E79/G79)),1-((1/E79+G79)*EXP((1/E79+G79)^2*F79)*ERFC((1/E79+G79)*F79^0.5)-(1/E79-G79)*EXP((1/E79-G79)^2*F79)*ERFC((1/E79-G79)*F79^0.5))/2/G79)</f>
        <v>0.23028615239037376</v>
      </c>
    </row>
    <row r="80" spans="1:8" x14ac:dyDescent="0.25">
      <c r="A80">
        <v>180</v>
      </c>
      <c r="B80">
        <v>7.36</v>
      </c>
      <c r="C80">
        <v>6.9529199999999998</v>
      </c>
      <c r="D80">
        <f>B80*'PRC model'!$B$35+'PRC model'!$C$35</f>
        <v>6.2429988850400342</v>
      </c>
      <c r="E80">
        <f t="shared" si="3"/>
        <v>1.1879404352487584</v>
      </c>
      <c r="F80" s="7">
        <f>'PRC model'!$A$35*t*86400/10^D80/Lo^2</f>
        <v>1.9253070009085015E-2</v>
      </c>
      <c r="G80">
        <f t="shared" si="4"/>
        <v>0.36493494247787844</v>
      </c>
      <c r="H80">
        <f>IF(E80&gt;1,1-(EXP((1/E80^2-G80^2)*F80)*((COS(G80/E80*F80*2)*(1-erfzR(1/E80*F80^0.5,G80*F80^0.5))-SIN(G80/E80*F80*2)*(-erfzI(1/E80*F80^0.5,G80*F80^0.5)))+(COS(G80/E80*F80*2)*(-erfzI(1/E80*F80^0.5,G80*F80^0.5))+SIN(G80/E80*F80*2)*(1-erfzR(1/E80*F80^0.5,G80*F80^0.5)))/E80/G80)),1-((1/E80+G80)*EXP((1/E80+G80)^2*F80)*ERFC((1/E80+G80)*F80^0.5)-(1/E80-G80)*EXP((1/E80-G80)^2*F80)*ERFC((1/E80-G80)*F80^0.5))/2/G80)</f>
        <v>0.22884762841863271</v>
      </c>
    </row>
    <row r="81" spans="1:8" x14ac:dyDescent="0.25">
      <c r="A81">
        <v>193</v>
      </c>
      <c r="B81">
        <v>7.52</v>
      </c>
      <c r="C81">
        <v>7.1044399999999985</v>
      </c>
      <c r="D81">
        <f>B81*'PRC model'!$B$35+'PRC model'!$C$35</f>
        <v>6.5283901210812161</v>
      </c>
      <c r="E81">
        <f t="shared" si="3"/>
        <v>0.87281746750210443</v>
      </c>
      <c r="F81" s="7">
        <f>'PRC model'!$A$35*t*86400/10^D81/Lo^2</f>
        <v>9.979499344965571E-3</v>
      </c>
      <c r="G81">
        <f t="shared" si="4"/>
        <v>0.40859241962749615</v>
      </c>
      <c r="H81">
        <f>IF(E81&gt;1,1-(EXP((1/E81^2-G81^2)*F81)*((COS(G81/E81*F81*2)*(1-erfzR(1/E81*F81^0.5,G81*F81^0.5))-SIN(G81/E81*F81*2)*(-erfzI(1/E81*F81^0.5,G81*F81^0.5)))+(COS(G81/E81*F81*2)*(-erfzI(1/E81*F81^0.5,G81*F81^0.5))+SIN(G81/E81*F81*2)*(1-erfzR(1/E81*F81^0.5,G81*F81^0.5)))/E81/G81)),1-((1/E81+G81)*EXP((1/E81+G81)^2*F81)*ERFC((1/E81+G81)*F81^0.5)-(1/E81-G81)*EXP((1/E81-G81)^2*F81)*ERFC((1/E81-G81)*F81^0.5))/2/G81)</f>
        <v>0.22192248944775661</v>
      </c>
    </row>
    <row r="82" spans="1:8" x14ac:dyDescent="0.25">
      <c r="A82">
        <v>191</v>
      </c>
      <c r="B82">
        <v>7.55</v>
      </c>
      <c r="C82">
        <v>7.1328499999999995</v>
      </c>
      <c r="D82">
        <f>B82*'PRC model'!$B$35+'PRC model'!$C$35</f>
        <v>6.5819009778389379</v>
      </c>
      <c r="E82">
        <f t="shared" si="3"/>
        <v>0.82380148852829038</v>
      </c>
      <c r="F82" s="7">
        <f>'PRC model'!$A$35*t*86400/10^D82/Lo^2</f>
        <v>8.8226265647781427E-3</v>
      </c>
      <c r="G82">
        <f t="shared" si="4"/>
        <v>0.50954030796854533</v>
      </c>
      <c r="H82">
        <f>IF(E82&gt;1,1-(EXP((1/E82^2-G82^2)*F82)*((COS(G82/E82*F82*2)*(1-erfzR(1/E82*F82^0.5,G82*F82^0.5))-SIN(G82/E82*F82*2)*(-erfzI(1/E82*F82^0.5,G82*F82^0.5)))+(COS(G82/E82*F82*2)*(-erfzI(1/E82*F82^0.5,G82*F82^0.5))+SIN(G82/E82*F82*2)*(1-erfzR(1/E82*F82^0.5,G82*F82^0.5)))/E82/G82)),1-((1/E82+G82)*EXP((1/E82+G82)^2*F82)*ERFC((1/E82+G82)*F82^0.5)-(1/E82-G82)*EXP((1/E82-G82)^2*F82)*ERFC((1/E82-G82)*F82^0.5))/2/G82)</f>
        <v>0.22074501069914798</v>
      </c>
    </row>
    <row r="83" spans="1:8" x14ac:dyDescent="0.25">
      <c r="A83">
        <v>170</v>
      </c>
      <c r="B83">
        <v>7.27</v>
      </c>
      <c r="C83">
        <v>6.8676899999999987</v>
      </c>
      <c r="D83">
        <f>B83*'PRC model'!$B$35+'PRC model'!$C$35</f>
        <v>6.0824663147668669</v>
      </c>
      <c r="E83">
        <f t="shared" si="3"/>
        <v>1.4128538370575787</v>
      </c>
      <c r="F83" s="7">
        <f>'PRC model'!$A$35*t*86400/10^D83/Lo^2</f>
        <v>2.7863300599997306E-2</v>
      </c>
      <c r="G83">
        <f t="shared" si="4"/>
        <v>0.45477954959629258</v>
      </c>
      <c r="H83">
        <f>IF(E83&gt;1,1-(EXP((1/E83^2-G83^2)*F83)*((COS(G83/E83*F83*2)*(1-erfzR(1/E83*F83^0.5,G83*F83^0.5))-SIN(G83/E83*F83*2)*(-erfzI(1/E83*F83^0.5,G83*F83^0.5)))+(COS(G83/E83*F83*2)*(-erfzI(1/E83*F83^0.5,G83*F83^0.5))+SIN(G83/E83*F83*2)*(1-erfzR(1/E83*F83^0.5,G83*F83^0.5)))/E83/G83)),1-((1/E83+G83)*EXP((1/E83+G83)^2*F83)*ERFC((1/E83+G83)*F83^0.5)-(1/E83-G83)*EXP((1/E83-G83)^2*F83)*ERFC((1/E83-G83)*F83^0.5))/2/G83)</f>
        <v>0.23331951487847136</v>
      </c>
    </row>
    <row r="84" spans="1:8" x14ac:dyDescent="0.25">
      <c r="A84">
        <v>190</v>
      </c>
      <c r="B84">
        <v>7.46</v>
      </c>
      <c r="C84">
        <v>7.0476199999999993</v>
      </c>
      <c r="D84">
        <f>B84*'PRC model'!$B$35+'PRC model'!$C$35</f>
        <v>6.4213684075657724</v>
      </c>
      <c r="E84">
        <f t="shared" si="3"/>
        <v>0.97977226761980496</v>
      </c>
      <c r="F84" s="7">
        <f>'PRC model'!$A$35*t*86400/10^D84/Lo^2</f>
        <v>1.276822324647104E-2</v>
      </c>
      <c r="G84">
        <f t="shared" si="4"/>
        <v>0.14516050050236046</v>
      </c>
      <c r="H84">
        <f>IF(E84&gt;1,1-(EXP((1/E84^2-G84^2)*F84)*((COS(G84/E84*F84*2)*(1-erfzR(1/E84*F84^0.5,G84*F84^0.5))-SIN(G84/E84*F84*2)*(-erfzI(1/E84*F84^0.5,G84*F84^0.5)))+(COS(G84/E84*F84*2)*(-erfzI(1/E84*F84^0.5,G84*F84^0.5))+SIN(G84/E84*F84*2)*(1-erfzR(1/E84*F84^0.5,G84*F84^0.5)))/E84/G84)),1-((1/E84+G84)*EXP((1/E84+G84)^2*F84)*ERFC((1/E84+G84)*F84^0.5)-(1/E84-G84)*EXP((1/E84-G84)^2*F84)*ERFC((1/E84-G84)*F84^0.5))/2/G84)</f>
        <v>0.22438438348445888</v>
      </c>
    </row>
    <row r="85" spans="1:8" x14ac:dyDescent="0.25">
      <c r="A85">
        <v>198</v>
      </c>
      <c r="B85">
        <v>7.62</v>
      </c>
      <c r="C85">
        <v>7.199139999999999</v>
      </c>
      <c r="D85">
        <f>B85*'PRC model'!$B$35+'PRC model'!$C$35</f>
        <v>6.7067596436069561</v>
      </c>
      <c r="E85">
        <f t="shared" si="3"/>
        <v>0.7198697207184751</v>
      </c>
      <c r="F85" s="7">
        <f>'PRC model'!$A$35*t*86400/10^D85/Lo^2</f>
        <v>6.6181900062901589E-3</v>
      </c>
      <c r="G85">
        <f t="shared" si="4"/>
        <v>0.7352349112817278</v>
      </c>
      <c r="H85">
        <f>IF(E85&gt;1,1-(EXP((1/E85^2-G85^2)*F85)*((COS(G85/E85*F85*2)*(1-erfzR(1/E85*F85^0.5,G85*F85^0.5))-SIN(G85/E85*F85*2)*(-erfzI(1/E85*F85^0.5,G85*F85^0.5)))+(COS(G85/E85*F85*2)*(-erfzI(1/E85*F85^0.5,G85*F85^0.5))+SIN(G85/E85*F85*2)*(1-erfzR(1/E85*F85^0.5,G85*F85^0.5)))/E85/G85)),1-((1/E85+G85)*EXP((1/E85+G85)^2*F85)*ERFC((1/E85+G85)*F85^0.5)-(1/E85-G85)*EXP((1/E85-G85)^2*F85)*ERFC((1/E85-G85)*F85^0.5))/2/G85)</f>
        <v>0.21812223406696185</v>
      </c>
    </row>
    <row r="86" spans="1:8" x14ac:dyDescent="0.25">
      <c r="A86">
        <v>203</v>
      </c>
      <c r="B86">
        <v>7.65</v>
      </c>
      <c r="C86">
        <v>7.2275499999999999</v>
      </c>
      <c r="D86">
        <f>B86*'PRC model'!$B$35+'PRC model'!$C$35</f>
        <v>6.7602705003646779</v>
      </c>
      <c r="E86">
        <f t="shared" si="3"/>
        <v>0.67944303311378751</v>
      </c>
      <c r="F86" s="7">
        <f>'PRC model'!$A$35*t*86400/10^D86/Lo^2</f>
        <v>5.8509767816860578E-3</v>
      </c>
      <c r="G86">
        <f t="shared" si="4"/>
        <v>0.83329650486872875</v>
      </c>
      <c r="H86">
        <f>IF(E86&gt;1,1-(EXP((1/E86^2-G86^2)*F86)*((COS(G86/E86*F86*2)*(1-erfzR(1/E86*F86^0.5,G86*F86^0.5))-SIN(G86/E86*F86*2)*(-erfzI(1/E86*F86^0.5,G86*F86^0.5)))+(COS(G86/E86*F86*2)*(-erfzI(1/E86*F86^0.5,G86*F86^0.5))+SIN(G86/E86*F86*2)*(1-erfzR(1/E86*F86^0.5,G86*F86^0.5)))/E86/G86)),1-((1/E86+G86)*EXP((1/E86+G86)^2*F86)*ERFC((1/E86+G86)*F86^0.5)-(1/E86-G86)*EXP((1/E86-G86)^2*F86)*ERFC((1/E86-G86)*F86^0.5))/2/G86)</f>
        <v>0.21704721238240676</v>
      </c>
    </row>
    <row r="87" spans="1:8" x14ac:dyDescent="0.25">
      <c r="A87">
        <v>196</v>
      </c>
      <c r="B87">
        <v>7.65</v>
      </c>
      <c r="C87">
        <v>7.2275499999999999</v>
      </c>
      <c r="D87">
        <f>B87*'PRC model'!$B$35+'PRC model'!$C$35</f>
        <v>6.7602705003646779</v>
      </c>
      <c r="E87">
        <f t="shared" si="3"/>
        <v>0.67944303311378751</v>
      </c>
      <c r="F87" s="7">
        <f>'PRC model'!$A$35*t*86400/10^D87/Lo^2</f>
        <v>5.8509767816860578E-3</v>
      </c>
      <c r="G87">
        <f t="shared" si="4"/>
        <v>0.83329650486872875</v>
      </c>
      <c r="H87">
        <f>IF(E87&gt;1,1-(EXP((1/E87^2-G87^2)*F87)*((COS(G87/E87*F87*2)*(1-erfzR(1/E87*F87^0.5,G87*F87^0.5))-SIN(G87/E87*F87*2)*(-erfzI(1/E87*F87^0.5,G87*F87^0.5)))+(COS(G87/E87*F87*2)*(-erfzI(1/E87*F87^0.5,G87*F87^0.5))+SIN(G87/E87*F87*2)*(1-erfzR(1/E87*F87^0.5,G87*F87^0.5)))/E87/G87)),1-((1/E87+G87)*EXP((1/E87+G87)^2*F87)*ERFC((1/E87+G87)*F87^0.5)-(1/E87-G87)*EXP((1/E87-G87)^2*F87)*ERFC((1/E87-G87)*F87^0.5))/2/G87)</f>
        <v>0.21704721238240676</v>
      </c>
    </row>
    <row r="88" spans="1:8" x14ac:dyDescent="0.25">
      <c r="A88">
        <v>195</v>
      </c>
      <c r="B88">
        <v>7.56</v>
      </c>
      <c r="C88">
        <v>7.1423199999999989</v>
      </c>
      <c r="D88">
        <f>B88*'PRC model'!$B$35+'PRC model'!$C$35</f>
        <v>6.5997379300915107</v>
      </c>
      <c r="E88">
        <f t="shared" si="3"/>
        <v>0.80808234816574098</v>
      </c>
      <c r="F88" s="7">
        <f>'PRC model'!$A$35*t*86400/10^D88/Lo^2</f>
        <v>8.4676119078565017E-3</v>
      </c>
      <c r="G88">
        <f t="shared" si="4"/>
        <v>0.54212800262580707</v>
      </c>
      <c r="H88">
        <f>IF(E88&gt;1,1-(EXP((1/E88^2-G88^2)*F88)*((COS(G88/E88*F88*2)*(1-erfzR(1/E88*F88^0.5,G88*F88^0.5))-SIN(G88/E88*F88*2)*(-erfzI(1/E88*F88^0.5,G88*F88^0.5)))+(COS(G88/E88*F88*2)*(-erfzI(1/E88*F88^0.5,G88*F88^0.5))+SIN(G88/E88*F88*2)*(1-erfzR(1/E88*F88^0.5,G88*F88^0.5)))/E88/G88)),1-((1/E88+G88)*EXP((1/E88+G88)^2*F88)*ERFC((1/E88+G88)*F88^0.5)-(1/E88-G88)*EXP((1/E88-G88)^2*F88)*ERFC((1/E88-G88)*F88^0.5))/2/G88)</f>
        <v>0.22035992577178742</v>
      </c>
    </row>
    <row r="89" spans="1:8" x14ac:dyDescent="0.25">
      <c r="A89">
        <v>194</v>
      </c>
      <c r="B89">
        <v>7.8</v>
      </c>
      <c r="C89">
        <v>7.3695999999999993</v>
      </c>
      <c r="D89">
        <f>B89*'PRC model'!$B$35+'PRC model'!$C$35</f>
        <v>7.027824784153287</v>
      </c>
      <c r="E89">
        <f t="shared" si="3"/>
        <v>0.50891911822894609</v>
      </c>
      <c r="F89" s="7">
        <f>'PRC model'!$A$35*t*86400/10^D89/Lo^2</f>
        <v>3.1599054716470966E-3</v>
      </c>
      <c r="G89">
        <f t="shared" si="4"/>
        <v>1.3769803648726668</v>
      </c>
      <c r="H89">
        <f>IF(E89&gt;1,1-(EXP((1/E89^2-G89^2)*F89)*((COS(G89/E89*F89*2)*(1-erfzR(1/E89*F89^0.5,G89*F89^0.5))-SIN(G89/E89*F89*2)*(-erfzI(1/E89*F89^0.5,G89*F89^0.5)))+(COS(G89/E89*F89*2)*(-erfzI(1/E89*F89^0.5,G89*F89^0.5))+SIN(G89/E89*F89*2)*(1-erfzR(1/E89*F89^0.5,G89*F89^0.5)))/E89/G89)),1-((1/E89+G89)*EXP((1/E89+G89)^2*F89)*ERFC((1/E89+G89)*F89^0.5)-(1/E89-G89)*EXP((1/E89-G89)^2*F89)*ERFC((1/E89-G89)*F89^0.5))/2/G89)</f>
        <v>0.21204714457918861</v>
      </c>
    </row>
    <row r="90" spans="1:8" x14ac:dyDescent="0.25">
      <c r="A90">
        <v>209</v>
      </c>
      <c r="B90">
        <v>8.18</v>
      </c>
      <c r="C90">
        <v>7.7294599999999987</v>
      </c>
      <c r="D90">
        <f>B90*'PRC model'!$B$35+'PRC model'!$C$35</f>
        <v>7.7056289697510962</v>
      </c>
      <c r="E90">
        <f t="shared" si="3"/>
        <v>0.24473978852561065</v>
      </c>
      <c r="F90" s="7">
        <f>'PRC model'!$A$35*t*86400/10^D90/Lo^2</f>
        <v>6.6354427324850918E-4</v>
      </c>
      <c r="G90">
        <f t="shared" si="4"/>
        <v>3.5509431754554166</v>
      </c>
      <c r="H90">
        <f>IF(E90&gt;1,1-(EXP((1/E90^2-G90^2)*F90)*((COS(G90/E90*F90*2)*(1-erfzR(1/E90*F90^0.5,G90*F90^0.5))-SIN(G90/E90*F90*2)*(-erfzI(1/E90*F90^0.5,G90*F90^0.5)))+(COS(G90/E90*F90*2)*(-erfzI(1/E90*F90^0.5,G90*F90^0.5))+SIN(G90/E90*F90*2)*(1-erfzR(1/E90*F90^0.5,G90*F90^0.5)))/E90/G90)),1-((1/E90+G90)*EXP((1/E90+G90)^2*F90)*ERFC((1/E90+G90)*F90^0.5)-(1/E90-G90)*EXP((1/E90-G90)^2*F90)*ERFC((1/E90-G90)*F90^0.5))/2/G90)</f>
        <v>0.20136652536714084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3"/>
  <sheetViews>
    <sheetView workbookViewId="0">
      <selection activeCell="B3" sqref="B3:G3"/>
    </sheetView>
  </sheetViews>
  <sheetFormatPr defaultRowHeight="15" x14ac:dyDescent="0.25"/>
  <cols>
    <col min="1" max="1" width="11.140625" customWidth="1"/>
  </cols>
  <sheetData>
    <row r="1" spans="1:21" x14ac:dyDescent="0.25">
      <c r="B1" t="s">
        <v>38</v>
      </c>
    </row>
    <row r="2" spans="1:21" x14ac:dyDescent="0.25">
      <c r="B2">
        <f>'PRC model'!B12</f>
        <v>1</v>
      </c>
      <c r="C2">
        <f>'PRC model'!C12</f>
        <v>2</v>
      </c>
      <c r="D2">
        <f>'PRC model'!D12</f>
        <v>3</v>
      </c>
      <c r="E2">
        <f>'PRC model'!E12</f>
        <v>4</v>
      </c>
      <c r="F2">
        <f>'PRC model'!F12</f>
        <v>5</v>
      </c>
      <c r="G2">
        <f>'PRC model'!G12</f>
        <v>6</v>
      </c>
      <c r="H2" t="str">
        <f>'PRC model'!H12</f>
        <v/>
      </c>
      <c r="I2" t="str">
        <f>'PRC model'!I12</f>
        <v/>
      </c>
      <c r="J2" t="str">
        <f>'PRC model'!J12</f>
        <v/>
      </c>
      <c r="K2" t="str">
        <f>'PRC model'!K12</f>
        <v/>
      </c>
      <c r="L2" t="str">
        <f>'PRC model'!L12</f>
        <v/>
      </c>
      <c r="M2" t="str">
        <f>'PRC model'!M12</f>
        <v/>
      </c>
      <c r="N2" t="str">
        <f>'PRC model'!N12</f>
        <v/>
      </c>
      <c r="O2" t="str">
        <f>'PRC model'!O12</f>
        <v/>
      </c>
      <c r="P2" t="str">
        <f>'PRC model'!P12</f>
        <v/>
      </c>
      <c r="Q2" t="str">
        <f>'PRC model'!Q12</f>
        <v/>
      </c>
      <c r="R2" t="str">
        <f>'PRC model'!R12</f>
        <v/>
      </c>
      <c r="S2" t="str">
        <f>'PRC model'!S12</f>
        <v/>
      </c>
      <c r="T2" t="str">
        <f>'PRC model'!T12</f>
        <v/>
      </c>
      <c r="U2" t="str">
        <f>'PRC model'!U12</f>
        <v/>
      </c>
    </row>
    <row r="3" spans="1:21" x14ac:dyDescent="0.25">
      <c r="A3" t="s">
        <v>40</v>
      </c>
      <c r="B3">
        <v>-0.70102999566397994</v>
      </c>
      <c r="C3">
        <v>-0.3612426144941856</v>
      </c>
      <c r="D3">
        <v>-6.1242614494185624E-2</v>
      </c>
      <c r="E3">
        <v>0.53875738550581453</v>
      </c>
      <c r="F3">
        <v>9.8970004336020032E-2</v>
      </c>
      <c r="G3">
        <v>1.6387573855058146</v>
      </c>
      <c r="H3">
        <v>2.9000000000000021</v>
      </c>
      <c r="I3">
        <v>-2.4999999999999991</v>
      </c>
      <c r="J3">
        <v>-2.399999999999999</v>
      </c>
      <c r="K3">
        <v>-2.0602126188302043</v>
      </c>
      <c r="L3">
        <v>-1.4999999999999989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E90"/>
  <sheetViews>
    <sheetView topLeftCell="A43" workbookViewId="0">
      <selection activeCell="D17" sqref="D17"/>
    </sheetView>
  </sheetViews>
  <sheetFormatPr defaultRowHeight="15" x14ac:dyDescent="0.25"/>
  <cols>
    <col min="1" max="1" width="11.140625" customWidth="1"/>
  </cols>
  <sheetData>
    <row r="2" spans="1:5" x14ac:dyDescent="0.25">
      <c r="A2" t="s">
        <v>28</v>
      </c>
      <c r="B2" t="s">
        <v>29</v>
      </c>
      <c r="C2" t="s">
        <v>34</v>
      </c>
      <c r="D2" t="s">
        <v>41</v>
      </c>
      <c r="E2" t="s">
        <v>35</v>
      </c>
    </row>
    <row r="3" spans="1:5" x14ac:dyDescent="0.25">
      <c r="A3">
        <v>1</v>
      </c>
      <c r="B3">
        <v>4.46</v>
      </c>
      <c r="C3">
        <v>4.2066199999999991</v>
      </c>
      <c r="D3">
        <f>B3*'PRC model'!$B$31+'PRC model'!$C$31</f>
        <v>-2.1236153587722226</v>
      </c>
      <c r="E3">
        <f t="shared" ref="E3:E34" si="0">1-EXP((10^D3)*t*86400/((Lo^2-Li^2)/2/Lo)^2/(10^C3)^2)*ERFC((10^D3) ^ 0.5*(t*86400)^ 0.5/((Lo^2-Li^2)/2/Lo)/(10^C3))</f>
        <v>0.79929493552134145</v>
      </c>
    </row>
    <row r="4" spans="1:5" x14ac:dyDescent="0.25">
      <c r="A4">
        <v>4</v>
      </c>
      <c r="B4">
        <v>4.6500000000000004</v>
      </c>
      <c r="C4">
        <v>4.3865499999999997</v>
      </c>
      <c r="D4">
        <f>B4*'PRC model'!$B$31+'PRC model'!$C$31</f>
        <v>-1.907930250632317</v>
      </c>
      <c r="E4">
        <f t="shared" si="0"/>
        <v>0.76786728482770827</v>
      </c>
    </row>
    <row r="5" spans="1:5" x14ac:dyDescent="0.25">
      <c r="A5">
        <v>10</v>
      </c>
      <c r="B5">
        <v>4.84</v>
      </c>
      <c r="C5">
        <v>4.5664799999999994</v>
      </c>
      <c r="D5">
        <f>B5*'PRC model'!$B$31+'PRC model'!$C$31</f>
        <v>-1.6922451424924123</v>
      </c>
      <c r="E5">
        <f t="shared" si="0"/>
        <v>0.73301716038259024</v>
      </c>
    </row>
    <row r="6" spans="1:5" x14ac:dyDescent="0.25">
      <c r="A6">
        <v>9</v>
      </c>
      <c r="B6">
        <v>5.0599999999999996</v>
      </c>
      <c r="C6">
        <v>4.7748199999999992</v>
      </c>
      <c r="D6">
        <f>B6*'PRC model'!$B$31+'PRC model'!$C$31</f>
        <v>-1.442504490961996</v>
      </c>
      <c r="E6">
        <f t="shared" si="0"/>
        <v>0.68864510465098638</v>
      </c>
    </row>
    <row r="7" spans="1:5" x14ac:dyDescent="0.25">
      <c r="A7">
        <v>7</v>
      </c>
      <c r="B7">
        <v>5.07</v>
      </c>
      <c r="C7">
        <v>4.7842899999999995</v>
      </c>
      <c r="D7">
        <f>B7*'PRC model'!$B$31+'PRC model'!$C$31</f>
        <v>-1.4311526431651584</v>
      </c>
      <c r="E7">
        <f t="shared" si="0"/>
        <v>0.68653365161791502</v>
      </c>
    </row>
    <row r="8" spans="1:5" x14ac:dyDescent="0.25">
      <c r="A8">
        <v>6</v>
      </c>
      <c r="B8">
        <v>5.0599999999999996</v>
      </c>
      <c r="C8">
        <v>4.7748199999999992</v>
      </c>
      <c r="D8">
        <f>B8*'PRC model'!$B$31+'PRC model'!$C$31</f>
        <v>-1.442504490961996</v>
      </c>
      <c r="E8">
        <f t="shared" si="0"/>
        <v>0.68864510465098638</v>
      </c>
    </row>
    <row r="9" spans="1:5" x14ac:dyDescent="0.25">
      <c r="A9">
        <v>8</v>
      </c>
      <c r="B9">
        <v>5.07</v>
      </c>
      <c r="C9">
        <v>4.7842899999999995</v>
      </c>
      <c r="D9">
        <f>B9*'PRC model'!$B$31+'PRC model'!$C$31</f>
        <v>-1.4311526431651584</v>
      </c>
      <c r="E9">
        <f t="shared" si="0"/>
        <v>0.68653365161791502</v>
      </c>
    </row>
    <row r="10" spans="1:5" x14ac:dyDescent="0.25">
      <c r="A10">
        <v>5</v>
      </c>
      <c r="B10">
        <v>4.97</v>
      </c>
      <c r="C10">
        <v>4.689589999999999</v>
      </c>
      <c r="D10">
        <f>B10*'PRC model'!$B$31+'PRC model'!$C$31</f>
        <v>-1.54467112113353</v>
      </c>
      <c r="E10">
        <f t="shared" si="0"/>
        <v>0.70729004123559425</v>
      </c>
    </row>
    <row r="11" spans="1:5" x14ac:dyDescent="0.25">
      <c r="A11">
        <v>19</v>
      </c>
      <c r="B11">
        <v>5.0199999999999996</v>
      </c>
      <c r="C11">
        <v>4.7369399999999988</v>
      </c>
      <c r="D11">
        <f>B11*'PRC model'!$B$31+'PRC model'!$C$31</f>
        <v>-1.4879118821493442</v>
      </c>
      <c r="E11">
        <f t="shared" si="0"/>
        <v>0.69701244259409711</v>
      </c>
    </row>
    <row r="12" spans="1:5" x14ac:dyDescent="0.25">
      <c r="A12">
        <v>18</v>
      </c>
      <c r="B12">
        <v>5.24</v>
      </c>
      <c r="C12">
        <v>4.9452799999999995</v>
      </c>
      <c r="D12">
        <f>B12*'PRC model'!$B$31+'PRC model'!$C$31</f>
        <v>-1.238171230618927</v>
      </c>
      <c r="E12">
        <f t="shared" si="0"/>
        <v>0.64952325376948172</v>
      </c>
    </row>
    <row r="13" spans="1:5" x14ac:dyDescent="0.25">
      <c r="A13">
        <v>17</v>
      </c>
      <c r="B13">
        <v>5.25</v>
      </c>
      <c r="C13">
        <v>4.9547499999999998</v>
      </c>
      <c r="D13">
        <f>B13*'PRC model'!$B$31+'PRC model'!$C$31</f>
        <v>-1.2268193828220904</v>
      </c>
      <c r="E13">
        <f t="shared" si="0"/>
        <v>0.64728527444765294</v>
      </c>
    </row>
    <row r="14" spans="1:5" x14ac:dyDescent="0.25">
      <c r="A14">
        <v>27</v>
      </c>
      <c r="B14">
        <v>5.44</v>
      </c>
      <c r="C14">
        <v>5.1346799999999995</v>
      </c>
      <c r="D14">
        <f>B14*'PRC model'!$B$31+'PRC model'!$C$31</f>
        <v>-1.0111342746821848</v>
      </c>
      <c r="E14">
        <f t="shared" si="0"/>
        <v>0.60369819653013945</v>
      </c>
    </row>
    <row r="15" spans="1:5" x14ac:dyDescent="0.25">
      <c r="A15">
        <v>24</v>
      </c>
      <c r="B15">
        <v>5.35</v>
      </c>
      <c r="C15">
        <v>5.0494499999999993</v>
      </c>
      <c r="D15">
        <f>B15*'PRC model'!$B$31+'PRC model'!$C$31</f>
        <v>-1.1133009048537197</v>
      </c>
      <c r="E15">
        <f t="shared" si="0"/>
        <v>0.62458033958481107</v>
      </c>
    </row>
    <row r="16" spans="1:5" x14ac:dyDescent="0.25">
      <c r="A16">
        <v>32</v>
      </c>
      <c r="B16">
        <v>5.44</v>
      </c>
      <c r="C16">
        <v>5.1346799999999995</v>
      </c>
      <c r="D16">
        <f>B16*'PRC model'!$B$31+'PRC model'!$C$31</f>
        <v>-1.0111342746821848</v>
      </c>
      <c r="E16">
        <f t="shared" si="0"/>
        <v>0.60369819653013945</v>
      </c>
    </row>
    <row r="17" spans="1:5" x14ac:dyDescent="0.25">
      <c r="A17">
        <v>16</v>
      </c>
      <c r="B17">
        <v>5.16</v>
      </c>
      <c r="C17">
        <v>4.8695199999999996</v>
      </c>
      <c r="D17">
        <f>B17*'PRC model'!$B$31+'PRC model'!$C$31</f>
        <v>-1.3289860129936244</v>
      </c>
      <c r="E17">
        <f t="shared" si="0"/>
        <v>0.66719279964459355</v>
      </c>
    </row>
    <row r="18" spans="1:5" x14ac:dyDescent="0.25">
      <c r="A18">
        <v>26</v>
      </c>
      <c r="B18">
        <v>5.66</v>
      </c>
      <c r="C18">
        <v>5.3430199999999992</v>
      </c>
      <c r="D18">
        <f>B18*'PRC model'!$B$31+'PRC model'!$C$31</f>
        <v>-0.7613936231517684</v>
      </c>
      <c r="E18">
        <f t="shared" si="0"/>
        <v>0.55137915587992303</v>
      </c>
    </row>
    <row r="19" spans="1:5" x14ac:dyDescent="0.25">
      <c r="A19">
        <v>25</v>
      </c>
      <c r="B19">
        <v>5.67</v>
      </c>
      <c r="C19">
        <v>5.3524899999999995</v>
      </c>
      <c r="D19">
        <f>B19*'PRC model'!$B$31+'PRC model'!$C$31</f>
        <v>-0.75004177535493177</v>
      </c>
      <c r="E19">
        <f t="shared" si="0"/>
        <v>0.54897231321209083</v>
      </c>
    </row>
    <row r="20" spans="1:5" x14ac:dyDescent="0.25">
      <c r="A20">
        <v>31</v>
      </c>
      <c r="B20">
        <v>5.67</v>
      </c>
      <c r="C20">
        <v>5.3524899999999995</v>
      </c>
      <c r="D20">
        <f>B20*'PRC model'!$B$31+'PRC model'!$C$31</f>
        <v>-0.75004177535493177</v>
      </c>
      <c r="E20">
        <f t="shared" si="0"/>
        <v>0.54897231321209083</v>
      </c>
    </row>
    <row r="21" spans="1:5" x14ac:dyDescent="0.25">
      <c r="A21" s="8">
        <v>28</v>
      </c>
      <c r="B21" s="8">
        <v>5.67</v>
      </c>
      <c r="C21" s="8">
        <v>5.3524899999999995</v>
      </c>
      <c r="D21">
        <f>B21*'PRC model'!$B$31+'PRC model'!$C$31</f>
        <v>-0.75004177535493177</v>
      </c>
      <c r="E21">
        <f t="shared" si="0"/>
        <v>0.54897231321209083</v>
      </c>
    </row>
    <row r="22" spans="1:5" x14ac:dyDescent="0.25">
      <c r="A22">
        <v>20</v>
      </c>
      <c r="B22">
        <v>5.57</v>
      </c>
      <c r="C22">
        <v>5.25779</v>
      </c>
      <c r="D22">
        <f>B22*'PRC model'!$B$31+'PRC model'!$C$31</f>
        <v>-0.86356025332330244</v>
      </c>
      <c r="E22">
        <f t="shared" si="0"/>
        <v>0.57295155972664458</v>
      </c>
    </row>
    <row r="23" spans="1:5" x14ac:dyDescent="0.25">
      <c r="A23">
        <v>22</v>
      </c>
      <c r="B23">
        <v>5.58</v>
      </c>
      <c r="C23">
        <v>5.2672599999999994</v>
      </c>
      <c r="D23">
        <f>B23*'PRC model'!$B$31+'PRC model'!$C$31</f>
        <v>-0.85220840552646493</v>
      </c>
      <c r="E23">
        <f t="shared" si="0"/>
        <v>0.57056399117501311</v>
      </c>
    </row>
    <row r="24" spans="1:5" x14ac:dyDescent="0.25">
      <c r="A24">
        <v>52</v>
      </c>
      <c r="B24">
        <v>5.84</v>
      </c>
      <c r="C24">
        <v>5.5134799999999995</v>
      </c>
      <c r="D24">
        <f>B24*'PRC model'!$B$31+'PRC model'!$C$31</f>
        <v>-0.5570603628087003</v>
      </c>
      <c r="E24">
        <f t="shared" si="0"/>
        <v>0.50791891916279397</v>
      </c>
    </row>
    <row r="25" spans="1:5" x14ac:dyDescent="0.25">
      <c r="A25">
        <v>47</v>
      </c>
      <c r="B25">
        <v>5.85</v>
      </c>
      <c r="C25">
        <v>5.5229499999999989</v>
      </c>
      <c r="D25">
        <f>B25*'PRC model'!$B$31+'PRC model'!$C$31</f>
        <v>-0.54570851501186368</v>
      </c>
      <c r="E25">
        <f t="shared" si="0"/>
        <v>0.50550282294733462</v>
      </c>
    </row>
    <row r="26" spans="1:5" x14ac:dyDescent="0.25">
      <c r="A26">
        <v>44</v>
      </c>
      <c r="B26">
        <v>5.75</v>
      </c>
      <c r="C26">
        <v>5.4282499999999994</v>
      </c>
      <c r="D26">
        <f>B26*'PRC model'!$B$31+'PRC model'!$C$31</f>
        <v>-0.65922699298023435</v>
      </c>
      <c r="E26">
        <f t="shared" si="0"/>
        <v>0.52967227117505211</v>
      </c>
    </row>
    <row r="27" spans="1:5" x14ac:dyDescent="0.25">
      <c r="A27">
        <v>42</v>
      </c>
      <c r="B27">
        <v>5.76</v>
      </c>
      <c r="C27">
        <v>5.4377199999999988</v>
      </c>
      <c r="D27">
        <f>B27*'PRC model'!$B$31+'PRC model'!$C$31</f>
        <v>-0.64787514518339773</v>
      </c>
      <c r="E27">
        <f t="shared" si="0"/>
        <v>0.52725591751429612</v>
      </c>
    </row>
    <row r="28" spans="1:5" x14ac:dyDescent="0.25">
      <c r="A28">
        <v>71</v>
      </c>
      <c r="B28">
        <v>5.98</v>
      </c>
      <c r="C28">
        <v>5.6460599999999994</v>
      </c>
      <c r="D28">
        <f>B28*'PRC model'!$B$31+'PRC model'!$C$31</f>
        <v>-0.39813449365298048</v>
      </c>
      <c r="E28">
        <f t="shared" si="0"/>
        <v>0.47419327170082626</v>
      </c>
    </row>
    <row r="29" spans="1:5" x14ac:dyDescent="0.25">
      <c r="A29">
        <v>41</v>
      </c>
      <c r="B29">
        <v>5.69</v>
      </c>
      <c r="C29">
        <v>5.3714300000000001</v>
      </c>
      <c r="D29">
        <f>B29*'PRC model'!$B$31+'PRC model'!$C$31</f>
        <v>-0.72733807976125675</v>
      </c>
      <c r="E29">
        <f t="shared" si="0"/>
        <v>0.54415412732180513</v>
      </c>
    </row>
    <row r="30" spans="1:5" x14ac:dyDescent="0.25">
      <c r="A30">
        <v>103</v>
      </c>
      <c r="B30">
        <v>6.22</v>
      </c>
      <c r="C30">
        <v>5.8733399999999989</v>
      </c>
      <c r="D30">
        <f>B30*'PRC model'!$B$31+'PRC model'!$C$31</f>
        <v>-0.12569014652888999</v>
      </c>
      <c r="E30">
        <f t="shared" si="0"/>
        <v>0.4175094323420605</v>
      </c>
    </row>
    <row r="31" spans="1:5" x14ac:dyDescent="0.25">
      <c r="A31">
        <v>40</v>
      </c>
      <c r="B31">
        <v>5.66</v>
      </c>
      <c r="C31">
        <v>5.3430199999999992</v>
      </c>
      <c r="D31">
        <f>B31*'PRC model'!$B$31+'PRC model'!$C$31</f>
        <v>-0.7613936231517684</v>
      </c>
      <c r="E31">
        <f t="shared" si="0"/>
        <v>0.55137915587992303</v>
      </c>
    </row>
    <row r="32" spans="1:5" x14ac:dyDescent="0.25">
      <c r="A32">
        <v>74</v>
      </c>
      <c r="B32">
        <v>6.2</v>
      </c>
      <c r="C32">
        <v>5.8543999999999992</v>
      </c>
      <c r="D32">
        <f>B32*'PRC model'!$B$31+'PRC model'!$C$31</f>
        <v>-0.14839384212256412</v>
      </c>
      <c r="E32">
        <f t="shared" si="0"/>
        <v>0.42215040331203979</v>
      </c>
    </row>
    <row r="33" spans="1:5" x14ac:dyDescent="0.25">
      <c r="A33">
        <v>70</v>
      </c>
      <c r="B33">
        <v>6.2</v>
      </c>
      <c r="C33">
        <v>5.8543999999999992</v>
      </c>
      <c r="D33">
        <f>B33*'PRC model'!$B$31+'PRC model'!$C$31</f>
        <v>-0.14839384212256412</v>
      </c>
      <c r="E33">
        <f t="shared" si="0"/>
        <v>0.42215040331203979</v>
      </c>
    </row>
    <row r="34" spans="1:5" x14ac:dyDescent="0.25">
      <c r="A34">
        <v>66</v>
      </c>
      <c r="B34">
        <v>6.2</v>
      </c>
      <c r="C34">
        <v>5.8543999999999992</v>
      </c>
      <c r="D34">
        <f>B34*'PRC model'!$B$31+'PRC model'!$C$31</f>
        <v>-0.14839384212256412</v>
      </c>
      <c r="E34">
        <f t="shared" si="0"/>
        <v>0.42215040331203979</v>
      </c>
    </row>
    <row r="35" spans="1:5" x14ac:dyDescent="0.25">
      <c r="A35">
        <v>95</v>
      </c>
      <c r="B35">
        <v>6.13</v>
      </c>
      <c r="C35">
        <v>5.7881099999999996</v>
      </c>
      <c r="D35">
        <f>B35*'PRC model'!$B$31+'PRC model'!$C$31</f>
        <v>-0.22785677670042404</v>
      </c>
      <c r="E35">
        <f t="shared" ref="E35:E66" si="1">1-EXP((10^D35)*t*86400/((Lo^2-Li^2)/2/Lo)^2/(10^C35)^2)*ERFC((10^D35) ^ 0.5*(t*86400)^ 0.5/((Lo^2-Li^2)/2/Lo)/(10^C35))</f>
        <v>0.43852805473845269</v>
      </c>
    </row>
    <row r="36" spans="1:5" x14ac:dyDescent="0.25">
      <c r="A36">
        <v>93</v>
      </c>
      <c r="B36">
        <v>6.04</v>
      </c>
      <c r="C36">
        <v>5.7028799999999995</v>
      </c>
      <c r="D36">
        <f>B36*'PRC model'!$B$31+'PRC model'!$C$31</f>
        <v>-0.33002340687195808</v>
      </c>
      <c r="E36">
        <f t="shared" si="1"/>
        <v>0.45984892653791665</v>
      </c>
    </row>
    <row r="37" spans="1:5" x14ac:dyDescent="0.25">
      <c r="A37">
        <v>56</v>
      </c>
      <c r="B37">
        <v>6.11</v>
      </c>
      <c r="C37">
        <v>5.7691699999999999</v>
      </c>
      <c r="D37">
        <f>B37*'PRC model'!$B$31+'PRC model'!$C$31</f>
        <v>-0.25056047229409728</v>
      </c>
      <c r="E37">
        <f t="shared" si="1"/>
        <v>0.44324251016790872</v>
      </c>
    </row>
    <row r="38" spans="1:5" x14ac:dyDescent="0.25">
      <c r="A38">
        <v>60</v>
      </c>
      <c r="B38">
        <v>6.11</v>
      </c>
      <c r="C38">
        <v>5.7691699999999999</v>
      </c>
      <c r="D38">
        <f>B38*'PRC model'!$B$31+'PRC model'!$C$31</f>
        <v>-0.25056047229409728</v>
      </c>
      <c r="E38">
        <f t="shared" si="1"/>
        <v>0.44324251016790872</v>
      </c>
    </row>
    <row r="39" spans="1:5" x14ac:dyDescent="0.25">
      <c r="A39">
        <v>92</v>
      </c>
      <c r="B39">
        <v>6.35</v>
      </c>
      <c r="C39">
        <v>5.9964499999999994</v>
      </c>
      <c r="D39">
        <f>B39*'PRC model'!$B$31+'PRC model'!$C$31</f>
        <v>2.1883874829992322E-2</v>
      </c>
      <c r="E39">
        <f t="shared" si="1"/>
        <v>0.38782455875258415</v>
      </c>
    </row>
    <row r="40" spans="1:5" x14ac:dyDescent="0.25">
      <c r="A40">
        <v>84</v>
      </c>
      <c r="B40">
        <v>6.04</v>
      </c>
      <c r="C40">
        <v>5.7028799999999995</v>
      </c>
      <c r="D40">
        <f>B40*'PRC model'!$B$31+'PRC model'!$C$31</f>
        <v>-0.33002340687195808</v>
      </c>
      <c r="E40">
        <f t="shared" si="1"/>
        <v>0.45984892653791665</v>
      </c>
    </row>
    <row r="41" spans="1:5" x14ac:dyDescent="0.25">
      <c r="A41">
        <v>101</v>
      </c>
      <c r="B41">
        <v>6.38</v>
      </c>
      <c r="C41">
        <v>6.0248599999999994</v>
      </c>
      <c r="D41">
        <f>B41*'PRC model'!$B$31+'PRC model'!$C$31</f>
        <v>5.5939418220503967E-2</v>
      </c>
      <c r="E41">
        <f t="shared" si="1"/>
        <v>0.38110506676133982</v>
      </c>
    </row>
    <row r="42" spans="1:5" x14ac:dyDescent="0.25">
      <c r="A42">
        <v>99</v>
      </c>
      <c r="B42">
        <v>6.39</v>
      </c>
      <c r="C42">
        <v>6.0343299999999989</v>
      </c>
      <c r="D42">
        <f>B42*'PRC model'!$B$31+'PRC model'!$C$31</f>
        <v>6.729126601734059E-2</v>
      </c>
      <c r="E42">
        <f t="shared" si="1"/>
        <v>0.37887705673563976</v>
      </c>
    </row>
    <row r="43" spans="1:5" x14ac:dyDescent="0.25">
      <c r="A43">
        <v>119</v>
      </c>
      <c r="B43">
        <v>6.58</v>
      </c>
      <c r="C43">
        <v>6.2142599999999995</v>
      </c>
      <c r="D43">
        <f>B43*'PRC model'!$B$31+'PRC model'!$C$31</f>
        <v>0.28297637415724708</v>
      </c>
      <c r="E43">
        <f t="shared" si="1"/>
        <v>0.3377710118246674</v>
      </c>
    </row>
    <row r="44" spans="1:5" x14ac:dyDescent="0.25">
      <c r="A44">
        <v>83</v>
      </c>
      <c r="B44">
        <v>6.26</v>
      </c>
      <c r="C44">
        <v>5.9112199999999993</v>
      </c>
      <c r="D44">
        <f>B44*'PRC model'!$B$31+'PRC model'!$C$31</f>
        <v>-8.0282755341541723E-2</v>
      </c>
      <c r="E44">
        <f t="shared" si="1"/>
        <v>0.40828354295070379</v>
      </c>
    </row>
    <row r="45" spans="1:5" x14ac:dyDescent="0.25">
      <c r="A45">
        <v>87</v>
      </c>
      <c r="B45">
        <v>6.29</v>
      </c>
      <c r="C45">
        <v>5.9396299999999993</v>
      </c>
      <c r="D45">
        <f>B45*'PRC model'!$B$31+'PRC model'!$C$31</f>
        <v>-4.6227211951030078E-2</v>
      </c>
      <c r="E45">
        <f t="shared" si="1"/>
        <v>0.40141602151908473</v>
      </c>
    </row>
    <row r="46" spans="1:5" x14ac:dyDescent="0.25">
      <c r="A46">
        <v>81</v>
      </c>
      <c r="B46">
        <v>6.36</v>
      </c>
      <c r="C46">
        <v>6.0059199999999997</v>
      </c>
      <c r="D46">
        <f>B46*'PRC model'!$B$31+'PRC model'!$C$31</f>
        <v>3.3235722626830722E-2</v>
      </c>
      <c r="E46">
        <f t="shared" si="1"/>
        <v>0.38557889474617935</v>
      </c>
    </row>
    <row r="47" spans="1:5" x14ac:dyDescent="0.25">
      <c r="A47">
        <v>136</v>
      </c>
      <c r="B47">
        <v>6.22</v>
      </c>
      <c r="C47">
        <v>5.8733399999999989</v>
      </c>
      <c r="D47">
        <f>B47*'PRC model'!$B$31+'PRC model'!$C$31</f>
        <v>-0.12569014652888999</v>
      </c>
      <c r="E47">
        <f t="shared" si="1"/>
        <v>0.4175094323420605</v>
      </c>
    </row>
    <row r="48" spans="1:5" x14ac:dyDescent="0.25">
      <c r="A48">
        <v>110</v>
      </c>
      <c r="B48">
        <v>6.48</v>
      </c>
      <c r="C48">
        <v>6.1195599999999999</v>
      </c>
      <c r="D48">
        <f>B48*'PRC model'!$B$31+'PRC model'!$C$31</f>
        <v>0.16945789618887552</v>
      </c>
      <c r="E48">
        <f t="shared" si="1"/>
        <v>0.35910529183566353</v>
      </c>
    </row>
    <row r="49" spans="1:5" x14ac:dyDescent="0.25">
      <c r="A49">
        <v>77</v>
      </c>
      <c r="B49">
        <v>6.36</v>
      </c>
      <c r="C49">
        <v>6.0059199999999997</v>
      </c>
      <c r="D49">
        <f>B49*'PRC model'!$B$31+'PRC model'!$C$31</f>
        <v>3.3235722626830722E-2</v>
      </c>
      <c r="E49">
        <f t="shared" si="1"/>
        <v>0.38557889474617935</v>
      </c>
    </row>
    <row r="50" spans="1:5" x14ac:dyDescent="0.25">
      <c r="A50">
        <v>82</v>
      </c>
      <c r="B50">
        <v>6.2</v>
      </c>
      <c r="C50">
        <v>5.8543999999999992</v>
      </c>
      <c r="D50">
        <f>B50*'PRC model'!$B$31+'PRC model'!$C$31</f>
        <v>-0.14839384212256412</v>
      </c>
      <c r="E50">
        <f t="shared" si="1"/>
        <v>0.42215040331203979</v>
      </c>
    </row>
    <row r="51" spans="1:5" x14ac:dyDescent="0.25">
      <c r="A51">
        <v>151</v>
      </c>
      <c r="B51">
        <v>6.64</v>
      </c>
      <c r="C51">
        <v>6.2710799999999987</v>
      </c>
      <c r="D51">
        <f>B51*'PRC model'!$B$31+'PRC model'!$C$31</f>
        <v>0.35108746093826859</v>
      </c>
      <c r="E51">
        <f t="shared" si="1"/>
        <v>0.32531488404267084</v>
      </c>
    </row>
    <row r="52" spans="1:5" x14ac:dyDescent="0.25">
      <c r="A52">
        <v>135</v>
      </c>
      <c r="B52">
        <v>6.64</v>
      </c>
      <c r="C52">
        <v>6.2710799999999987</v>
      </c>
      <c r="D52">
        <f>B52*'PRC model'!$B$31+'PRC model'!$C$31</f>
        <v>0.35108746093826859</v>
      </c>
      <c r="E52">
        <f t="shared" si="1"/>
        <v>0.32531488404267084</v>
      </c>
    </row>
    <row r="53" spans="1:5" x14ac:dyDescent="0.25">
      <c r="A53">
        <v>144</v>
      </c>
      <c r="B53">
        <v>6.67</v>
      </c>
      <c r="C53">
        <v>6.2994899999999996</v>
      </c>
      <c r="D53">
        <f>B53*'PRC model'!$B$31+'PRC model'!$C$31</f>
        <v>0.38514300432878024</v>
      </c>
      <c r="E53">
        <f t="shared" si="1"/>
        <v>0.31918813076741914</v>
      </c>
    </row>
    <row r="54" spans="1:5" x14ac:dyDescent="0.25">
      <c r="A54">
        <v>107</v>
      </c>
      <c r="B54">
        <v>6.71</v>
      </c>
      <c r="C54">
        <v>6.3373699999999991</v>
      </c>
      <c r="D54">
        <f>B54*'PRC model'!$B$31+'PRC model'!$C$31</f>
        <v>0.43055039551612939</v>
      </c>
      <c r="E54">
        <f t="shared" si="1"/>
        <v>0.31112694617414083</v>
      </c>
    </row>
    <row r="55" spans="1:5" x14ac:dyDescent="0.25">
      <c r="A55">
        <v>123</v>
      </c>
      <c r="B55">
        <v>6.74</v>
      </c>
      <c r="C55">
        <v>6.3657799999999991</v>
      </c>
      <c r="D55">
        <f>B55*'PRC model'!$B$31+'PRC model'!$C$31</f>
        <v>0.46460593890664104</v>
      </c>
      <c r="E55">
        <f t="shared" si="1"/>
        <v>0.30516335843894016</v>
      </c>
    </row>
    <row r="56" spans="1:5" x14ac:dyDescent="0.25">
      <c r="A56">
        <v>149</v>
      </c>
      <c r="B56">
        <v>6.67</v>
      </c>
      <c r="C56">
        <v>6.2994899999999996</v>
      </c>
      <c r="D56">
        <f>B56*'PRC model'!$B$31+'PRC model'!$C$31</f>
        <v>0.38514300432878024</v>
      </c>
      <c r="E56">
        <f t="shared" si="1"/>
        <v>0.31918813076741914</v>
      </c>
    </row>
    <row r="57" spans="1:5" x14ac:dyDescent="0.25">
      <c r="A57">
        <v>118</v>
      </c>
      <c r="B57">
        <v>6.74</v>
      </c>
      <c r="C57">
        <v>6.3657799999999991</v>
      </c>
      <c r="D57">
        <f>B57*'PRC model'!$B$31+'PRC model'!$C$31</f>
        <v>0.46460593890664104</v>
      </c>
      <c r="E57">
        <f t="shared" si="1"/>
        <v>0.30516335843894016</v>
      </c>
    </row>
    <row r="58" spans="1:5" x14ac:dyDescent="0.25">
      <c r="A58">
        <v>134</v>
      </c>
      <c r="B58">
        <v>6.55</v>
      </c>
      <c r="C58">
        <v>6.1858499999999994</v>
      </c>
      <c r="D58">
        <f>B58*'PRC model'!$B$31+'PRC model'!$C$31</f>
        <v>0.24892083076673543</v>
      </c>
      <c r="E58">
        <f t="shared" si="1"/>
        <v>0.34409769086444064</v>
      </c>
    </row>
    <row r="59" spans="1:5" x14ac:dyDescent="0.25">
      <c r="A59">
        <v>146</v>
      </c>
      <c r="B59">
        <v>6.89</v>
      </c>
      <c r="C59">
        <v>6.5078299999999993</v>
      </c>
      <c r="D59">
        <f>B59*'PRC model'!$B$31+'PRC model'!$C$31</f>
        <v>0.63488365585919659</v>
      </c>
      <c r="E59">
        <f t="shared" si="1"/>
        <v>0.27643753677846028</v>
      </c>
    </row>
    <row r="60" spans="1:5" x14ac:dyDescent="0.25">
      <c r="A60">
        <v>153</v>
      </c>
      <c r="B60">
        <v>6.92</v>
      </c>
      <c r="C60">
        <v>6.5362399999999994</v>
      </c>
      <c r="D60">
        <f>B60*'PRC model'!$B$31+'PRC model'!$C$31</f>
        <v>0.66893919924970824</v>
      </c>
      <c r="E60">
        <f t="shared" si="1"/>
        <v>0.27091604987475493</v>
      </c>
    </row>
    <row r="61" spans="1:5" x14ac:dyDescent="0.25">
      <c r="A61">
        <v>132</v>
      </c>
      <c r="B61">
        <v>6.58</v>
      </c>
      <c r="C61">
        <v>6.2142599999999995</v>
      </c>
      <c r="D61">
        <f>B61*'PRC model'!$B$31+'PRC model'!$C$31</f>
        <v>0.28297637415724708</v>
      </c>
      <c r="E61">
        <f t="shared" si="1"/>
        <v>0.3377710118246674</v>
      </c>
    </row>
    <row r="62" spans="1:5" x14ac:dyDescent="0.25">
      <c r="A62">
        <v>105</v>
      </c>
      <c r="B62">
        <v>6.65</v>
      </c>
      <c r="C62">
        <v>6.2805499999999999</v>
      </c>
      <c r="D62">
        <f>B62*'PRC model'!$B$31+'PRC model'!$C$31</f>
        <v>0.36243930873510699</v>
      </c>
      <c r="E62">
        <f t="shared" si="1"/>
        <v>0.32326501853466671</v>
      </c>
    </row>
    <row r="63" spans="1:5" x14ac:dyDescent="0.25">
      <c r="A63">
        <v>141</v>
      </c>
      <c r="B63">
        <v>6.82</v>
      </c>
      <c r="C63">
        <v>6.4415399999999998</v>
      </c>
      <c r="D63">
        <f>B63*'PRC model'!$B$31+'PRC model'!$C$31</f>
        <v>0.55542072128133757</v>
      </c>
      <c r="E63">
        <f t="shared" si="1"/>
        <v>0.28961329070933761</v>
      </c>
    </row>
    <row r="64" spans="1:5" x14ac:dyDescent="0.25">
      <c r="A64">
        <v>179</v>
      </c>
      <c r="B64">
        <v>6.73</v>
      </c>
      <c r="C64">
        <v>6.3563099999999997</v>
      </c>
      <c r="D64">
        <f>B64*'PRC model'!$B$31+'PRC model'!$C$31</f>
        <v>0.45325409110980353</v>
      </c>
      <c r="E64">
        <f t="shared" si="1"/>
        <v>0.30714330571756265</v>
      </c>
    </row>
    <row r="65" spans="1:5" x14ac:dyDescent="0.25">
      <c r="A65">
        <v>163</v>
      </c>
      <c r="B65">
        <v>6.99</v>
      </c>
      <c r="C65">
        <v>6.6025299999999998</v>
      </c>
      <c r="D65">
        <f>B65*'PRC model'!$B$31+'PRC model'!$C$31</f>
        <v>0.74840213382756904</v>
      </c>
      <c r="E65">
        <f t="shared" si="1"/>
        <v>0.25832860485359832</v>
      </c>
    </row>
    <row r="66" spans="1:5" x14ac:dyDescent="0.25">
      <c r="A66">
        <v>138</v>
      </c>
      <c r="B66">
        <v>6.83</v>
      </c>
      <c r="C66">
        <v>6.4510099999999992</v>
      </c>
      <c r="D66">
        <f>B66*'PRC model'!$B$31+'PRC model'!$C$31</f>
        <v>0.56677256907817508</v>
      </c>
      <c r="E66">
        <f t="shared" si="1"/>
        <v>0.2877061917297864</v>
      </c>
    </row>
    <row r="67" spans="1:5" x14ac:dyDescent="0.25">
      <c r="A67">
        <v>158</v>
      </c>
      <c r="B67">
        <v>7.02</v>
      </c>
      <c r="C67">
        <v>6.6309399999999989</v>
      </c>
      <c r="D67">
        <f>B67*'PRC model'!$B$31+'PRC model'!$C$31</f>
        <v>0.78245767721807979</v>
      </c>
      <c r="E67">
        <f t="shared" ref="E67:E90" si="2">1-EXP((10^D67)*t*86400/((Lo^2-Li^2)/2/Lo)^2/(10^C67)^2)*ERFC((10^D67) ^ 0.5*(t*86400)^ 0.5/((Lo^2-Li^2)/2/Lo)/(10^C67))</f>
        <v>0.25306177452818768</v>
      </c>
    </row>
    <row r="68" spans="1:5" x14ac:dyDescent="0.25">
      <c r="A68">
        <v>178</v>
      </c>
      <c r="B68">
        <v>7.14</v>
      </c>
      <c r="C68">
        <v>6.7445799999999991</v>
      </c>
      <c r="D68">
        <f>B68*'PRC model'!$B$31+'PRC model'!$C$31</f>
        <v>0.91867985078012548</v>
      </c>
      <c r="E68">
        <f t="shared" si="2"/>
        <v>0.23276690818301826</v>
      </c>
    </row>
    <row r="69" spans="1:5" x14ac:dyDescent="0.25">
      <c r="A69">
        <v>187</v>
      </c>
      <c r="B69">
        <v>7.17</v>
      </c>
      <c r="C69">
        <v>6.7729899999999992</v>
      </c>
      <c r="D69">
        <f>B69*'PRC model'!$B$31+'PRC model'!$C$31</f>
        <v>0.95273539417063713</v>
      </c>
      <c r="E69">
        <f t="shared" si="2"/>
        <v>0.22788677514319733</v>
      </c>
    </row>
    <row r="70" spans="1:5" x14ac:dyDescent="0.25">
      <c r="A70">
        <v>183</v>
      </c>
      <c r="B70">
        <v>7.2</v>
      </c>
      <c r="C70">
        <v>6.8013999999999992</v>
      </c>
      <c r="D70">
        <f>B70*'PRC model'!$B$31+'PRC model'!$C$31</f>
        <v>0.98679093756114877</v>
      </c>
      <c r="E70">
        <f t="shared" si="2"/>
        <v>0.22308404295572526</v>
      </c>
    </row>
    <row r="71" spans="1:5" x14ac:dyDescent="0.25">
      <c r="A71">
        <v>128</v>
      </c>
      <c r="B71">
        <v>6.74</v>
      </c>
      <c r="C71">
        <v>6.3657799999999991</v>
      </c>
      <c r="D71">
        <f>B71*'PRC model'!$B$31+'PRC model'!$C$31</f>
        <v>0.46460593890664104</v>
      </c>
      <c r="E71">
        <f t="shared" si="2"/>
        <v>0.30516335843894016</v>
      </c>
    </row>
    <row r="72" spans="1:5" x14ac:dyDescent="0.25">
      <c r="A72">
        <v>167</v>
      </c>
      <c r="B72">
        <v>7.27</v>
      </c>
      <c r="C72">
        <v>6.8676899999999987</v>
      </c>
      <c r="D72">
        <f>B72*'PRC model'!$B$31+'PRC model'!$C$31</f>
        <v>1.0662538721390069</v>
      </c>
      <c r="E72">
        <f t="shared" si="2"/>
        <v>0.21217789311840651</v>
      </c>
    </row>
    <row r="73" spans="1:5" x14ac:dyDescent="0.25">
      <c r="A73">
        <v>174</v>
      </c>
      <c r="B73">
        <v>7.11</v>
      </c>
      <c r="C73">
        <v>6.71617</v>
      </c>
      <c r="D73">
        <f>B73*'PRC model'!$B$31+'PRC model'!$C$31</f>
        <v>0.88462430738961384</v>
      </c>
      <c r="E73">
        <f t="shared" si="2"/>
        <v>0.23772450422339664</v>
      </c>
    </row>
    <row r="74" spans="1:5" x14ac:dyDescent="0.25">
      <c r="A74">
        <v>177</v>
      </c>
      <c r="B74">
        <v>7.08</v>
      </c>
      <c r="C74">
        <v>6.687759999999999</v>
      </c>
      <c r="D74">
        <f>B74*'PRC model'!$B$31+'PRC model'!$C$31</f>
        <v>0.8505687639991022</v>
      </c>
      <c r="E74">
        <f t="shared" si="2"/>
        <v>0.2427595651854082</v>
      </c>
    </row>
    <row r="75" spans="1:5" x14ac:dyDescent="0.25">
      <c r="A75">
        <v>171</v>
      </c>
      <c r="B75">
        <v>7.11</v>
      </c>
      <c r="C75">
        <v>6.71617</v>
      </c>
      <c r="D75">
        <f>B75*'PRC model'!$B$31+'PRC model'!$C$31</f>
        <v>0.88462430738961384</v>
      </c>
      <c r="E75">
        <f t="shared" si="2"/>
        <v>0.23772450422339664</v>
      </c>
    </row>
    <row r="76" spans="1:5" x14ac:dyDescent="0.25">
      <c r="A76">
        <v>156</v>
      </c>
      <c r="B76">
        <v>7.18</v>
      </c>
      <c r="C76">
        <v>6.7824599999999986</v>
      </c>
      <c r="D76">
        <f>B76*'PRC model'!$B$31+'PRC model'!$C$31</f>
        <v>0.96408724196747375</v>
      </c>
      <c r="E76">
        <f t="shared" si="2"/>
        <v>0.22627726907857304</v>
      </c>
    </row>
    <row r="77" spans="1:5" x14ac:dyDescent="0.25">
      <c r="A77">
        <v>157</v>
      </c>
      <c r="B77">
        <v>7.18</v>
      </c>
      <c r="C77">
        <v>6.7824599999999986</v>
      </c>
      <c r="D77">
        <f>B77*'PRC model'!$B$31+'PRC model'!$C$31</f>
        <v>0.96408724196747375</v>
      </c>
      <c r="E77">
        <f t="shared" si="2"/>
        <v>0.22627726907857304</v>
      </c>
    </row>
    <row r="78" spans="1:5" x14ac:dyDescent="0.25">
      <c r="A78">
        <v>173</v>
      </c>
      <c r="B78">
        <v>7.02</v>
      </c>
      <c r="C78">
        <v>6.6309399999999989</v>
      </c>
      <c r="D78">
        <f>B78*'PRC model'!$B$31+'PRC model'!$C$31</f>
        <v>0.78245767721807979</v>
      </c>
      <c r="E78">
        <f t="shared" si="2"/>
        <v>0.25306177452818768</v>
      </c>
    </row>
    <row r="79" spans="1:5" x14ac:dyDescent="0.25">
      <c r="A79">
        <v>172</v>
      </c>
      <c r="B79">
        <v>7.33</v>
      </c>
      <c r="C79">
        <v>6.9245099999999997</v>
      </c>
      <c r="D79">
        <f>B79*'PRC model'!$B$31+'PRC model'!$C$31</f>
        <v>1.1343649589200302</v>
      </c>
      <c r="E79">
        <f t="shared" si="2"/>
        <v>0.20316257762647305</v>
      </c>
    </row>
    <row r="80" spans="1:5" x14ac:dyDescent="0.25">
      <c r="A80">
        <v>180</v>
      </c>
      <c r="B80">
        <v>7.36</v>
      </c>
      <c r="C80">
        <v>6.9529199999999998</v>
      </c>
      <c r="D80">
        <f>B80*'PRC model'!$B$31+'PRC model'!$C$31</f>
        <v>1.1684205023105418</v>
      </c>
      <c r="E80">
        <f t="shared" si="2"/>
        <v>0.19876931475439508</v>
      </c>
    </row>
    <row r="81" spans="1:5" x14ac:dyDescent="0.25">
      <c r="A81">
        <v>193</v>
      </c>
      <c r="B81">
        <v>7.52</v>
      </c>
      <c r="C81">
        <v>7.1044399999999985</v>
      </c>
      <c r="D81">
        <f>B81*'PRC model'!$B$31+'PRC model'!$C$31</f>
        <v>1.3500500670599349</v>
      </c>
      <c r="E81">
        <f t="shared" si="2"/>
        <v>0.17660669925754524</v>
      </c>
    </row>
    <row r="82" spans="1:5" x14ac:dyDescent="0.25">
      <c r="A82">
        <v>191</v>
      </c>
      <c r="B82">
        <v>7.55</v>
      </c>
      <c r="C82">
        <v>7.1328499999999995</v>
      </c>
      <c r="D82">
        <f>B82*'PRC model'!$B$31+'PRC model'!$C$31</f>
        <v>1.3841056104504466</v>
      </c>
      <c r="E82">
        <f t="shared" si="2"/>
        <v>0.17268498114214792</v>
      </c>
    </row>
    <row r="83" spans="1:5" x14ac:dyDescent="0.25">
      <c r="A83">
        <v>170</v>
      </c>
      <c r="B83">
        <v>7.27</v>
      </c>
      <c r="C83">
        <v>6.8676899999999987</v>
      </c>
      <c r="D83">
        <f>B83*'PRC model'!$B$31+'PRC model'!$C$31</f>
        <v>1.0662538721390069</v>
      </c>
      <c r="E83">
        <f t="shared" si="2"/>
        <v>0.21217789311840651</v>
      </c>
    </row>
    <row r="84" spans="1:5" x14ac:dyDescent="0.25">
      <c r="A84">
        <v>190</v>
      </c>
      <c r="B84">
        <v>7.46</v>
      </c>
      <c r="C84">
        <v>7.0476199999999993</v>
      </c>
      <c r="D84">
        <f>B84*'PRC model'!$B$31+'PRC model'!$C$31</f>
        <v>1.2819389802789134</v>
      </c>
      <c r="E84">
        <f t="shared" si="2"/>
        <v>0.18466974755468191</v>
      </c>
    </row>
    <row r="85" spans="1:5" x14ac:dyDescent="0.25">
      <c r="A85">
        <v>198</v>
      </c>
      <c r="B85">
        <v>7.62</v>
      </c>
      <c r="C85">
        <v>7.199139999999999</v>
      </c>
      <c r="D85">
        <f>B85*'PRC model'!$B$31+'PRC model'!$C$31</f>
        <v>1.4635685450283065</v>
      </c>
      <c r="E85">
        <f t="shared" si="2"/>
        <v>0.16381464357572673</v>
      </c>
    </row>
    <row r="86" spans="1:5" x14ac:dyDescent="0.25">
      <c r="A86">
        <v>203</v>
      </c>
      <c r="B86">
        <v>7.65</v>
      </c>
      <c r="C86">
        <v>7.2275499999999999</v>
      </c>
      <c r="D86">
        <f>B86*'PRC model'!$B$31+'PRC model'!$C$31</f>
        <v>1.4976240884188181</v>
      </c>
      <c r="E86">
        <f t="shared" si="2"/>
        <v>0.1601315918085181</v>
      </c>
    </row>
    <row r="87" spans="1:5" x14ac:dyDescent="0.25">
      <c r="A87">
        <v>196</v>
      </c>
      <c r="B87">
        <v>7.65</v>
      </c>
      <c r="C87">
        <v>7.2275499999999999</v>
      </c>
      <c r="D87">
        <f>B87*'PRC model'!$B$31+'PRC model'!$C$31</f>
        <v>1.4976240884188181</v>
      </c>
      <c r="E87">
        <f t="shared" si="2"/>
        <v>0.1601315918085181</v>
      </c>
    </row>
    <row r="88" spans="1:5" x14ac:dyDescent="0.25">
      <c r="A88">
        <v>195</v>
      </c>
      <c r="B88">
        <v>7.56</v>
      </c>
      <c r="C88">
        <v>7.1423199999999989</v>
      </c>
      <c r="D88">
        <f>B88*'PRC model'!$B$31+'PRC model'!$C$31</f>
        <v>1.3954574582472832</v>
      </c>
      <c r="E88">
        <f t="shared" si="2"/>
        <v>0.17139385790951966</v>
      </c>
    </row>
    <row r="89" spans="1:5" x14ac:dyDescent="0.25">
      <c r="A89">
        <v>194</v>
      </c>
      <c r="B89">
        <v>7.8</v>
      </c>
      <c r="C89">
        <v>7.3695999999999993</v>
      </c>
      <c r="D89">
        <f>B89*'PRC model'!$B$31+'PRC model'!$C$31</f>
        <v>1.6679018053713746</v>
      </c>
      <c r="E89">
        <f t="shared" si="2"/>
        <v>0.14275252929963755</v>
      </c>
    </row>
    <row r="90" spans="1:5" x14ac:dyDescent="0.25">
      <c r="A90">
        <v>209</v>
      </c>
      <c r="B90">
        <v>8.18</v>
      </c>
      <c r="C90">
        <v>7.7294599999999987</v>
      </c>
      <c r="D90">
        <f>B90*'PRC model'!$B$31+'PRC model'!$C$31</f>
        <v>2.0992720216511858</v>
      </c>
      <c r="E90">
        <f t="shared" si="2"/>
        <v>0.10588242004482962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3"/>
  <sheetViews>
    <sheetView workbookViewId="0">
      <selection activeCell="B6" sqref="B6"/>
    </sheetView>
  </sheetViews>
  <sheetFormatPr defaultRowHeight="15" x14ac:dyDescent="0.25"/>
  <cols>
    <col min="1" max="1" width="11.85546875" customWidth="1"/>
  </cols>
  <sheetData>
    <row r="1" spans="1:21" x14ac:dyDescent="0.25">
      <c r="B1" t="s">
        <v>38</v>
      </c>
    </row>
    <row r="2" spans="1:21" x14ac:dyDescent="0.25">
      <c r="B2">
        <f>'PRC model'!B12</f>
        <v>1</v>
      </c>
      <c r="C2">
        <f>'PRC model'!C12</f>
        <v>2</v>
      </c>
      <c r="D2">
        <f>'PRC model'!D12</f>
        <v>3</v>
      </c>
      <c r="E2">
        <f>'PRC model'!E12</f>
        <v>4</v>
      </c>
      <c r="F2">
        <f>'PRC model'!F12</f>
        <v>5</v>
      </c>
      <c r="G2">
        <f>'PRC model'!G12</f>
        <v>6</v>
      </c>
      <c r="H2" t="str">
        <f>'PRC model'!H12</f>
        <v/>
      </c>
      <c r="I2" t="str">
        <f>'PRC model'!I12</f>
        <v/>
      </c>
      <c r="J2" t="str">
        <f>'PRC model'!J12</f>
        <v/>
      </c>
      <c r="K2" t="str">
        <f>'PRC model'!K12</f>
        <v/>
      </c>
      <c r="L2" t="str">
        <f>'PRC model'!L12</f>
        <v/>
      </c>
      <c r="M2" t="str">
        <f>'PRC model'!M12</f>
        <v/>
      </c>
      <c r="N2" t="str">
        <f>'PRC model'!N12</f>
        <v/>
      </c>
      <c r="O2" t="str">
        <f>'PRC model'!O12</f>
        <v/>
      </c>
      <c r="P2" t="str">
        <f>'PRC model'!P12</f>
        <v/>
      </c>
      <c r="Q2" t="str">
        <f>'PRC model'!Q12</f>
        <v/>
      </c>
      <c r="R2" t="str">
        <f>'PRC model'!R12</f>
        <v/>
      </c>
      <c r="S2" t="str">
        <f>'PRC model'!S12</f>
        <v/>
      </c>
      <c r="T2" t="str">
        <f>'PRC model'!T12</f>
        <v/>
      </c>
      <c r="U2" t="str">
        <f>'PRC model'!U12</f>
        <v/>
      </c>
    </row>
    <row r="3" spans="1:21" x14ac:dyDescent="0.25">
      <c r="A3" t="s">
        <v>49</v>
      </c>
      <c r="B3">
        <v>-1.566676269220433</v>
      </c>
      <c r="C3">
        <v>-1.5638251092030633</v>
      </c>
      <c r="D3">
        <v>-1.8382538061706724</v>
      </c>
      <c r="E3">
        <v>-1.9618086670875006</v>
      </c>
      <c r="F3">
        <v>-2.2500478909468731</v>
      </c>
      <c r="G3">
        <v>-1.9177997335777546</v>
      </c>
      <c r="H3">
        <v>-2.0488730739585925</v>
      </c>
      <c r="I3">
        <v>-1.4765493565922347</v>
      </c>
      <c r="J3">
        <v>-1.7666606158234142</v>
      </c>
      <c r="K3">
        <v>-2.0450218020229918</v>
      </c>
      <c r="L3">
        <v>-2.3491525897382357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D90"/>
  <sheetViews>
    <sheetView workbookViewId="0">
      <selection activeCell="D3" sqref="D3"/>
    </sheetView>
  </sheetViews>
  <sheetFormatPr defaultRowHeight="15" x14ac:dyDescent="0.25"/>
  <cols>
    <col min="1" max="1" width="11.140625" customWidth="1"/>
    <col min="4" max="4" width="12.7109375" bestFit="1" customWidth="1"/>
  </cols>
  <sheetData>
    <row r="2" spans="1:4" x14ac:dyDescent="0.25">
      <c r="A2" t="s">
        <v>28</v>
      </c>
      <c r="B2" t="s">
        <v>29</v>
      </c>
      <c r="C2" t="s">
        <v>48</v>
      </c>
      <c r="D2" t="s">
        <v>35</v>
      </c>
    </row>
    <row r="3" spans="1:4" x14ac:dyDescent="0.25">
      <c r="A3">
        <v>1</v>
      </c>
      <c r="B3">
        <v>4.46</v>
      </c>
      <c r="C3">
        <f>B3*'PRC model'!$B$27+'PRC model'!$C$27</f>
        <v>-1.2004684180420655</v>
      </c>
      <c r="D3">
        <f t="shared" ref="D3:D34" si="0">1-EXP(10^C3*t*-1)</f>
        <v>0.84905376037249747</v>
      </c>
    </row>
    <row r="4" spans="1:4" x14ac:dyDescent="0.25">
      <c r="A4">
        <v>4</v>
      </c>
      <c r="B4">
        <v>4.6500000000000004</v>
      </c>
      <c r="C4">
        <f>B4*'PRC model'!$B$27+'PRC model'!$C$27</f>
        <v>-1.2609393481001736</v>
      </c>
      <c r="D4">
        <f t="shared" si="0"/>
        <v>0.80699913757633623</v>
      </c>
    </row>
    <row r="5" spans="1:4" x14ac:dyDescent="0.25">
      <c r="A5">
        <v>10</v>
      </c>
      <c r="B5">
        <v>4.84</v>
      </c>
      <c r="C5">
        <f>B5*'PRC model'!$B$27+'PRC model'!$C$27</f>
        <v>-1.3214102781582815</v>
      </c>
      <c r="D5">
        <f t="shared" si="0"/>
        <v>0.76098646426702277</v>
      </c>
    </row>
    <row r="6" spans="1:4" x14ac:dyDescent="0.25">
      <c r="A6">
        <v>9</v>
      </c>
      <c r="B6">
        <v>5.0599999999999996</v>
      </c>
      <c r="C6">
        <f>B6*'PRC model'!$B$27+'PRC model'!$C$27</f>
        <v>-1.3914292498045118</v>
      </c>
      <c r="D6">
        <f t="shared" si="0"/>
        <v>0.70421588039012817</v>
      </c>
    </row>
    <row r="7" spans="1:4" x14ac:dyDescent="0.25">
      <c r="A7">
        <v>7</v>
      </c>
      <c r="B7">
        <v>5.07</v>
      </c>
      <c r="C7">
        <f>B7*'PRC model'!$B$27+'PRC model'!$C$27</f>
        <v>-1.394611930333886</v>
      </c>
      <c r="D7">
        <f t="shared" si="0"/>
        <v>0.70157336196692566</v>
      </c>
    </row>
    <row r="8" spans="1:4" x14ac:dyDescent="0.25">
      <c r="A8">
        <v>6</v>
      </c>
      <c r="B8">
        <v>5.0599999999999996</v>
      </c>
      <c r="C8">
        <f>B8*'PRC model'!$B$27+'PRC model'!$C$27</f>
        <v>-1.3914292498045118</v>
      </c>
      <c r="D8">
        <f t="shared" si="0"/>
        <v>0.70421588039012817</v>
      </c>
    </row>
    <row r="9" spans="1:4" x14ac:dyDescent="0.25">
      <c r="A9">
        <v>8</v>
      </c>
      <c r="B9">
        <v>5.07</v>
      </c>
      <c r="C9">
        <f>B9*'PRC model'!$B$27+'PRC model'!$C$27</f>
        <v>-1.394611930333886</v>
      </c>
      <c r="D9">
        <f t="shared" si="0"/>
        <v>0.70157336196692566</v>
      </c>
    </row>
    <row r="10" spans="1:4" x14ac:dyDescent="0.25">
      <c r="A10">
        <v>5</v>
      </c>
      <c r="B10">
        <v>4.97</v>
      </c>
      <c r="C10">
        <f>B10*'PRC model'!$B$27+'PRC model'!$C$27</f>
        <v>-1.3627851250401448</v>
      </c>
      <c r="D10">
        <f t="shared" si="0"/>
        <v>0.72778858570157534</v>
      </c>
    </row>
    <row r="11" spans="1:4" x14ac:dyDescent="0.25">
      <c r="A11">
        <v>19</v>
      </c>
      <c r="B11">
        <v>5.0199999999999996</v>
      </c>
      <c r="C11">
        <f>B11*'PRC model'!$B$27+'PRC model'!$C$27</f>
        <v>-1.3786985276870152</v>
      </c>
      <c r="D11">
        <f t="shared" si="0"/>
        <v>0.7147420819908098</v>
      </c>
    </row>
    <row r="12" spans="1:4" x14ac:dyDescent="0.25">
      <c r="A12">
        <v>18</v>
      </c>
      <c r="B12">
        <v>5.24</v>
      </c>
      <c r="C12">
        <f>B12*'PRC model'!$B$27+'PRC model'!$C$27</f>
        <v>-1.4487174993332459</v>
      </c>
      <c r="D12">
        <f t="shared" si="0"/>
        <v>0.65616320818756713</v>
      </c>
    </row>
    <row r="13" spans="1:4" x14ac:dyDescent="0.25">
      <c r="A13">
        <v>17</v>
      </c>
      <c r="B13">
        <v>5.25</v>
      </c>
      <c r="C13">
        <f>B13*'PRC model'!$B$27+'PRC model'!$C$27</f>
        <v>-1.4519001798626199</v>
      </c>
      <c r="D13">
        <f t="shared" si="0"/>
        <v>0.65347248975052374</v>
      </c>
    </row>
    <row r="14" spans="1:4" x14ac:dyDescent="0.25">
      <c r="A14">
        <v>27</v>
      </c>
      <c r="B14">
        <v>5.44</v>
      </c>
      <c r="C14">
        <f>B14*'PRC model'!$B$27+'PRC model'!$C$27</f>
        <v>-1.512371109920728</v>
      </c>
      <c r="D14">
        <f t="shared" si="0"/>
        <v>0.60229343225956999</v>
      </c>
    </row>
    <row r="15" spans="1:4" x14ac:dyDescent="0.25">
      <c r="A15">
        <v>24</v>
      </c>
      <c r="B15">
        <v>5.35</v>
      </c>
      <c r="C15">
        <f>B15*'PRC model'!$B$27+'PRC model'!$C$27</f>
        <v>-1.4837269851563608</v>
      </c>
      <c r="D15">
        <f t="shared" si="0"/>
        <v>0.62652523312345465</v>
      </c>
    </row>
    <row r="16" spans="1:4" x14ac:dyDescent="0.25">
      <c r="A16">
        <v>32</v>
      </c>
      <c r="B16">
        <v>5.44</v>
      </c>
      <c r="C16">
        <f>B16*'PRC model'!$B$27+'PRC model'!$C$27</f>
        <v>-1.512371109920728</v>
      </c>
      <c r="D16">
        <f t="shared" si="0"/>
        <v>0.60229343225956999</v>
      </c>
    </row>
    <row r="17" spans="1:4" x14ac:dyDescent="0.25">
      <c r="A17">
        <v>16</v>
      </c>
      <c r="B17">
        <v>5.16</v>
      </c>
      <c r="C17">
        <f>B17*'PRC model'!$B$27+'PRC model'!$C$27</f>
        <v>-1.4232560550982529</v>
      </c>
      <c r="D17">
        <f t="shared" si="0"/>
        <v>0.67762793939989918</v>
      </c>
    </row>
    <row r="18" spans="1:4" x14ac:dyDescent="0.25">
      <c r="A18">
        <v>26</v>
      </c>
      <c r="B18">
        <v>5.66</v>
      </c>
      <c r="C18">
        <f>B18*'PRC model'!$B$27+'PRC model'!$C$27</f>
        <v>-1.5823900815669583</v>
      </c>
      <c r="D18">
        <f t="shared" si="0"/>
        <v>0.54376612936975999</v>
      </c>
    </row>
    <row r="19" spans="1:4" x14ac:dyDescent="0.25">
      <c r="A19">
        <v>25</v>
      </c>
      <c r="B19">
        <v>5.67</v>
      </c>
      <c r="C19">
        <f>B19*'PRC model'!$B$27+'PRC model'!$C$27</f>
        <v>-1.5855727620963322</v>
      </c>
      <c r="D19">
        <f t="shared" si="0"/>
        <v>0.54114443598681161</v>
      </c>
    </row>
    <row r="20" spans="1:4" x14ac:dyDescent="0.25">
      <c r="A20">
        <v>31</v>
      </c>
      <c r="B20">
        <v>5.67</v>
      </c>
      <c r="C20">
        <f>B20*'PRC model'!$B$27+'PRC model'!$C$27</f>
        <v>-1.5855727620963322</v>
      </c>
      <c r="D20">
        <f t="shared" si="0"/>
        <v>0.54114443598681161</v>
      </c>
    </row>
    <row r="21" spans="1:4" x14ac:dyDescent="0.25">
      <c r="A21" s="8">
        <v>28</v>
      </c>
      <c r="B21" s="8">
        <v>5.67</v>
      </c>
      <c r="C21">
        <f>B21*'PRC model'!$B$27+'PRC model'!$C$27</f>
        <v>-1.5855727620963322</v>
      </c>
      <c r="D21">
        <f t="shared" si="0"/>
        <v>0.54114443598681161</v>
      </c>
    </row>
    <row r="22" spans="1:4" x14ac:dyDescent="0.25">
      <c r="A22">
        <v>20</v>
      </c>
      <c r="B22">
        <v>5.57</v>
      </c>
      <c r="C22">
        <f>B22*'PRC model'!$B$27+'PRC model'!$C$27</f>
        <v>-1.5537459568025913</v>
      </c>
      <c r="D22">
        <f t="shared" si="0"/>
        <v>0.56753477063698288</v>
      </c>
    </row>
    <row r="23" spans="1:4" x14ac:dyDescent="0.25">
      <c r="A23">
        <v>22</v>
      </c>
      <c r="B23">
        <v>5.58</v>
      </c>
      <c r="C23">
        <f>B23*'PRC model'!$B$27+'PRC model'!$C$27</f>
        <v>-1.5569286373319653</v>
      </c>
      <c r="D23">
        <f t="shared" si="0"/>
        <v>0.56487970899034523</v>
      </c>
    </row>
    <row r="24" spans="1:4" x14ac:dyDescent="0.25">
      <c r="A24">
        <v>52</v>
      </c>
      <c r="B24">
        <v>5.84</v>
      </c>
      <c r="C24">
        <f>B24*'PRC model'!$B$27+'PRC model'!$C$27</f>
        <v>-1.6396783310956919</v>
      </c>
      <c r="D24">
        <f t="shared" si="0"/>
        <v>0.49730392567243709</v>
      </c>
    </row>
    <row r="25" spans="1:4" x14ac:dyDescent="0.25">
      <c r="A25">
        <v>47</v>
      </c>
      <c r="B25">
        <v>5.85</v>
      </c>
      <c r="C25">
        <f>B25*'PRC model'!$B$27+'PRC model'!$C$27</f>
        <v>-1.6428610116250659</v>
      </c>
      <c r="D25">
        <f t="shared" si="0"/>
        <v>0.4947731263124171</v>
      </c>
    </row>
    <row r="26" spans="1:4" x14ac:dyDescent="0.25">
      <c r="A26">
        <v>44</v>
      </c>
      <c r="B26">
        <v>5.75</v>
      </c>
      <c r="C26">
        <f>B26*'PRC model'!$B$27+'PRC model'!$C$27</f>
        <v>-1.611034206331325</v>
      </c>
      <c r="D26">
        <f t="shared" si="0"/>
        <v>0.52033201204525503</v>
      </c>
    </row>
    <row r="27" spans="1:4" x14ac:dyDescent="0.25">
      <c r="A27">
        <v>42</v>
      </c>
      <c r="B27">
        <v>5.76</v>
      </c>
      <c r="C27">
        <f>B27*'PRC model'!$B$27+'PRC model'!$C$27</f>
        <v>-1.614216886860699</v>
      </c>
      <c r="D27">
        <f t="shared" si="0"/>
        <v>0.5177520608259043</v>
      </c>
    </row>
    <row r="28" spans="1:4" x14ac:dyDescent="0.25">
      <c r="A28">
        <v>71</v>
      </c>
      <c r="B28">
        <v>5.98</v>
      </c>
      <c r="C28">
        <f>B28*'PRC model'!$B$27+'PRC model'!$C$27</f>
        <v>-1.6842358585069297</v>
      </c>
      <c r="D28">
        <f t="shared" si="0"/>
        <v>0.46243479668121856</v>
      </c>
    </row>
    <row r="29" spans="1:4" x14ac:dyDescent="0.25">
      <c r="A29">
        <v>41</v>
      </c>
      <c r="B29">
        <v>5.69</v>
      </c>
      <c r="C29">
        <f>B29*'PRC model'!$B$27+'PRC model'!$C$27</f>
        <v>-1.5919381231550807</v>
      </c>
      <c r="D29">
        <f t="shared" si="0"/>
        <v>0.53591387767757848</v>
      </c>
    </row>
    <row r="30" spans="1:4" x14ac:dyDescent="0.25">
      <c r="A30">
        <v>103</v>
      </c>
      <c r="B30">
        <v>6.22</v>
      </c>
      <c r="C30">
        <f>B30*'PRC model'!$B$27+'PRC model'!$C$27</f>
        <v>-1.7606201912119079</v>
      </c>
      <c r="D30">
        <f t="shared" si="0"/>
        <v>0.40583384923808818</v>
      </c>
    </row>
    <row r="31" spans="1:4" x14ac:dyDescent="0.25">
      <c r="A31">
        <v>40</v>
      </c>
      <c r="B31">
        <v>5.66</v>
      </c>
      <c r="C31">
        <f>B31*'PRC model'!$B$27+'PRC model'!$C$27</f>
        <v>-1.5823900815669583</v>
      </c>
      <c r="D31">
        <f t="shared" si="0"/>
        <v>0.54376612936975999</v>
      </c>
    </row>
    <row r="32" spans="1:4" x14ac:dyDescent="0.25">
      <c r="A32">
        <v>74</v>
      </c>
      <c r="B32">
        <v>6.2</v>
      </c>
      <c r="C32">
        <f>B32*'PRC model'!$B$27+'PRC model'!$C$27</f>
        <v>-1.7542548301531597</v>
      </c>
      <c r="D32">
        <f t="shared" si="0"/>
        <v>0.41038337622223797</v>
      </c>
    </row>
    <row r="33" spans="1:4" x14ac:dyDescent="0.25">
      <c r="A33">
        <v>70</v>
      </c>
      <c r="B33">
        <v>6.2</v>
      </c>
      <c r="C33">
        <f>B33*'PRC model'!$B$27+'PRC model'!$C$27</f>
        <v>-1.7542548301531597</v>
      </c>
      <c r="D33">
        <f t="shared" si="0"/>
        <v>0.41038337622223797</v>
      </c>
    </row>
    <row r="34" spans="1:4" x14ac:dyDescent="0.25">
      <c r="A34">
        <v>66</v>
      </c>
      <c r="B34">
        <v>6.2</v>
      </c>
      <c r="C34">
        <f>B34*'PRC model'!$B$27+'PRC model'!$C$27</f>
        <v>-1.7542548301531597</v>
      </c>
      <c r="D34">
        <f t="shared" si="0"/>
        <v>0.41038337622223797</v>
      </c>
    </row>
    <row r="35" spans="1:4" x14ac:dyDescent="0.25">
      <c r="A35">
        <v>95</v>
      </c>
      <c r="B35">
        <v>6.13</v>
      </c>
      <c r="C35">
        <f>B35*'PRC model'!$B$27+'PRC model'!$C$27</f>
        <v>-1.731976066447541</v>
      </c>
      <c r="D35">
        <f t="shared" ref="D35:D66" si="1">1-EXP(10^C35*t*-1)</f>
        <v>0.42655321222987863</v>
      </c>
    </row>
    <row r="36" spans="1:4" x14ac:dyDescent="0.25">
      <c r="A36">
        <v>93</v>
      </c>
      <c r="B36">
        <v>6.04</v>
      </c>
      <c r="C36">
        <f>B36*'PRC model'!$B$27+'PRC model'!$C$27</f>
        <v>-1.703331941683174</v>
      </c>
      <c r="D36">
        <f t="shared" si="1"/>
        <v>0.44788776149787846</v>
      </c>
    </row>
    <row r="37" spans="1:4" x14ac:dyDescent="0.25">
      <c r="A37">
        <v>56</v>
      </c>
      <c r="B37">
        <v>6.11</v>
      </c>
      <c r="C37">
        <f>B37*'PRC model'!$B$27+'PRC model'!$C$27</f>
        <v>-1.725610705388793</v>
      </c>
      <c r="D37">
        <f t="shared" si="1"/>
        <v>0.43124223067261935</v>
      </c>
    </row>
    <row r="38" spans="1:4" x14ac:dyDescent="0.25">
      <c r="A38">
        <v>60</v>
      </c>
      <c r="B38">
        <v>6.11</v>
      </c>
      <c r="C38">
        <f>B38*'PRC model'!$B$27+'PRC model'!$C$27</f>
        <v>-1.725610705388793</v>
      </c>
      <c r="D38">
        <f t="shared" si="1"/>
        <v>0.43124223067261935</v>
      </c>
    </row>
    <row r="39" spans="1:4" x14ac:dyDescent="0.25">
      <c r="A39">
        <v>92</v>
      </c>
      <c r="B39">
        <v>6.35</v>
      </c>
      <c r="C39">
        <f>B39*'PRC model'!$B$27+'PRC model'!$C$27</f>
        <v>-1.801995038093771</v>
      </c>
      <c r="D39">
        <f t="shared" si="1"/>
        <v>0.37704985551674097</v>
      </c>
    </row>
    <row r="40" spans="1:4" x14ac:dyDescent="0.25">
      <c r="A40">
        <v>84</v>
      </c>
      <c r="B40">
        <v>6.04</v>
      </c>
      <c r="C40">
        <f>B40*'PRC model'!$B$27+'PRC model'!$C$27</f>
        <v>-1.703331941683174</v>
      </c>
      <c r="D40">
        <f t="shared" si="1"/>
        <v>0.44788776149787846</v>
      </c>
    </row>
    <row r="41" spans="1:4" x14ac:dyDescent="0.25">
      <c r="A41">
        <v>101</v>
      </c>
      <c r="B41">
        <v>6.38</v>
      </c>
      <c r="C41">
        <f>B41*'PRC model'!$B$27+'PRC model'!$C$27</f>
        <v>-1.8115430796818934</v>
      </c>
      <c r="D41">
        <f t="shared" si="1"/>
        <v>0.37060547799063348</v>
      </c>
    </row>
    <row r="42" spans="1:4" x14ac:dyDescent="0.25">
      <c r="A42">
        <v>99</v>
      </c>
      <c r="B42">
        <v>6.39</v>
      </c>
      <c r="C42">
        <f>B42*'PRC model'!$B$27+'PRC model'!$C$27</f>
        <v>-1.8147257602112674</v>
      </c>
      <c r="D42">
        <f t="shared" si="1"/>
        <v>0.36847413276399843</v>
      </c>
    </row>
    <row r="43" spans="1:4" x14ac:dyDescent="0.25">
      <c r="A43">
        <v>119</v>
      </c>
      <c r="B43">
        <v>6.58</v>
      </c>
      <c r="C43">
        <f>B43*'PRC model'!$B$27+'PRC model'!$C$27</f>
        <v>-1.8751966902693757</v>
      </c>
      <c r="D43">
        <f t="shared" si="1"/>
        <v>0.32959635091414263</v>
      </c>
    </row>
    <row r="44" spans="1:4" x14ac:dyDescent="0.25">
      <c r="A44">
        <v>83</v>
      </c>
      <c r="B44">
        <v>6.26</v>
      </c>
      <c r="C44">
        <f>B44*'PRC model'!$B$27+'PRC model'!$C$27</f>
        <v>-1.7733509133294043</v>
      </c>
      <c r="D44">
        <f t="shared" si="1"/>
        <v>0.39683063336742064</v>
      </c>
    </row>
    <row r="45" spans="1:4" x14ac:dyDescent="0.25">
      <c r="A45">
        <v>87</v>
      </c>
      <c r="B45">
        <v>6.29</v>
      </c>
      <c r="C45">
        <f>B45*'PRC model'!$B$27+'PRC model'!$C$27</f>
        <v>-1.7828989549175267</v>
      </c>
      <c r="D45">
        <f t="shared" si="1"/>
        <v>0.3901631226175144</v>
      </c>
    </row>
    <row r="46" spans="1:4" x14ac:dyDescent="0.25">
      <c r="A46">
        <v>81</v>
      </c>
      <c r="B46">
        <v>6.36</v>
      </c>
      <c r="C46">
        <f>B46*'PRC model'!$B$27+'PRC model'!$C$27</f>
        <v>-1.8051777186231455</v>
      </c>
      <c r="D46">
        <f t="shared" si="1"/>
        <v>0.37489336028778897</v>
      </c>
    </row>
    <row r="47" spans="1:4" x14ac:dyDescent="0.25">
      <c r="A47">
        <v>136</v>
      </c>
      <c r="B47">
        <v>6.22</v>
      </c>
      <c r="C47">
        <f>B47*'PRC model'!$B$27+'PRC model'!$C$27</f>
        <v>-1.7606201912119079</v>
      </c>
      <c r="D47">
        <f t="shared" si="1"/>
        <v>0.40583384923808818</v>
      </c>
    </row>
    <row r="48" spans="1:4" x14ac:dyDescent="0.25">
      <c r="A48">
        <v>110</v>
      </c>
      <c r="B48">
        <v>6.48</v>
      </c>
      <c r="C48">
        <f>B48*'PRC model'!$B$27+'PRC model'!$C$27</f>
        <v>-1.843369884975635</v>
      </c>
      <c r="D48">
        <f t="shared" si="1"/>
        <v>0.34967315749720074</v>
      </c>
    </row>
    <row r="49" spans="1:4" x14ac:dyDescent="0.25">
      <c r="A49">
        <v>77</v>
      </c>
      <c r="B49">
        <v>6.36</v>
      </c>
      <c r="C49">
        <f>B49*'PRC model'!$B$27+'PRC model'!$C$27</f>
        <v>-1.8051777186231455</v>
      </c>
      <c r="D49">
        <f t="shared" si="1"/>
        <v>0.37489336028778897</v>
      </c>
    </row>
    <row r="50" spans="1:4" x14ac:dyDescent="0.25">
      <c r="A50">
        <v>82</v>
      </c>
      <c r="B50">
        <v>6.2</v>
      </c>
      <c r="C50">
        <f>B50*'PRC model'!$B$27+'PRC model'!$C$27</f>
        <v>-1.7542548301531597</v>
      </c>
      <c r="D50">
        <f t="shared" si="1"/>
        <v>0.41038337622223797</v>
      </c>
    </row>
    <row r="51" spans="1:4" x14ac:dyDescent="0.25">
      <c r="A51">
        <v>151</v>
      </c>
      <c r="B51">
        <v>6.64</v>
      </c>
      <c r="C51">
        <f>B51*'PRC model'!$B$27+'PRC model'!$C$27</f>
        <v>-1.8942927734456201</v>
      </c>
      <c r="D51">
        <f t="shared" si="1"/>
        <v>0.31796450819221977</v>
      </c>
    </row>
    <row r="52" spans="1:4" x14ac:dyDescent="0.25">
      <c r="A52">
        <v>135</v>
      </c>
      <c r="B52">
        <v>6.64</v>
      </c>
      <c r="C52">
        <f>B52*'PRC model'!$B$27+'PRC model'!$C$27</f>
        <v>-1.8942927734456201</v>
      </c>
      <c r="D52">
        <f t="shared" si="1"/>
        <v>0.31796450819221977</v>
      </c>
    </row>
    <row r="53" spans="1:4" x14ac:dyDescent="0.25">
      <c r="A53">
        <v>144</v>
      </c>
      <c r="B53">
        <v>6.67</v>
      </c>
      <c r="C53">
        <f>B53*'PRC model'!$B$27+'PRC model'!$C$27</f>
        <v>-1.9038408150337425</v>
      </c>
      <c r="D53">
        <f t="shared" si="1"/>
        <v>0.31226538058204745</v>
      </c>
    </row>
    <row r="54" spans="1:4" x14ac:dyDescent="0.25">
      <c r="A54">
        <v>107</v>
      </c>
      <c r="B54">
        <v>6.71</v>
      </c>
      <c r="C54">
        <f>B54*'PRC model'!$B$27+'PRC model'!$C$27</f>
        <v>-1.9165715371512388</v>
      </c>
      <c r="D54">
        <f t="shared" si="1"/>
        <v>0.30478763545619181</v>
      </c>
    </row>
    <row r="55" spans="1:4" x14ac:dyDescent="0.25">
      <c r="A55">
        <v>123</v>
      </c>
      <c r="B55">
        <v>6.74</v>
      </c>
      <c r="C55">
        <f>B55*'PRC model'!$B$27+'PRC model'!$C$27</f>
        <v>-1.9261195787393617</v>
      </c>
      <c r="D55">
        <f t="shared" si="1"/>
        <v>0.29927004259758239</v>
      </c>
    </row>
    <row r="56" spans="1:4" x14ac:dyDescent="0.25">
      <c r="A56">
        <v>149</v>
      </c>
      <c r="B56">
        <v>6.67</v>
      </c>
      <c r="C56">
        <f>B56*'PRC model'!$B$27+'PRC model'!$C$27</f>
        <v>-1.9038408150337425</v>
      </c>
      <c r="D56">
        <f t="shared" si="1"/>
        <v>0.31226538058204745</v>
      </c>
    </row>
    <row r="57" spans="1:4" x14ac:dyDescent="0.25">
      <c r="A57">
        <v>118</v>
      </c>
      <c r="B57">
        <v>6.74</v>
      </c>
      <c r="C57">
        <f>B57*'PRC model'!$B$27+'PRC model'!$C$27</f>
        <v>-1.9261195787393617</v>
      </c>
      <c r="D57">
        <f t="shared" si="1"/>
        <v>0.29927004259758239</v>
      </c>
    </row>
    <row r="58" spans="1:4" x14ac:dyDescent="0.25">
      <c r="A58">
        <v>134</v>
      </c>
      <c r="B58">
        <v>6.55</v>
      </c>
      <c r="C58">
        <f>B58*'PRC model'!$B$27+'PRC model'!$C$27</f>
        <v>-1.8656486486812534</v>
      </c>
      <c r="D58">
        <f t="shared" si="1"/>
        <v>0.33552894957036694</v>
      </c>
    </row>
    <row r="59" spans="1:4" x14ac:dyDescent="0.25">
      <c r="A59">
        <v>146</v>
      </c>
      <c r="B59">
        <v>6.89</v>
      </c>
      <c r="C59">
        <f>B59*'PRC model'!$B$27+'PRC model'!$C$27</f>
        <v>-1.9738597866799727</v>
      </c>
      <c r="D59">
        <f t="shared" si="1"/>
        <v>0.27284201578624001</v>
      </c>
    </row>
    <row r="60" spans="1:4" x14ac:dyDescent="0.25">
      <c r="A60">
        <v>153</v>
      </c>
      <c r="B60">
        <v>6.92</v>
      </c>
      <c r="C60">
        <f>B60*'PRC model'!$B$27+'PRC model'!$C$27</f>
        <v>-1.9834078282680951</v>
      </c>
      <c r="D60">
        <f t="shared" si="1"/>
        <v>0.26778656031416481</v>
      </c>
    </row>
    <row r="61" spans="1:4" x14ac:dyDescent="0.25">
      <c r="A61">
        <v>132</v>
      </c>
      <c r="B61">
        <v>6.58</v>
      </c>
      <c r="C61">
        <f>B61*'PRC model'!$B$27+'PRC model'!$C$27</f>
        <v>-1.8751966902693757</v>
      </c>
      <c r="D61">
        <f t="shared" si="1"/>
        <v>0.32959635091414263</v>
      </c>
    </row>
    <row r="62" spans="1:4" x14ac:dyDescent="0.25">
      <c r="A62">
        <v>105</v>
      </c>
      <c r="B62">
        <v>6.65</v>
      </c>
      <c r="C62">
        <f>B62*'PRC model'!$B$27+'PRC model'!$C$27</f>
        <v>-1.8974754539749945</v>
      </c>
      <c r="D62">
        <f t="shared" si="1"/>
        <v>0.31605614644277491</v>
      </c>
    </row>
    <row r="63" spans="1:4" x14ac:dyDescent="0.25">
      <c r="A63">
        <v>141</v>
      </c>
      <c r="B63">
        <v>6.82</v>
      </c>
      <c r="C63">
        <f>B63*'PRC model'!$B$27+'PRC model'!$C$27</f>
        <v>-1.9515810229743544</v>
      </c>
      <c r="D63">
        <f t="shared" si="1"/>
        <v>0.28493538649597971</v>
      </c>
    </row>
    <row r="64" spans="1:4" x14ac:dyDescent="0.25">
      <c r="A64">
        <v>179</v>
      </c>
      <c r="B64">
        <v>6.73</v>
      </c>
      <c r="C64">
        <f>B64*'PRC model'!$B$27+'PRC model'!$C$27</f>
        <v>-1.9229368982099873</v>
      </c>
      <c r="D64">
        <f t="shared" si="1"/>
        <v>0.301100609143239</v>
      </c>
    </row>
    <row r="65" spans="1:4" x14ac:dyDescent="0.25">
      <c r="A65">
        <v>163</v>
      </c>
      <c r="B65">
        <v>6.99</v>
      </c>
      <c r="C65">
        <f>B65*'PRC model'!$B$27+'PRC model'!$C$27</f>
        <v>-2.0056865919737139</v>
      </c>
      <c r="D65">
        <f t="shared" si="1"/>
        <v>0.25628504825006715</v>
      </c>
    </row>
    <row r="66" spans="1:4" x14ac:dyDescent="0.25">
      <c r="A66">
        <v>138</v>
      </c>
      <c r="B66">
        <v>6.83</v>
      </c>
      <c r="C66">
        <f>B66*'PRC model'!$B$27+'PRC model'!$C$27</f>
        <v>-1.9547637035037284</v>
      </c>
      <c r="D66">
        <f t="shared" si="1"/>
        <v>0.28318216918157146</v>
      </c>
    </row>
    <row r="67" spans="1:4" x14ac:dyDescent="0.25">
      <c r="A67">
        <v>158</v>
      </c>
      <c r="B67">
        <v>7.02</v>
      </c>
      <c r="C67">
        <f>B67*'PRC model'!$B$27+'PRC model'!$C$27</f>
        <v>-2.0152346335618363</v>
      </c>
      <c r="D67">
        <f t="shared" ref="D67:D90" si="2">1-EXP(10^C67*t*-1)</f>
        <v>0.25148102841662112</v>
      </c>
    </row>
    <row r="68" spans="1:4" x14ac:dyDescent="0.25">
      <c r="A68">
        <v>178</v>
      </c>
      <c r="B68">
        <v>7.14</v>
      </c>
      <c r="C68">
        <f>B68*'PRC model'!$B$27+'PRC model'!$C$27</f>
        <v>-2.0534267999143254</v>
      </c>
      <c r="D68">
        <f t="shared" si="2"/>
        <v>0.23300412731871545</v>
      </c>
    </row>
    <row r="69" spans="1:4" x14ac:dyDescent="0.25">
      <c r="A69">
        <v>187</v>
      </c>
      <c r="B69">
        <v>7.17</v>
      </c>
      <c r="C69">
        <f>B69*'PRC model'!$B$27+'PRC model'!$C$27</f>
        <v>-2.0629748415024478</v>
      </c>
      <c r="D69">
        <f t="shared" si="2"/>
        <v>0.22856696410996014</v>
      </c>
    </row>
    <row r="70" spans="1:4" x14ac:dyDescent="0.25">
      <c r="A70">
        <v>183</v>
      </c>
      <c r="B70">
        <v>7.2</v>
      </c>
      <c r="C70">
        <f>B70*'PRC model'!$B$27+'PRC model'!$C$27</f>
        <v>-2.0725228830905702</v>
      </c>
      <c r="D70">
        <f t="shared" si="2"/>
        <v>0.22420145092861243</v>
      </c>
    </row>
    <row r="71" spans="1:4" x14ac:dyDescent="0.25">
      <c r="A71">
        <v>128</v>
      </c>
      <c r="B71">
        <v>6.74</v>
      </c>
      <c r="C71">
        <f>B71*'PRC model'!$B$27+'PRC model'!$C$27</f>
        <v>-1.9261195787393617</v>
      </c>
      <c r="D71">
        <f t="shared" si="2"/>
        <v>0.29927004259758239</v>
      </c>
    </row>
    <row r="72" spans="1:4" x14ac:dyDescent="0.25">
      <c r="A72">
        <v>167</v>
      </c>
      <c r="B72">
        <v>7.27</v>
      </c>
      <c r="C72">
        <f>B72*'PRC model'!$B$27+'PRC model'!$C$27</f>
        <v>-2.094801646796189</v>
      </c>
      <c r="D72">
        <f t="shared" si="2"/>
        <v>0.21429035168073918</v>
      </c>
    </row>
    <row r="73" spans="1:4" x14ac:dyDescent="0.25">
      <c r="A73">
        <v>174</v>
      </c>
      <c r="B73">
        <v>7.11</v>
      </c>
      <c r="C73">
        <f>B73*'PRC model'!$B$27+'PRC model'!$C$27</f>
        <v>-2.0438787583262035</v>
      </c>
      <c r="D73">
        <f t="shared" si="2"/>
        <v>0.23751354457165286</v>
      </c>
    </row>
    <row r="74" spans="1:4" x14ac:dyDescent="0.25">
      <c r="A74">
        <v>177</v>
      </c>
      <c r="B74">
        <v>7.08</v>
      </c>
      <c r="C74">
        <f>B74*'PRC model'!$B$27+'PRC model'!$C$27</f>
        <v>-2.0343307167380811</v>
      </c>
      <c r="D74">
        <f t="shared" si="2"/>
        <v>0.24209579832745987</v>
      </c>
    </row>
    <row r="75" spans="1:4" x14ac:dyDescent="0.25">
      <c r="A75">
        <v>171</v>
      </c>
      <c r="B75">
        <v>7.11</v>
      </c>
      <c r="C75">
        <f>B75*'PRC model'!$B$27+'PRC model'!$C$27</f>
        <v>-2.0438787583262035</v>
      </c>
      <c r="D75">
        <f t="shared" si="2"/>
        <v>0.23751354457165286</v>
      </c>
    </row>
    <row r="76" spans="1:4" x14ac:dyDescent="0.25">
      <c r="A76">
        <v>156</v>
      </c>
      <c r="B76">
        <v>7.18</v>
      </c>
      <c r="C76">
        <f>B76*'PRC model'!$B$27+'PRC model'!$C$27</f>
        <v>-2.0661575220318218</v>
      </c>
      <c r="D76">
        <f t="shared" si="2"/>
        <v>0.22710386235642788</v>
      </c>
    </row>
    <row r="77" spans="1:4" x14ac:dyDescent="0.25">
      <c r="A77">
        <v>157</v>
      </c>
      <c r="B77">
        <v>7.18</v>
      </c>
      <c r="C77">
        <f>B77*'PRC model'!$B$27+'PRC model'!$C$27</f>
        <v>-2.0661575220318218</v>
      </c>
      <c r="D77">
        <f t="shared" si="2"/>
        <v>0.22710386235642788</v>
      </c>
    </row>
    <row r="78" spans="1:4" x14ac:dyDescent="0.25">
      <c r="A78">
        <v>173</v>
      </c>
      <c r="B78">
        <v>7.02</v>
      </c>
      <c r="C78">
        <f>B78*'PRC model'!$B$27+'PRC model'!$C$27</f>
        <v>-2.0152346335618363</v>
      </c>
      <c r="D78">
        <f t="shared" si="2"/>
        <v>0.25148102841662112</v>
      </c>
    </row>
    <row r="79" spans="1:4" x14ac:dyDescent="0.25">
      <c r="A79">
        <v>172</v>
      </c>
      <c r="B79">
        <v>7.33</v>
      </c>
      <c r="C79">
        <f>B79*'PRC model'!$B$27+'PRC model'!$C$27</f>
        <v>-2.1138977299724337</v>
      </c>
      <c r="D79">
        <f t="shared" si="2"/>
        <v>0.20609658935009167</v>
      </c>
    </row>
    <row r="80" spans="1:4" x14ac:dyDescent="0.25">
      <c r="A80">
        <v>180</v>
      </c>
      <c r="B80">
        <v>7.36</v>
      </c>
      <c r="C80">
        <f>B80*'PRC model'!$B$27+'PRC model'!$C$27</f>
        <v>-2.1234457715605561</v>
      </c>
      <c r="D80">
        <f t="shared" si="2"/>
        <v>0.20210223900822299</v>
      </c>
    </row>
    <row r="81" spans="1:4" x14ac:dyDescent="0.25">
      <c r="A81">
        <v>193</v>
      </c>
      <c r="B81">
        <v>7.52</v>
      </c>
      <c r="C81">
        <f>B81*'PRC model'!$B$27+'PRC model'!$C$27</f>
        <v>-2.1743686600305412</v>
      </c>
      <c r="D81">
        <f t="shared" si="2"/>
        <v>0.18191976591156533</v>
      </c>
    </row>
    <row r="82" spans="1:4" x14ac:dyDescent="0.25">
      <c r="A82">
        <v>191</v>
      </c>
      <c r="B82">
        <v>7.55</v>
      </c>
      <c r="C82">
        <f>B82*'PRC model'!$B$27+'PRC model'!$C$27</f>
        <v>-2.1839167016186636</v>
      </c>
      <c r="D82">
        <f t="shared" si="2"/>
        <v>0.17833994175913126</v>
      </c>
    </row>
    <row r="83" spans="1:4" x14ac:dyDescent="0.25">
      <c r="A83">
        <v>170</v>
      </c>
      <c r="B83">
        <v>7.27</v>
      </c>
      <c r="C83">
        <f>B83*'PRC model'!$B$27+'PRC model'!$C$27</f>
        <v>-2.094801646796189</v>
      </c>
      <c r="D83">
        <f t="shared" si="2"/>
        <v>0.21429035168073918</v>
      </c>
    </row>
    <row r="84" spans="1:4" x14ac:dyDescent="0.25">
      <c r="A84">
        <v>190</v>
      </c>
      <c r="B84">
        <v>7.46</v>
      </c>
      <c r="C84">
        <f>B84*'PRC model'!$B$27+'PRC model'!$C$27</f>
        <v>-2.1552725768542969</v>
      </c>
      <c r="D84">
        <f t="shared" si="2"/>
        <v>0.18927053887974377</v>
      </c>
    </row>
    <row r="85" spans="1:4" x14ac:dyDescent="0.25">
      <c r="A85">
        <v>198</v>
      </c>
      <c r="B85">
        <v>7.62</v>
      </c>
      <c r="C85">
        <f>B85*'PRC model'!$B$27+'PRC model'!$C$27</f>
        <v>-2.2061954653242828</v>
      </c>
      <c r="D85">
        <f t="shared" si="2"/>
        <v>0.17022946462255206</v>
      </c>
    </row>
    <row r="86" spans="1:4" x14ac:dyDescent="0.25">
      <c r="A86">
        <v>203</v>
      </c>
      <c r="B86">
        <v>7.65</v>
      </c>
      <c r="C86">
        <f>B86*'PRC model'!$B$27+'PRC model'!$C$27</f>
        <v>-2.2157435069124052</v>
      </c>
      <c r="D86">
        <f t="shared" si="2"/>
        <v>0.16685558212949203</v>
      </c>
    </row>
    <row r="87" spans="1:4" x14ac:dyDescent="0.25">
      <c r="A87">
        <v>196</v>
      </c>
      <c r="B87">
        <v>7.65</v>
      </c>
      <c r="C87">
        <f>B87*'PRC model'!$B$27+'PRC model'!$C$27</f>
        <v>-2.2157435069124052</v>
      </c>
      <c r="D87">
        <f t="shared" si="2"/>
        <v>0.16685558212949203</v>
      </c>
    </row>
    <row r="88" spans="1:4" x14ac:dyDescent="0.25">
      <c r="A88">
        <v>195</v>
      </c>
      <c r="B88">
        <v>7.56</v>
      </c>
      <c r="C88">
        <f>B88*'PRC model'!$B$27+'PRC model'!$C$27</f>
        <v>-2.187099382148038</v>
      </c>
      <c r="D88">
        <f t="shared" si="2"/>
        <v>0.17716063557516881</v>
      </c>
    </row>
    <row r="89" spans="1:4" x14ac:dyDescent="0.25">
      <c r="A89">
        <v>194</v>
      </c>
      <c r="B89">
        <v>7.8</v>
      </c>
      <c r="C89">
        <f>B89*'PRC model'!$B$27+'PRC model'!$C$27</f>
        <v>-2.2634837148530162</v>
      </c>
      <c r="D89">
        <f t="shared" si="2"/>
        <v>0.15087179855909749</v>
      </c>
    </row>
    <row r="90" spans="1:4" x14ac:dyDescent="0.25">
      <c r="A90">
        <v>209</v>
      </c>
      <c r="B90">
        <v>8.18</v>
      </c>
      <c r="C90">
        <f>B90*'PRC model'!$B$27+'PRC model'!$C$27</f>
        <v>-2.3844255749692325</v>
      </c>
      <c r="D90">
        <f t="shared" si="2"/>
        <v>0.11643717780428031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62"/>
  <sheetViews>
    <sheetView topLeftCell="A34" workbookViewId="0">
      <selection activeCell="F34" sqref="F34"/>
    </sheetView>
  </sheetViews>
  <sheetFormatPr defaultRowHeight="15" x14ac:dyDescent="0.25"/>
  <sheetData>
    <row r="1" spans="1:4" x14ac:dyDescent="0.25">
      <c r="A1" t="s">
        <v>62</v>
      </c>
      <c r="B1" t="s">
        <v>63</v>
      </c>
      <c r="C1" t="s">
        <v>64</v>
      </c>
      <c r="D1" t="s">
        <v>65</v>
      </c>
    </row>
    <row r="2" spans="1:4" x14ac:dyDescent="0.25">
      <c r="A2">
        <v>4</v>
      </c>
      <c r="B2">
        <f>'PRC model'!$B$27*A2+'PRC model'!$C$27</f>
        <v>-1.0540651136908568</v>
      </c>
      <c r="C2">
        <f>'PRC model'!$B$31*A2+'PRC model'!$C$31</f>
        <v>-2.6458003574267304</v>
      </c>
      <c r="D2">
        <f>'PRC model'!$B$35*A2+'PRC model'!$C$35</f>
        <v>0.24978292817519065</v>
      </c>
    </row>
    <row r="3" spans="1:4" x14ac:dyDescent="0.25">
      <c r="A3">
        <f>A2+0.1</f>
        <v>4.0999999999999996</v>
      </c>
      <c r="B3">
        <f>'PRC model'!$B$27*A3+'PRC model'!$C$27</f>
        <v>-1.0858919189845977</v>
      </c>
      <c r="C3">
        <f>'PRC model'!$B$31*A3+'PRC model'!$C$31</f>
        <v>-2.5322818794583597</v>
      </c>
      <c r="D3">
        <f>'PRC model'!$B$35*A3+'PRC model'!$C$35</f>
        <v>0.42815245070092978</v>
      </c>
    </row>
    <row r="4" spans="1:4" x14ac:dyDescent="0.25">
      <c r="A4">
        <f t="shared" ref="A4:A62" si="0">A3+0.1</f>
        <v>4.1999999999999993</v>
      </c>
      <c r="B4">
        <f>'PRC model'!$B$27*A4+'PRC model'!$C$27</f>
        <v>-1.1177187242783386</v>
      </c>
      <c r="C4">
        <f>'PRC model'!$B$31*A4+'PRC model'!$C$31</f>
        <v>-2.418763401489989</v>
      </c>
      <c r="D4">
        <f>'PRC model'!$B$35*A4+'PRC model'!$C$35</f>
        <v>0.60652197322666801</v>
      </c>
    </row>
    <row r="5" spans="1:4" x14ac:dyDescent="0.25">
      <c r="A5">
        <f t="shared" si="0"/>
        <v>4.2999999999999989</v>
      </c>
      <c r="B5">
        <f>'PRC model'!$B$27*A5+'PRC model'!$C$27</f>
        <v>-1.1495455295720796</v>
      </c>
      <c r="C5">
        <f>'PRC model'!$B$31*A5+'PRC model'!$C$31</f>
        <v>-2.3052449235216184</v>
      </c>
      <c r="D5">
        <f>'PRC model'!$B$35*A5+'PRC model'!$C$35</f>
        <v>0.78489149575240713</v>
      </c>
    </row>
    <row r="6" spans="1:4" x14ac:dyDescent="0.25">
      <c r="A6">
        <f t="shared" si="0"/>
        <v>4.3999999999999986</v>
      </c>
      <c r="B6">
        <f>'PRC model'!$B$27*A6+'PRC model'!$C$27</f>
        <v>-1.1813723348658205</v>
      </c>
      <c r="C6">
        <f>'PRC model'!$B$31*A6+'PRC model'!$C$31</f>
        <v>-2.1917264455532468</v>
      </c>
      <c r="D6">
        <f>'PRC model'!$B$35*A6+'PRC model'!$C$35</f>
        <v>0.96326101827814536</v>
      </c>
    </row>
    <row r="7" spans="1:4" x14ac:dyDescent="0.25">
      <c r="A7">
        <f t="shared" si="0"/>
        <v>4.4999999999999982</v>
      </c>
      <c r="B7">
        <f>'PRC model'!$B$27*A7+'PRC model'!$C$27</f>
        <v>-1.2131991401595614</v>
      </c>
      <c r="C7">
        <f>'PRC model'!$B$31*A7+'PRC model'!$C$31</f>
        <v>-2.0782079675848761</v>
      </c>
      <c r="D7">
        <f>'PRC model'!$B$35*A7+'PRC model'!$C$35</f>
        <v>1.1416305408038845</v>
      </c>
    </row>
    <row r="8" spans="1:4" x14ac:dyDescent="0.25">
      <c r="A8">
        <f t="shared" si="0"/>
        <v>4.5999999999999979</v>
      </c>
      <c r="B8">
        <f>'PRC model'!$B$27*A8+'PRC model'!$C$27</f>
        <v>-1.2450259454533024</v>
      </c>
      <c r="C8">
        <f>'PRC model'!$B$31*A8+'PRC model'!$C$31</f>
        <v>-1.9646894896165055</v>
      </c>
      <c r="D8">
        <f>'PRC model'!$B$35*A8+'PRC model'!$C$35</f>
        <v>1.3200000633296227</v>
      </c>
    </row>
    <row r="9" spans="1:4" x14ac:dyDescent="0.25">
      <c r="A9">
        <f t="shared" si="0"/>
        <v>4.6999999999999975</v>
      </c>
      <c r="B9">
        <f>'PRC model'!$B$27*A9+'PRC model'!$C$27</f>
        <v>-1.2768527507470433</v>
      </c>
      <c r="C9">
        <f>'PRC model'!$B$31*A9+'PRC model'!$C$31</f>
        <v>-1.8511710116481348</v>
      </c>
      <c r="D9">
        <f>'PRC model'!$B$35*A9+'PRC model'!$C$35</f>
        <v>1.498369585855361</v>
      </c>
    </row>
    <row r="10" spans="1:4" x14ac:dyDescent="0.25">
      <c r="A10">
        <f t="shared" si="0"/>
        <v>4.7999999999999972</v>
      </c>
      <c r="B10">
        <f>'PRC model'!$B$27*A10+'PRC model'!$C$27</f>
        <v>-1.3086795560407842</v>
      </c>
      <c r="C10">
        <f>'PRC model'!$B$31*A10+'PRC model'!$C$31</f>
        <v>-1.7376525336797641</v>
      </c>
      <c r="D10">
        <f>'PRC model'!$B$35*A10+'PRC model'!$C$35</f>
        <v>1.676739108381101</v>
      </c>
    </row>
    <row r="11" spans="1:4" x14ac:dyDescent="0.25">
      <c r="A11">
        <f t="shared" si="0"/>
        <v>4.8999999999999968</v>
      </c>
      <c r="B11">
        <f>'PRC model'!$B$27*A11+'PRC model'!$C$27</f>
        <v>-1.3405063613345252</v>
      </c>
      <c r="C11">
        <f>'PRC model'!$B$31*A11+'PRC model'!$C$31</f>
        <v>-1.6241340557113935</v>
      </c>
      <c r="D11">
        <f>'PRC model'!$B$35*A11+'PRC model'!$C$35</f>
        <v>1.8551086309068392</v>
      </c>
    </row>
    <row r="12" spans="1:4" x14ac:dyDescent="0.25">
      <c r="A12">
        <f t="shared" si="0"/>
        <v>4.9999999999999964</v>
      </c>
      <c r="B12">
        <f>'PRC model'!$B$27*A12+'PRC model'!$C$27</f>
        <v>-1.3723331666282661</v>
      </c>
      <c r="C12">
        <f>'PRC model'!$B$31*A12+'PRC model'!$C$31</f>
        <v>-1.5106155777430228</v>
      </c>
      <c r="D12">
        <f>'PRC model'!$B$35*A12+'PRC model'!$C$35</f>
        <v>2.0334781534325774</v>
      </c>
    </row>
    <row r="13" spans="1:4" x14ac:dyDescent="0.25">
      <c r="A13">
        <f t="shared" si="0"/>
        <v>5.0999999999999961</v>
      </c>
      <c r="B13">
        <f>'PRC model'!$B$27*A13+'PRC model'!$C$27</f>
        <v>-1.404159971922007</v>
      </c>
      <c r="C13">
        <f>'PRC model'!$B$31*A13+'PRC model'!$C$31</f>
        <v>-1.3970970997746512</v>
      </c>
      <c r="D13">
        <f>'PRC model'!$B$35*A13+'PRC model'!$C$35</f>
        <v>2.2118476759583174</v>
      </c>
    </row>
    <row r="14" spans="1:4" x14ac:dyDescent="0.25">
      <c r="A14">
        <f t="shared" si="0"/>
        <v>5.1999999999999957</v>
      </c>
      <c r="B14">
        <f>'PRC model'!$B$27*A14+'PRC model'!$C$27</f>
        <v>-1.435986777215748</v>
      </c>
      <c r="C14">
        <f>'PRC model'!$B$31*A14+'PRC model'!$C$31</f>
        <v>-1.2835786218062806</v>
      </c>
      <c r="D14">
        <f>'PRC model'!$B$35*A14+'PRC model'!$C$35</f>
        <v>2.3902171984840557</v>
      </c>
    </row>
    <row r="15" spans="1:4" x14ac:dyDescent="0.25">
      <c r="A15">
        <f t="shared" si="0"/>
        <v>5.2999999999999954</v>
      </c>
      <c r="B15">
        <f>'PRC model'!$B$27*A15+'PRC model'!$C$27</f>
        <v>-1.4678135825094889</v>
      </c>
      <c r="C15">
        <f>'PRC model'!$B$31*A15+'PRC model'!$C$31</f>
        <v>-1.1700601438379099</v>
      </c>
      <c r="D15">
        <f>'PRC model'!$B$35*A15+'PRC model'!$C$35</f>
        <v>2.5685867210097939</v>
      </c>
    </row>
    <row r="16" spans="1:4" x14ac:dyDescent="0.25">
      <c r="A16">
        <f t="shared" si="0"/>
        <v>5.399999999999995</v>
      </c>
      <c r="B16">
        <f>'PRC model'!$B$27*A16+'PRC model'!$C$27</f>
        <v>-1.4996403878032298</v>
      </c>
      <c r="C16">
        <f>'PRC model'!$B$31*A16+'PRC model'!$C$31</f>
        <v>-1.0565416658695392</v>
      </c>
      <c r="D16">
        <f>'PRC model'!$B$35*A16+'PRC model'!$C$35</f>
        <v>2.7469562435355321</v>
      </c>
    </row>
    <row r="17" spans="1:4" x14ac:dyDescent="0.25">
      <c r="A17">
        <f t="shared" si="0"/>
        <v>5.4999999999999947</v>
      </c>
      <c r="B17">
        <f>'PRC model'!$B$27*A17+'PRC model'!$C$27</f>
        <v>-1.5314671930969708</v>
      </c>
      <c r="C17">
        <f>'PRC model'!$B$31*A17+'PRC model'!$C$31</f>
        <v>-0.94302318790116857</v>
      </c>
      <c r="D17">
        <f>'PRC model'!$B$35*A17+'PRC model'!$C$35</f>
        <v>2.9253257660612721</v>
      </c>
    </row>
    <row r="18" spans="1:4" x14ac:dyDescent="0.25">
      <c r="A18">
        <f t="shared" si="0"/>
        <v>5.5999999999999943</v>
      </c>
      <c r="B18">
        <f>'PRC model'!$B$27*A18+'PRC model'!$C$27</f>
        <v>-1.5632939983907117</v>
      </c>
      <c r="C18">
        <f>'PRC model'!$B$31*A18+'PRC model'!$C$31</f>
        <v>-0.8295047099327979</v>
      </c>
      <c r="D18">
        <f>'PRC model'!$B$35*A18+'PRC model'!$C$35</f>
        <v>3.1036952885870104</v>
      </c>
    </row>
    <row r="19" spans="1:4" x14ac:dyDescent="0.25">
      <c r="A19">
        <f t="shared" si="0"/>
        <v>5.699999999999994</v>
      </c>
      <c r="B19">
        <f>'PRC model'!$B$27*A19+'PRC model'!$C$27</f>
        <v>-1.5951208036844526</v>
      </c>
      <c r="C19">
        <f>'PRC model'!$B$31*A19+'PRC model'!$C$31</f>
        <v>-0.71598623196442723</v>
      </c>
      <c r="D19">
        <f>'PRC model'!$B$35*A19+'PRC model'!$C$35</f>
        <v>3.2820648111127486</v>
      </c>
    </row>
    <row r="20" spans="1:4" x14ac:dyDescent="0.25">
      <c r="A20">
        <f t="shared" si="0"/>
        <v>5.7999999999999936</v>
      </c>
      <c r="B20">
        <f>'PRC model'!$B$27*A20+'PRC model'!$C$27</f>
        <v>-1.6269476089781936</v>
      </c>
      <c r="C20">
        <f>'PRC model'!$B$31*A20+'PRC model'!$C$31</f>
        <v>-0.60246775399605568</v>
      </c>
      <c r="D20">
        <f>'PRC model'!$B$35*A20+'PRC model'!$C$35</f>
        <v>3.4604343336384886</v>
      </c>
    </row>
    <row r="21" spans="1:4" x14ac:dyDescent="0.25">
      <c r="A21">
        <f t="shared" si="0"/>
        <v>5.8999999999999932</v>
      </c>
      <c r="B21">
        <f>'PRC model'!$B$27*A21+'PRC model'!$C$27</f>
        <v>-1.6587744142719345</v>
      </c>
      <c r="C21">
        <f>'PRC model'!$B$31*A21+'PRC model'!$C$31</f>
        <v>-0.48894927602768501</v>
      </c>
      <c r="D21">
        <f>'PRC model'!$B$35*A21+'PRC model'!$C$35</f>
        <v>3.6388038561642269</v>
      </c>
    </row>
    <row r="22" spans="1:4" x14ac:dyDescent="0.25">
      <c r="A22">
        <f t="shared" si="0"/>
        <v>5.9999999999999929</v>
      </c>
      <c r="B22">
        <f>'PRC model'!$B$27*A22+'PRC model'!$C$27</f>
        <v>-1.6906012195656754</v>
      </c>
      <c r="C22">
        <f>'PRC model'!$B$31*A22+'PRC model'!$C$31</f>
        <v>-0.37543079805931434</v>
      </c>
      <c r="D22">
        <f>'PRC model'!$B$35*A22+'PRC model'!$C$35</f>
        <v>3.8171733786899651</v>
      </c>
    </row>
    <row r="23" spans="1:4" x14ac:dyDescent="0.25">
      <c r="A23">
        <f t="shared" si="0"/>
        <v>6.0999999999999925</v>
      </c>
      <c r="B23">
        <f>'PRC model'!$B$27*A23+'PRC model'!$C$27</f>
        <v>-1.7224280248594164</v>
      </c>
      <c r="C23">
        <f>'PRC model'!$B$31*A23+'PRC model'!$C$31</f>
        <v>-0.26191232009094367</v>
      </c>
      <c r="D23">
        <f>'PRC model'!$B$35*A23+'PRC model'!$C$35</f>
        <v>3.9955429012157033</v>
      </c>
    </row>
    <row r="24" spans="1:4" x14ac:dyDescent="0.25">
      <c r="A24">
        <f t="shared" si="0"/>
        <v>6.1999999999999922</v>
      </c>
      <c r="B24">
        <f>'PRC model'!$B$27*A24+'PRC model'!$C$27</f>
        <v>-1.7542548301531573</v>
      </c>
      <c r="C24">
        <f>'PRC model'!$B$31*A24+'PRC model'!$C$31</f>
        <v>-0.14839384212257301</v>
      </c>
      <c r="D24">
        <f>'PRC model'!$B$35*A24+'PRC model'!$C$35</f>
        <v>4.1739124237414433</v>
      </c>
    </row>
    <row r="25" spans="1:4" x14ac:dyDescent="0.25">
      <c r="A25">
        <f t="shared" si="0"/>
        <v>6.2999999999999918</v>
      </c>
      <c r="B25">
        <f>'PRC model'!$B$27*A25+'PRC model'!$C$27</f>
        <v>-1.786081635446898</v>
      </c>
      <c r="C25">
        <f>'PRC model'!$B$31*A25+'PRC model'!$C$31</f>
        <v>-3.4875364154202337E-2</v>
      </c>
      <c r="D25">
        <f>'PRC model'!$B$35*A25+'PRC model'!$C$35</f>
        <v>4.3522819462671816</v>
      </c>
    </row>
    <row r="26" spans="1:4" x14ac:dyDescent="0.25">
      <c r="A26">
        <f t="shared" si="0"/>
        <v>6.3999999999999915</v>
      </c>
      <c r="B26">
        <f>'PRC model'!$B$27*A26+'PRC model'!$C$27</f>
        <v>-1.8179084407406392</v>
      </c>
      <c r="C26">
        <f>'PRC model'!$B$31*A26+'PRC model'!$C$31</f>
        <v>7.8643113814169219E-2</v>
      </c>
      <c r="D26">
        <f>'PRC model'!$B$35*A26+'PRC model'!$C$35</f>
        <v>4.5306514687929198</v>
      </c>
    </row>
    <row r="27" spans="1:4" x14ac:dyDescent="0.25">
      <c r="A27">
        <f t="shared" si="0"/>
        <v>6.4999999999999911</v>
      </c>
      <c r="B27">
        <f>'PRC model'!$B$27*A27+'PRC model'!$C$27</f>
        <v>-1.8497352460343799</v>
      </c>
      <c r="C27">
        <f>'PRC model'!$B$31*A27+'PRC model'!$C$31</f>
        <v>0.19216159178253989</v>
      </c>
      <c r="D27">
        <f>'PRC model'!$B$35*A27+'PRC model'!$C$35</f>
        <v>4.7090209913186598</v>
      </c>
    </row>
    <row r="28" spans="1:4" x14ac:dyDescent="0.25">
      <c r="A28">
        <f t="shared" si="0"/>
        <v>6.5999999999999908</v>
      </c>
      <c r="B28">
        <f>'PRC model'!$B$27*A28+'PRC model'!$C$27</f>
        <v>-1.881562051328121</v>
      </c>
      <c r="C28">
        <f>'PRC model'!$B$31*A28+'PRC model'!$C$31</f>
        <v>0.30568006975091055</v>
      </c>
      <c r="D28">
        <f>'PRC model'!$B$35*A28+'PRC model'!$C$35</f>
        <v>4.887390513844398</v>
      </c>
    </row>
    <row r="29" spans="1:4" x14ac:dyDescent="0.25">
      <c r="A29">
        <f t="shared" si="0"/>
        <v>6.6999999999999904</v>
      </c>
      <c r="B29">
        <f>'PRC model'!$B$27*A29+'PRC model'!$C$27</f>
        <v>-1.9133888566218618</v>
      </c>
      <c r="C29">
        <f>'PRC model'!$B$31*A29+'PRC model'!$C$31</f>
        <v>0.41919854771928122</v>
      </c>
      <c r="D29">
        <f>'PRC model'!$B$35*A29+'PRC model'!$C$35</f>
        <v>5.0657600363701363</v>
      </c>
    </row>
    <row r="30" spans="1:4" x14ac:dyDescent="0.25">
      <c r="A30">
        <f t="shared" si="0"/>
        <v>6.7999999999999901</v>
      </c>
      <c r="B30">
        <f>'PRC model'!$B$27*A30+'PRC model'!$C$27</f>
        <v>-1.9452156619156029</v>
      </c>
      <c r="C30">
        <f>'PRC model'!$B$31*A30+'PRC model'!$C$31</f>
        <v>0.53271702568765189</v>
      </c>
      <c r="D30">
        <f>'PRC model'!$B$35*A30+'PRC model'!$C$35</f>
        <v>5.2441295588958745</v>
      </c>
    </row>
    <row r="31" spans="1:4" x14ac:dyDescent="0.25">
      <c r="A31">
        <f t="shared" si="0"/>
        <v>6.8999999999999897</v>
      </c>
      <c r="B31">
        <f>'PRC model'!$B$27*A31+'PRC model'!$C$27</f>
        <v>-1.9770424672093436</v>
      </c>
      <c r="C31">
        <f>'PRC model'!$B$31*A31+'PRC model'!$C$31</f>
        <v>0.64623550365602256</v>
      </c>
      <c r="D31">
        <f>'PRC model'!$B$35*A31+'PRC model'!$C$35</f>
        <v>5.4224990814216145</v>
      </c>
    </row>
    <row r="32" spans="1:4" x14ac:dyDescent="0.25">
      <c r="A32">
        <f t="shared" si="0"/>
        <v>6.9999999999999893</v>
      </c>
      <c r="B32">
        <f>'PRC model'!$B$27*A32+'PRC model'!$C$27</f>
        <v>-2.0088692725030848</v>
      </c>
      <c r="C32">
        <f>'PRC model'!$B$31*A32+'PRC model'!$C$31</f>
        <v>0.75975398162439323</v>
      </c>
      <c r="D32">
        <f>'PRC model'!$B$35*A32+'PRC model'!$C$35</f>
        <v>5.6008686039473528</v>
      </c>
    </row>
    <row r="33" spans="1:4" x14ac:dyDescent="0.25">
      <c r="A33">
        <f t="shared" si="0"/>
        <v>7.099999999999989</v>
      </c>
      <c r="B33">
        <f>'PRC model'!$B$27*A33+'PRC model'!$C$27</f>
        <v>-2.0406960777968255</v>
      </c>
      <c r="C33">
        <f>'PRC model'!$B$31*A33+'PRC model'!$C$31</f>
        <v>0.87327245959276478</v>
      </c>
      <c r="D33">
        <f>'PRC model'!$B$35*A33+'PRC model'!$C$35</f>
        <v>5.779238126473091</v>
      </c>
    </row>
    <row r="34" spans="1:4" x14ac:dyDescent="0.25">
      <c r="A34">
        <f t="shared" si="0"/>
        <v>7.1999999999999886</v>
      </c>
      <c r="B34">
        <f>'PRC model'!$B$27*A34+'PRC model'!$C$27</f>
        <v>-2.0725228830905666</v>
      </c>
      <c r="C34">
        <f>'PRC model'!$B$31*A34+'PRC model'!$C$31</f>
        <v>0.98679093756113456</v>
      </c>
      <c r="D34">
        <f>'PRC model'!$B$35*A34+'PRC model'!$C$35</f>
        <v>5.9576076489988292</v>
      </c>
    </row>
    <row r="35" spans="1:4" x14ac:dyDescent="0.25">
      <c r="A35">
        <f t="shared" si="0"/>
        <v>7.2999999999999883</v>
      </c>
      <c r="B35">
        <f>'PRC model'!$B$27*A35+'PRC model'!$C$27</f>
        <v>-2.1043496883843074</v>
      </c>
      <c r="C35">
        <f>'PRC model'!$B$31*A35+'PRC model'!$C$31</f>
        <v>1.1003094155295061</v>
      </c>
      <c r="D35">
        <f>'PRC model'!$B$35*A35+'PRC model'!$C$35</f>
        <v>6.1359771715245692</v>
      </c>
    </row>
    <row r="36" spans="1:4" x14ac:dyDescent="0.25">
      <c r="A36">
        <f t="shared" si="0"/>
        <v>7.3999999999999879</v>
      </c>
      <c r="B36">
        <f>'PRC model'!$B$27*A36+'PRC model'!$C$27</f>
        <v>-2.1361764936780485</v>
      </c>
      <c r="C36">
        <f>'PRC model'!$B$31*A36+'PRC model'!$C$31</f>
        <v>1.2138278934978759</v>
      </c>
      <c r="D36">
        <f>'PRC model'!$B$35*A36+'PRC model'!$C$35</f>
        <v>6.3143466940503075</v>
      </c>
    </row>
    <row r="37" spans="1:4" x14ac:dyDescent="0.25">
      <c r="A37">
        <f t="shared" si="0"/>
        <v>7.4999999999999876</v>
      </c>
      <c r="B37">
        <f>'PRC model'!$B$27*A37+'PRC model'!$C$27</f>
        <v>-2.1680032989717892</v>
      </c>
      <c r="C37">
        <f>'PRC model'!$B$31*A37+'PRC model'!$C$31</f>
        <v>1.3273463714662475</v>
      </c>
      <c r="D37">
        <f>'PRC model'!$B$35*A37+'PRC model'!$C$35</f>
        <v>6.4927162165760457</v>
      </c>
    </row>
    <row r="38" spans="1:4" x14ac:dyDescent="0.25">
      <c r="A38">
        <f t="shared" si="0"/>
        <v>7.5999999999999872</v>
      </c>
      <c r="B38">
        <f>'PRC model'!$B$27*A38+'PRC model'!$C$27</f>
        <v>-2.1998301042655304</v>
      </c>
      <c r="C38">
        <f>'PRC model'!$B$31*A38+'PRC model'!$C$31</f>
        <v>1.440864849434619</v>
      </c>
      <c r="D38">
        <f>'PRC model'!$B$35*A38+'PRC model'!$C$35</f>
        <v>6.6710857391017857</v>
      </c>
    </row>
    <row r="39" spans="1:4" x14ac:dyDescent="0.25">
      <c r="A39">
        <f t="shared" si="0"/>
        <v>7.6999999999999869</v>
      </c>
      <c r="B39">
        <f>'PRC model'!$B$27*A39+'PRC model'!$C$27</f>
        <v>-2.2316569095592711</v>
      </c>
      <c r="C39">
        <f>'PRC model'!$B$31*A39+'PRC model'!$C$31</f>
        <v>1.5543833274029888</v>
      </c>
      <c r="D39">
        <f>'PRC model'!$B$35*A39+'PRC model'!$C$35</f>
        <v>6.8494552616275239</v>
      </c>
    </row>
    <row r="40" spans="1:4" x14ac:dyDescent="0.25">
      <c r="A40">
        <f t="shared" si="0"/>
        <v>7.7999999999999865</v>
      </c>
      <c r="B40">
        <f>'PRC model'!$B$27*A40+'PRC model'!$C$27</f>
        <v>-2.2634837148530123</v>
      </c>
      <c r="C40">
        <f>'PRC model'!$B$31*A40+'PRC model'!$C$31</f>
        <v>1.6679018053713603</v>
      </c>
      <c r="D40">
        <f>'PRC model'!$B$35*A40+'PRC model'!$C$35</f>
        <v>7.0278247841532622</v>
      </c>
    </row>
    <row r="41" spans="1:4" x14ac:dyDescent="0.25">
      <c r="A41">
        <f t="shared" si="0"/>
        <v>7.8999999999999861</v>
      </c>
      <c r="B41">
        <f>'PRC model'!$B$27*A41+'PRC model'!$C$27</f>
        <v>-2.295310520146753</v>
      </c>
      <c r="C41">
        <f>'PRC model'!$B$31*A41+'PRC model'!$C$31</f>
        <v>1.7814202833397301</v>
      </c>
      <c r="D41">
        <f>'PRC model'!$B$35*A41+'PRC model'!$C$35</f>
        <v>7.2061943066790004</v>
      </c>
    </row>
    <row r="42" spans="1:4" x14ac:dyDescent="0.25">
      <c r="A42">
        <f t="shared" si="0"/>
        <v>7.9999999999999858</v>
      </c>
      <c r="B42">
        <f>'PRC model'!$B$27*A42+'PRC model'!$C$27</f>
        <v>-2.3271373254404941</v>
      </c>
      <c r="C42">
        <f>'PRC model'!$B$31*A42+'PRC model'!$C$31</f>
        <v>1.8949387613081017</v>
      </c>
      <c r="D42">
        <f>'PRC model'!$B$35*A42+'PRC model'!$C$35</f>
        <v>7.3845638292047404</v>
      </c>
    </row>
    <row r="43" spans="1:4" x14ac:dyDescent="0.25">
      <c r="A43">
        <f t="shared" si="0"/>
        <v>8.0999999999999854</v>
      </c>
      <c r="B43">
        <f>'PRC model'!$B$27*A43+'PRC model'!$C$27</f>
        <v>-2.3589641307342348</v>
      </c>
      <c r="C43">
        <f>'PRC model'!$B$31*A43+'PRC model'!$C$31</f>
        <v>2.0084572392764715</v>
      </c>
      <c r="D43">
        <f>'PRC model'!$B$35*A43+'PRC model'!$C$35</f>
        <v>7.5629333517304786</v>
      </c>
    </row>
    <row r="44" spans="1:4" x14ac:dyDescent="0.25">
      <c r="A44">
        <f t="shared" si="0"/>
        <v>8.1999999999999851</v>
      </c>
      <c r="B44">
        <f>'PRC model'!$B$27*A44+'PRC model'!$C$27</f>
        <v>-2.390790936027976</v>
      </c>
      <c r="C44">
        <f>'PRC model'!$B$31*A44+'PRC model'!$C$31</f>
        <v>2.121975717244843</v>
      </c>
      <c r="D44">
        <f>'PRC model'!$B$35*A44+'PRC model'!$C$35</f>
        <v>7.7413028742562169</v>
      </c>
    </row>
    <row r="45" spans="1:4" x14ac:dyDescent="0.25">
      <c r="A45">
        <f t="shared" si="0"/>
        <v>8.2999999999999847</v>
      </c>
      <c r="B45">
        <f>'PRC model'!$B$27*A45+'PRC model'!$C$27</f>
        <v>-2.4226177413217167</v>
      </c>
      <c r="C45">
        <f>'PRC model'!$B$31*A45+'PRC model'!$C$31</f>
        <v>2.2354941952132146</v>
      </c>
      <c r="D45">
        <f>'PRC model'!$B$35*A45+'PRC model'!$C$35</f>
        <v>7.9196723967819569</v>
      </c>
    </row>
    <row r="46" spans="1:4" x14ac:dyDescent="0.25">
      <c r="A46">
        <f t="shared" si="0"/>
        <v>8.3999999999999844</v>
      </c>
      <c r="B46">
        <f>'PRC model'!$B$27*A46+'PRC model'!$C$27</f>
        <v>-2.4544445466154579</v>
      </c>
      <c r="C46">
        <f>'PRC model'!$B$31*A46+'PRC model'!$C$31</f>
        <v>2.3490126731815844</v>
      </c>
      <c r="D46">
        <f>'PRC model'!$B$35*A46+'PRC model'!$C$35</f>
        <v>8.0980419193076951</v>
      </c>
    </row>
    <row r="47" spans="1:4" x14ac:dyDescent="0.25">
      <c r="A47">
        <f t="shared" si="0"/>
        <v>8.499999999999984</v>
      </c>
      <c r="B47">
        <f>'PRC model'!$B$27*A47+'PRC model'!$C$27</f>
        <v>-2.4862713519091986</v>
      </c>
      <c r="C47">
        <f>'PRC model'!$B$31*A47+'PRC model'!$C$31</f>
        <v>2.4625311511499559</v>
      </c>
      <c r="D47">
        <f>'PRC model'!$B$35*A47+'PRC model'!$C$35</f>
        <v>8.2764114418334334</v>
      </c>
    </row>
    <row r="48" spans="1:4" x14ac:dyDescent="0.25">
      <c r="A48">
        <f t="shared" si="0"/>
        <v>8.5999999999999837</v>
      </c>
      <c r="B48">
        <f>'PRC model'!$B$27*A48+'PRC model'!$C$27</f>
        <v>-2.5180981572029397</v>
      </c>
      <c r="C48">
        <f>'PRC model'!$B$31*A48+'PRC model'!$C$31</f>
        <v>2.5760496291183257</v>
      </c>
      <c r="D48">
        <f>'PRC model'!$B$35*A48+'PRC model'!$C$35</f>
        <v>8.4547809643591716</v>
      </c>
    </row>
    <row r="49" spans="1:4" x14ac:dyDescent="0.25">
      <c r="A49">
        <f t="shared" si="0"/>
        <v>8.6999999999999833</v>
      </c>
      <c r="B49">
        <f>'PRC model'!$B$27*A49+'PRC model'!$C$27</f>
        <v>-2.5499249624966804</v>
      </c>
      <c r="C49">
        <f>'PRC model'!$B$31*A49+'PRC model'!$C$31</f>
        <v>2.6895681070866972</v>
      </c>
      <c r="D49">
        <f>'PRC model'!$B$35*A49+'PRC model'!$C$35</f>
        <v>8.6331504868849116</v>
      </c>
    </row>
    <row r="50" spans="1:4" x14ac:dyDescent="0.25">
      <c r="A50">
        <f t="shared" si="0"/>
        <v>8.7999999999999829</v>
      </c>
      <c r="B50">
        <f>'PRC model'!$B$27*A50+'PRC model'!$C$27</f>
        <v>-2.5817517677904216</v>
      </c>
      <c r="C50">
        <f>'PRC model'!$B$31*A50+'PRC model'!$C$31</f>
        <v>2.8030865850550688</v>
      </c>
      <c r="D50">
        <f>'PRC model'!$B$35*A50+'PRC model'!$C$35</f>
        <v>8.8115200094106498</v>
      </c>
    </row>
    <row r="51" spans="1:4" x14ac:dyDescent="0.25">
      <c r="A51">
        <f t="shared" si="0"/>
        <v>8.8999999999999826</v>
      </c>
      <c r="B51">
        <f>'PRC model'!$B$27*A51+'PRC model'!$C$27</f>
        <v>-2.6135785730841623</v>
      </c>
      <c r="C51">
        <f>'PRC model'!$B$31*A51+'PRC model'!$C$31</f>
        <v>2.9166050630234386</v>
      </c>
      <c r="D51">
        <f>'PRC model'!$B$35*A51+'PRC model'!$C$35</f>
        <v>8.9898895319363881</v>
      </c>
    </row>
    <row r="52" spans="1:4" x14ac:dyDescent="0.25">
      <c r="A52">
        <f t="shared" si="0"/>
        <v>8.9999999999999822</v>
      </c>
      <c r="B52">
        <f>'PRC model'!$B$27*A52+'PRC model'!$C$27</f>
        <v>-2.6454053783779035</v>
      </c>
      <c r="C52">
        <f>'PRC model'!$B$31*A52+'PRC model'!$C$31</f>
        <v>3.0301235409918101</v>
      </c>
      <c r="D52">
        <f>'PRC model'!$B$35*A52+'PRC model'!$C$35</f>
        <v>9.1682590544621281</v>
      </c>
    </row>
    <row r="53" spans="1:4" x14ac:dyDescent="0.25">
      <c r="A53">
        <f t="shared" si="0"/>
        <v>9.0999999999999819</v>
      </c>
      <c r="B53">
        <f>'PRC model'!$B$27*A53+'PRC model'!$C$27</f>
        <v>-2.6772321836716442</v>
      </c>
      <c r="C53">
        <f>'PRC model'!$B$31*A53+'PRC model'!$C$31</f>
        <v>3.1436420189601799</v>
      </c>
      <c r="D53">
        <f>'PRC model'!$B$35*A53+'PRC model'!$C$35</f>
        <v>9.3466285769878663</v>
      </c>
    </row>
    <row r="54" spans="1:4" x14ac:dyDescent="0.25">
      <c r="A54">
        <f t="shared" si="0"/>
        <v>9.1999999999999815</v>
      </c>
      <c r="B54">
        <f>'PRC model'!$B$27*A54+'PRC model'!$C$27</f>
        <v>-2.7090589889653853</v>
      </c>
      <c r="C54">
        <f>'PRC model'!$B$31*A54+'PRC model'!$C$31</f>
        <v>3.2571604969285515</v>
      </c>
      <c r="D54">
        <f>'PRC model'!$B$35*A54+'PRC model'!$C$35</f>
        <v>9.5249980995136045</v>
      </c>
    </row>
    <row r="55" spans="1:4" x14ac:dyDescent="0.25">
      <c r="A55">
        <f t="shared" si="0"/>
        <v>9.2999999999999812</v>
      </c>
      <c r="B55">
        <f>'PRC model'!$B$27*A55+'PRC model'!$C$27</f>
        <v>-2.740885794259126</v>
      </c>
      <c r="C55">
        <f>'PRC model'!$B$31*A55+'PRC model'!$C$31</f>
        <v>3.3706789748969213</v>
      </c>
      <c r="D55">
        <f>'PRC model'!$B$35*A55+'PRC model'!$C$35</f>
        <v>9.7033676220393428</v>
      </c>
    </row>
    <row r="56" spans="1:4" x14ac:dyDescent="0.25">
      <c r="A56">
        <f t="shared" si="0"/>
        <v>9.3999999999999808</v>
      </c>
      <c r="B56">
        <f>'PRC model'!$B$27*A56+'PRC model'!$C$27</f>
        <v>-2.7727125995528672</v>
      </c>
      <c r="C56">
        <f>'PRC model'!$B$31*A56+'PRC model'!$C$31</f>
        <v>3.4841974528652928</v>
      </c>
      <c r="D56">
        <f>'PRC model'!$B$35*A56+'PRC model'!$C$35</f>
        <v>9.881737144565081</v>
      </c>
    </row>
    <row r="57" spans="1:4" x14ac:dyDescent="0.25">
      <c r="A57">
        <f t="shared" si="0"/>
        <v>9.4999999999999805</v>
      </c>
      <c r="B57">
        <f>'PRC model'!$B$27*A57+'PRC model'!$C$27</f>
        <v>-2.8045394048466079</v>
      </c>
      <c r="C57">
        <f>'PRC model'!$B$31*A57+'PRC model'!$C$31</f>
        <v>3.5977159308336644</v>
      </c>
      <c r="D57">
        <f>'PRC model'!$B$35*A57+'PRC model'!$C$35</f>
        <v>10.060106667090819</v>
      </c>
    </row>
    <row r="58" spans="1:4" x14ac:dyDescent="0.25">
      <c r="A58">
        <f t="shared" si="0"/>
        <v>9.5999999999999801</v>
      </c>
      <c r="B58">
        <f>'PRC model'!$B$27*A58+'PRC model'!$C$27</f>
        <v>-2.8363662101403491</v>
      </c>
      <c r="C58">
        <f>'PRC model'!$B$31*A58+'PRC model'!$C$31</f>
        <v>3.7112344088020341</v>
      </c>
      <c r="D58">
        <f>'PRC model'!$B$35*A58+'PRC model'!$C$35</f>
        <v>10.238476189616561</v>
      </c>
    </row>
    <row r="59" spans="1:4" x14ac:dyDescent="0.25">
      <c r="A59">
        <f t="shared" si="0"/>
        <v>9.6999999999999797</v>
      </c>
      <c r="B59">
        <f>'PRC model'!$B$27*A59+'PRC model'!$C$27</f>
        <v>-2.8681930154340898</v>
      </c>
      <c r="C59">
        <f>'PRC model'!$B$31*A59+'PRC model'!$C$31</f>
        <v>3.8247528867704057</v>
      </c>
      <c r="D59">
        <f>'PRC model'!$B$35*A59+'PRC model'!$C$35</f>
        <v>10.416845712142299</v>
      </c>
    </row>
    <row r="60" spans="1:4" x14ac:dyDescent="0.25">
      <c r="A60">
        <f t="shared" si="0"/>
        <v>9.7999999999999794</v>
      </c>
      <c r="B60">
        <f>'PRC model'!$B$27*A60+'PRC model'!$C$27</f>
        <v>-2.9000198207278309</v>
      </c>
      <c r="C60">
        <f>'PRC model'!$B$31*A60+'PRC model'!$C$31</f>
        <v>3.9382713647387755</v>
      </c>
      <c r="D60">
        <f>'PRC model'!$B$35*A60+'PRC model'!$C$35</f>
        <v>10.595215234668037</v>
      </c>
    </row>
    <row r="61" spans="1:4" x14ac:dyDescent="0.25">
      <c r="A61">
        <f t="shared" si="0"/>
        <v>9.899999999999979</v>
      </c>
      <c r="B61">
        <f>'PRC model'!$B$27*A61+'PRC model'!$C$27</f>
        <v>-2.9318466260215716</v>
      </c>
      <c r="C61">
        <f>'PRC model'!$B$31*A61+'PRC model'!$C$31</f>
        <v>4.051789842707147</v>
      </c>
      <c r="D61">
        <f>'PRC model'!$B$35*A61+'PRC model'!$C$35</f>
        <v>10.773584757193776</v>
      </c>
    </row>
    <row r="62" spans="1:4" x14ac:dyDescent="0.25">
      <c r="A62">
        <f t="shared" si="0"/>
        <v>9.9999999999999787</v>
      </c>
      <c r="B62">
        <f>'PRC model'!$B$27*A62+'PRC model'!$C$27</f>
        <v>-2.9636734313153128</v>
      </c>
      <c r="C62">
        <f>'PRC model'!$B$31*A62+'PRC model'!$C$31</f>
        <v>4.1653083206755168</v>
      </c>
      <c r="D62">
        <f>'PRC model'!$B$35*A62+'PRC model'!$C$35</f>
        <v>10.951954279719514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PRC model</vt:lpstr>
      <vt:lpstr>fitted_R</vt:lpstr>
      <vt:lpstr>cyl_fitted_plot</vt:lpstr>
      <vt:lpstr>fitted_RD</vt:lpstr>
      <vt:lpstr>rec_fitted_plot</vt:lpstr>
      <vt:lpstr>fitted_ke</vt:lpstr>
      <vt:lpstr>kinetic_fitted_plot</vt:lpstr>
      <vt:lpstr>Kow_fitting</vt:lpstr>
      <vt:lpstr>Li</vt:lpstr>
      <vt:lpstr>Lo</vt:lpstr>
      <vt:lpstr>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2018-08-10T00:24:09Z</dcterms:modified>
</cp:coreProperties>
</file>